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PLANFOR/33 LOUCHATS-Alexandre SIRECH- 215 ha/2.Dossier_LBC_déposé/"/>
    </mc:Choice>
  </mc:AlternateContent>
  <xr:revisionPtr revIDLastSave="113" documentId="11_E6967C7E78D5A5CAE6D435F968EBF6B69F8688AF" xr6:coauthVersionLast="47" xr6:coauthVersionMax="47" xr10:uidLastSave="{B9F4AF1C-E1B6-44AF-8197-BD98E6DAD2EB}"/>
  <bookViews>
    <workbookView minimized="1" xWindow="10320" yWindow="675" windowWidth="14400" windowHeight="817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AC154" i="2"/>
  <c r="HG155" i="2"/>
  <c r="HH155" i="2"/>
  <c r="EA155" i="2"/>
  <c r="DI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AB156" i="2"/>
  <c r="FS156" i="2"/>
  <c r="EB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HH157" i="2"/>
  <c r="CN156" i="2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HH158" i="2"/>
  <c r="HG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ED158" i="2"/>
  <c r="EC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D159" i="2"/>
  <c r="EY159" i="2"/>
  <c r="HG160" i="2"/>
  <c r="HI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ED160" i="2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HH162" i="2"/>
  <c r="EY161" i="2"/>
  <c r="DI161" i="2"/>
  <c r="EC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H164" i="2" l="1"/>
  <c r="ED163" i="2"/>
  <c r="DH164" i="2"/>
  <c r="EY163" i="2"/>
  <c r="DI163" i="2"/>
  <c r="FS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FS166" i="2"/>
  <c r="ED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EA167" i="2"/>
  <c r="FR167" i="2"/>
  <c r="EB167" i="2"/>
  <c r="DG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B168" i="2"/>
  <c r="HI168" i="2"/>
  <c r="EC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V172" i="2"/>
  <c r="EY171" i="2"/>
  <c r="HG172" i="2"/>
  <c r="EB172" i="2"/>
  <c r="EA172" i="2"/>
  <c r="EW172" i="2"/>
  <c r="HI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HH173" i="2"/>
  <c r="EX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W178" i="2"/>
  <c r="FQ178" i="2"/>
  <c r="HH178" i="2"/>
  <c r="ED177" i="2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D178" i="2"/>
  <c r="EA179" i="2"/>
  <c r="DF179" i="2"/>
  <c r="EV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D184" i="2"/>
  <c r="EY184" i="2"/>
  <c r="HH185" i="2"/>
  <c r="HG185" i="2"/>
  <c r="EB185" i="2"/>
  <c r="EW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HH186" i="2"/>
  <c r="FR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H189" i="2"/>
  <c r="EB189" i="2"/>
  <c r="EV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HH190" i="2"/>
  <c r="HG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B192" i="2"/>
  <c r="EW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B194" i="2"/>
  <c r="EA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HG195" i="2"/>
  <c r="FQ195" i="2"/>
  <c r="EB195" i="2"/>
  <c r="EA195" i="2"/>
  <c r="EX195" i="2"/>
  <c r="EY194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A197" i="2"/>
  <c r="HH197" i="2"/>
  <c r="HG197" i="2"/>
  <c r="EY196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FS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ED200" i="2" s="1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HH201" i="2"/>
  <c r="HG201" i="2"/>
  <c r="FS201" i="2"/>
  <c r="DI200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HG202" i="2"/>
  <c r="HI202" i="2"/>
  <c r="FS202" i="2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S203" i="2" l="1"/>
  <c r="CS129" i="2" a="1"/>
  <c r="CS129" i="2" s="1"/>
  <c r="CS66" i="2" a="1"/>
  <c r="CS66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ED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D60" i="2" l="1"/>
  <c r="CD46" i="2"/>
  <c r="CD64" i="2"/>
  <c r="CD155" i="2"/>
  <c r="CD141" i="2"/>
  <c r="CD7" i="2"/>
  <c r="CD68" i="2"/>
  <c r="CD158" i="2"/>
  <c r="CD168" i="2"/>
  <c r="CD48" i="2"/>
  <c r="CD136" i="2"/>
  <c r="CD165" i="2"/>
  <c r="CD76" i="2"/>
  <c r="CD182" i="2"/>
  <c r="CD105" i="2"/>
  <c r="CD58" i="2"/>
  <c r="CD156" i="2"/>
  <c r="CD159" i="2"/>
  <c r="CD135" i="2"/>
  <c r="CD15" i="2"/>
  <c r="CD32" i="2"/>
  <c r="CD88" i="2"/>
  <c r="CD147" i="2"/>
  <c r="CD12" i="2"/>
  <c r="CD119" i="2"/>
  <c r="CD92" i="2"/>
  <c r="CD125" i="2"/>
  <c r="CD187" i="2"/>
  <c r="CD25" i="2"/>
  <c r="CD174" i="2"/>
  <c r="CD11" i="2"/>
  <c r="CD22" i="2"/>
  <c r="CD196" i="2"/>
  <c r="CD90" i="2"/>
  <c r="CD104" i="2"/>
  <c r="CD63" i="2"/>
  <c r="CD27" i="2"/>
  <c r="CD124" i="2"/>
  <c r="CD110" i="2"/>
  <c r="CD146" i="2"/>
  <c r="CD142" i="2"/>
  <c r="CD128" i="2"/>
  <c r="CD29" i="2"/>
  <c r="CD36" i="2"/>
  <c r="CD18" i="2"/>
  <c r="CD41" i="2"/>
  <c r="CD172" i="2"/>
  <c r="CD82" i="2"/>
  <c r="CD157" i="2"/>
  <c r="CD98" i="2"/>
  <c r="CD202" i="2"/>
  <c r="CD85" i="2"/>
  <c r="CD70" i="2"/>
  <c r="CD28" i="2"/>
  <c r="CD78" i="2"/>
  <c r="CD35" i="2"/>
  <c r="CD109" i="2"/>
  <c r="CD5" i="2"/>
  <c r="CD67" i="2"/>
  <c r="CD51" i="2"/>
  <c r="CD184" i="2"/>
  <c r="CD127" i="2"/>
  <c r="CD144" i="2"/>
  <c r="CD138" i="2"/>
  <c r="CD102" i="2"/>
  <c r="CD59" i="2"/>
  <c r="CD164" i="2"/>
  <c r="CD84" i="2"/>
  <c r="CD150" i="2"/>
  <c r="CD152" i="2"/>
  <c r="CD55" i="2"/>
  <c r="CD4" i="2"/>
  <c r="CD154" i="2"/>
  <c r="CD56" i="2"/>
  <c r="CD62" i="2"/>
  <c r="CD30" i="2"/>
  <c r="CD106" i="2"/>
  <c r="CD34" i="2"/>
  <c r="CD45" i="2"/>
  <c r="CD6" i="2"/>
  <c r="CD183" i="2"/>
  <c r="CD189" i="2"/>
  <c r="CD75" i="2"/>
  <c r="CD97" i="2"/>
  <c r="CD195" i="2"/>
  <c r="CD199" i="2"/>
  <c r="CD130" i="2"/>
  <c r="CD71" i="2"/>
  <c r="CD73" i="2"/>
  <c r="CD33" i="2"/>
  <c r="CD77" i="2"/>
  <c r="CD81" i="2"/>
  <c r="CD166" i="2"/>
  <c r="CD107" i="2"/>
  <c r="CD103" i="2"/>
  <c r="CD140" i="2"/>
  <c r="CD96" i="2"/>
  <c r="CD179" i="2"/>
  <c r="CD145" i="2"/>
  <c r="CD192" i="2"/>
  <c r="CD101" i="2"/>
  <c r="CD151" i="2"/>
  <c r="CD19" i="2"/>
  <c r="CD57" i="2"/>
  <c r="CD170" i="2"/>
  <c r="CD116" i="2"/>
  <c r="CD14" i="2"/>
  <c r="CD117" i="2"/>
  <c r="CD40" i="2"/>
  <c r="CD131" i="2"/>
  <c r="CD52" i="2"/>
  <c r="CD188" i="2"/>
  <c r="CD175" i="2"/>
  <c r="CD86" i="2"/>
  <c r="CD113" i="2"/>
  <c r="CD197" i="2"/>
  <c r="CD42" i="2"/>
  <c r="CD3" i="2"/>
  <c r="C9" i="4" s="1"/>
  <c r="E9" i="4" s="1"/>
  <c r="F9" i="4" s="1"/>
  <c r="G9" i="4" s="1"/>
  <c r="L9" i="4" s="1"/>
  <c r="CD24" i="2"/>
  <c r="CD23" i="2"/>
  <c r="CD20" i="2"/>
  <c r="CD153" i="2"/>
  <c r="CD44" i="2"/>
  <c r="CD89" i="2"/>
  <c r="CD9" i="2"/>
  <c r="CD181" i="2"/>
  <c r="CD93" i="2"/>
  <c r="CD133" i="2"/>
  <c r="CD177" i="2"/>
  <c r="CD94" i="2"/>
  <c r="CD80" i="2"/>
  <c r="CD162" i="2"/>
  <c r="CD178" i="2"/>
  <c r="CD132" i="2"/>
  <c r="CD13" i="2"/>
  <c r="CD50" i="2"/>
  <c r="CD120" i="2"/>
  <c r="CD194" i="2"/>
  <c r="CD38" i="2"/>
  <c r="CD190" i="2"/>
  <c r="CD126" i="2"/>
  <c r="CD61" i="2"/>
  <c r="CD160" i="2"/>
  <c r="CD100" i="2"/>
  <c r="CD167" i="2"/>
  <c r="CD37" i="2"/>
  <c r="CD95" i="2"/>
  <c r="CD111" i="2"/>
  <c r="CD108" i="2"/>
  <c r="CD149" i="2"/>
  <c r="CD185" i="2"/>
  <c r="CD171" i="2"/>
  <c r="CD123" i="2"/>
  <c r="CD180" i="2"/>
  <c r="CD65" i="2"/>
  <c r="CD74" i="2"/>
  <c r="CD203" i="2"/>
  <c r="CD121" i="2"/>
  <c r="CD186" i="2"/>
  <c r="CD137" i="2"/>
  <c r="CD53" i="2"/>
  <c r="CD143" i="2"/>
  <c r="CD47" i="2"/>
  <c r="CD79" i="2"/>
  <c r="CD66" i="2"/>
  <c r="CD91" i="2"/>
  <c r="CD10" i="2"/>
  <c r="CD201" i="2"/>
  <c r="CD122" i="2"/>
  <c r="CD198" i="2"/>
  <c r="CD54" i="2"/>
  <c r="CD83" i="2"/>
  <c r="CD129" i="2"/>
  <c r="CD87" i="2"/>
  <c r="CD69" i="2"/>
  <c r="CD163" i="2"/>
  <c r="CD176" i="2"/>
  <c r="CD43" i="2"/>
  <c r="CD31" i="2"/>
  <c r="CD16" i="2"/>
  <c r="CD8" i="2"/>
  <c r="CD115" i="2"/>
  <c r="CD191" i="2"/>
  <c r="CD114" i="2"/>
  <c r="CD161" i="2"/>
  <c r="CD17" i="2"/>
  <c r="CD169" i="2"/>
  <c r="CD200" i="2"/>
  <c r="CD134" i="2"/>
  <c r="CD26" i="2"/>
  <c r="CD139" i="2"/>
  <c r="CD99" i="2"/>
  <c r="CD49" i="2"/>
  <c r="CD112" i="2"/>
  <c r="CD118" i="2"/>
  <c r="CD39" i="2"/>
  <c r="CD173" i="2"/>
  <c r="CD72" i="2"/>
  <c r="CD193" i="2"/>
  <c r="CD21" i="2"/>
  <c r="CD14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<sst xmlns="http://schemas.openxmlformats.org/spreadsheetml/2006/main" count="1195" uniqueCount="334">
  <si>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</si>
  <si>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</si>
  <si>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</si>
  <si>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</si>
  <si>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</si>
  <si>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</si>
  <si>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</si>
  <si>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</si>
  <si>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</si>
  <si>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</si>
  <si>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</si>
  <si>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</si>
  <si>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</si>
  <si>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</si>
  <si>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</si>
  <si>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</si>
  <si>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</si>
  <si>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</si>
  <si>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</si>
  <si>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</si>
  <si>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</si>
  <si>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</si>
  <si>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</si>
  <si>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</si>
  <si>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</si>
  <si>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</si>
  <si>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</si>
  <si>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</si>
  <si>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</si>
  <si>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</si>
  <si>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</si>
  <si>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</si>
  <si>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</si>
  <si>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</si>
  <si>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</si>
  <si>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</si>
  <si>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</si>
  <si>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</si>
  <si>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</si>
  <si>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</si>
  <si>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</si>
  <si>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</si>
  <si>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</si>
  <si>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</si>
  <si>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</si>
  <si>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</si>
  <si>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</si>
  <si>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</si>
  <si>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</si>
  <si>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</si>
  <si>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</si>
  <si>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</si>
  <si>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</si>
  <si>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</si>
  <si>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</si>
  <si>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</si>
  <si>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</si>
  <si>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</si>
  <si>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</si>
  <si>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</si>
  <si>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</si>
  <si>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</si>
  <si>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</si>
  <si>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</si>
  <si>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</si>
  <si>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</si>
  <si>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</si>
  <si>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</si>
  <si>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</si>
  <si>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</si>
  <si>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</si>
  <si>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</si>
  <si>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</si>
  <si>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</si>
  <si>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</si>
  <si>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</si>
  <si>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</si>
  <si>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</si>
  <si>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</si>
  <si>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</si>
  <si>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</si>
  <si>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</si>
  <si>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</si>
  <si>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</si>
  <si>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</si>
  <si>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</si>
  <si>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</si>
  <si>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</si>
  <si>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</si>
  <si>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</si>
  <si>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</si>
  <si>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</si>
  <si>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</si>
  <si>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</si>
  <si>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</si>
  <si>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</si>
  <si>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</si>
  <si>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</si>
  <si>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</si>
  <si>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</si>
  <si>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</si>
  <si>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</si>
  <si>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</si>
  <si>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</si>
  <si>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</si>
  <si>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</si>
  <si>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</si>
  <si>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</si>
  <si>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</si>
  <si>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</si>
  <si>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</si>
  <si>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</si>
  <si>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</si>
  <si>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</si>
  <si>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</si>
  <si>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</si>
  <si>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</si>
  <si>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</si>
  <si>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</si>
  <si>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</si>
  <si>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</si>
  <si>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</si>
  <si>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</si>
  <si>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</si>
  <si>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</si>
  <si>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</si>
  <si>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</si>
  <si>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</si>
  <si>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</si>
  <si>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</si>
  <si>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</si>
  <si>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</si>
  <si>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</si>
  <si>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</si>
  <si>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</si>
  <si>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</si>
  <si>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</si>
  <si>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</si>
  <si>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</si>
  <si>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</si>
  <si>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</si>
  <si>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</si>
  <si>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</si>
  <si>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</si>
  <si>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</si>
  <si>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</si>
  <si>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</si>
  <si>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</si>
  <si>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</si>
  <si>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</si>
  <si>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</si>
  <si>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</si>
  <si>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</si>
  <si>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</si>
  <si>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</si>
  <si>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</si>
  <si>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</si>
  <si>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</si>
  <si>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</si>
  <si>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</si>
  <si>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</si>
  <si>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</si>
  <si>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</si>
  <si>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</si>
  <si>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</si>
  <si>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</si>
  <si>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</si>
  <si>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</si>
  <si>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</si>
  <si>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</si>
  <si>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</si>
  <si>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</si>
  <si>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</si>
  <si>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</si>
  <si>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</si>
  <si>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</si>
  <si>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</si>
  <si>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</si>
  <si>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</si>
  <si>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</si>
  <si>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</si>
  <si>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</si>
  <si>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</si>
  <si>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</si>
  <si>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</si>
  <si>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</si>
  <si>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</si>
  <si>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</si>
  <si>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</si>
  <si>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</si>
  <si>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</si>
  <si>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</si>
  <si>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</si>
  <si>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</si>
  <si>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</si>
  <si>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</si>
  <si>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</si>
  <si>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</si>
  <si>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</si>
  <si>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</si>
  <si>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</si>
  <si>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</si>
  <si>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</si>
  <si>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</si>
  <si>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</si>
  <si>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</si>
  <si>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</si>
  <si>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</si>
  <si>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</si>
  <si>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</si>
  <si>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</si>
  <si>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</si>
  <si>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</si>
  <si>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</si>
  <si>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</si>
  <si>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</si>
  <si>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</si>
  <si>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</si>
  <si>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</si>
  <si>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</si>
  <si>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</si>
  <si>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</si>
  <si>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</si>
  <si>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</si>
  <si>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</si>
  <si>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</si>
  <si>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</si>
  <si>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</si>
  <si>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</si>
  <si>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</si>
  <si>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</si>
  <si>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</si>
  <si>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</si>
  <si>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</si>
  <si>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</si>
  <si>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</si>
  <si>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</si>
  <si>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</si>
  <si>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</si>
  <si>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</si>
  <si>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</si>
  <si>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</si>
  <si>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</si>
  <si>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</si>
  <si>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</si>
  <si>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</si>
  <si>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</si>
  <si>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</si>
  <si>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</si>
  <si>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</si>
  <si>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</si>
  <si>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</si>
  <si>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</si>
  <si>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</si>
  <si>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</si>
  <si>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</si>
  <si>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</si>
  <si>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</si>
  <si>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</si>
  <si>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</si>
  <si>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</si>
  <si>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</si>
  <si>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</si>
  <si>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</si>
  <si>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</si>
  <si>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</si>
  <si>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</si>
  <si>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</si>
  <si>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</si>
  <si>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</si>
  <si>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</si>
  <si>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</si>
  <si>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</si>
  <si>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</si>
  <si>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</si>
  <si>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</si>
  <si>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</si>
  <si>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</si>
  <si>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</si>
  <si>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</si>
  <si>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</si>
  <si>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</si>
  <si>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</si>
  <si>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</si>
  <si>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</si>
  <si>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</si>
  <si>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</si>
  <si>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</si>
  <si>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</si>
  <si>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</si>
  <si>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</si>
  <si>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</si>
  <si>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</si>
  <si>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</si>
  <si>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</si>
  <si>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</si>
  <si>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</si>
  <si>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</si>
  <si>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</si>
  <si>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</si>
  <si>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</si>
  <si>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</si>
  <si>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</si>
  <si>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</si>
  <si>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</si>
  <si>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</si>
  <si>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</si>
  <si>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</si>
  <si>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</si>
  <si>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</si>
  <si>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</si>
  <si>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</si>
  <si>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</si>
  <si>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</si>
  <si>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</si>
  <si>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</si>
  <si>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</si>
  <si>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</si>
  <si>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</si>
  <si>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</si>
  <si>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</si>
  <si>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</si>
  <si>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</si>
  <si>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</si>
  <si>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38</t>
  </si>
  <si>
    <t>16</t>
  </si>
  <si>
    <t>15</t>
  </si>
  <si>
    <t>14</t>
  </si>
  <si>
    <t>13</t>
  </si>
  <si>
    <t>12</t>
  </si>
  <si>
    <t>11</t>
  </si>
  <si>
    <t>10</t>
  </si>
  <si>
    <t>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</si>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</sst>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461.35077692036231</c:v>
                </c:pt>
                <c:pt idx="82">
                  <c:v>461.35077692036231</c:v>
                </c:pt>
                <c:pt idx="83">
                  <c:v>461.35077692036231</c:v>
                </c:pt>
                <c:pt idx="84">
                  <c:v>461.35077692036231</c:v>
                </c:pt>
                <c:pt idx="85">
                  <c:v>461.35077692036231</c:v>
                </c:pt>
                <c:pt idx="86">
                  <c:v>461.35077692036231</c:v>
                </c:pt>
                <c:pt idx="87">
                  <c:v>461.35077692036231</c:v>
                </c:pt>
                <c:pt idx="88">
                  <c:v>461.35077692036231</c:v>
                </c:pt>
                <c:pt idx="89">
                  <c:v>461.35077692036231</c:v>
                </c:pt>
                <c:pt idx="90">
                  <c:v>461.35077692036231</c:v>
                </c:pt>
                <c:pt idx="91">
                  <c:v>461.35077692036231</c:v>
                </c:pt>
                <c:pt idx="92">
                  <c:v>461.35077692036231</c:v>
                </c:pt>
                <c:pt idx="93">
                  <c:v>461.35077692036231</c:v>
                </c:pt>
                <c:pt idx="94">
                  <c:v>461.35077692036231</c:v>
                </c:pt>
                <c:pt idx="95">
                  <c:v>461.35077692036231</c:v>
                </c:pt>
                <c:pt idx="96">
                  <c:v>461.35077692036231</c:v>
                </c:pt>
                <c:pt idx="97">
                  <c:v>461.35077692036231</c:v>
                </c:pt>
                <c:pt idx="98">
                  <c:v>461.35077692036231</c:v>
                </c:pt>
                <c:pt idx="99">
                  <c:v>461.35077692036231</c:v>
                </c:pt>
                <c:pt idx="100">
                  <c:v>461.35077692036231</c:v>
                </c:pt>
                <c:pt idx="101">
                  <c:v>461.35077692036231</c:v>
                </c:pt>
                <c:pt idx="102">
                  <c:v>461.35077692036231</c:v>
                </c:pt>
                <c:pt idx="103">
                  <c:v>461.35077692036231</c:v>
                </c:pt>
                <c:pt idx="104">
                  <c:v>461.35077692036231</c:v>
                </c:pt>
                <c:pt idx="105">
                  <c:v>461.35077692036231</c:v>
                </c:pt>
                <c:pt idx="106">
                  <c:v>461.35077692036231</c:v>
                </c:pt>
                <c:pt idx="107">
                  <c:v>461.35077692036231</c:v>
                </c:pt>
                <c:pt idx="108">
                  <c:v>461.35077692036231</c:v>
                </c:pt>
                <c:pt idx="109">
                  <c:v>461.35077692036231</c:v>
                </c:pt>
                <c:pt idx="110">
                  <c:v>461.35077692036231</c:v>
                </c:pt>
                <c:pt idx="111">
                  <c:v>461.35077692036231</c:v>
                </c:pt>
                <c:pt idx="112">
                  <c:v>461.35077692036231</c:v>
                </c:pt>
                <c:pt idx="113">
                  <c:v>461.35077692036231</c:v>
                </c:pt>
                <c:pt idx="114">
                  <c:v>461.35077692036231</c:v>
                </c:pt>
                <c:pt idx="115">
                  <c:v>461.35077692036231</c:v>
                </c:pt>
                <c:pt idx="116">
                  <c:v>461.35077692036231</c:v>
                </c:pt>
                <c:pt idx="117">
                  <c:v>461.35077692036231</c:v>
                </c:pt>
                <c:pt idx="118">
                  <c:v>461.35077692036231</c:v>
                </c:pt>
                <c:pt idx="119">
                  <c:v>461.35077692036231</c:v>
                </c:pt>
                <c:pt idx="120">
                  <c:v>461.35077692036231</c:v>
                </c:pt>
                <c:pt idx="121">
                  <c:v>461.35077692036231</c:v>
                </c:pt>
                <c:pt idx="122">
                  <c:v>461.35077692036231</c:v>
                </c:pt>
                <c:pt idx="123">
                  <c:v>461.35077692036231</c:v>
                </c:pt>
                <c:pt idx="124">
                  <c:v>461.35077692036231</c:v>
                </c:pt>
                <c:pt idx="125">
                  <c:v>461.35077692036231</c:v>
                </c:pt>
                <c:pt idx="126">
                  <c:v>461.35077692036231</c:v>
                </c:pt>
                <c:pt idx="127">
                  <c:v>461.35077692036231</c:v>
                </c:pt>
                <c:pt idx="128">
                  <c:v>461.35077692036231</c:v>
                </c:pt>
                <c:pt idx="129">
                  <c:v>461.35077692036231</c:v>
                </c:pt>
                <c:pt idx="130">
                  <c:v>461.35077692036231</c:v>
                </c:pt>
                <c:pt idx="131">
                  <c:v>461.35077692036231</c:v>
                </c:pt>
                <c:pt idx="132">
                  <c:v>461.35077692036231</c:v>
                </c:pt>
                <c:pt idx="133">
                  <c:v>461.35077692036231</c:v>
                </c:pt>
                <c:pt idx="134">
                  <c:v>461.35077692036231</c:v>
                </c:pt>
                <c:pt idx="135">
                  <c:v>461.35077692036231</c:v>
                </c:pt>
                <c:pt idx="136">
                  <c:v>461.35077692036231</c:v>
                </c:pt>
                <c:pt idx="137">
                  <c:v>461.35077692036231</c:v>
                </c:pt>
                <c:pt idx="138">
                  <c:v>461.35077692036231</c:v>
                </c:pt>
                <c:pt idx="139">
                  <c:v>461.35077692036231</c:v>
                </c:pt>
                <c:pt idx="140">
                  <c:v>461.35077692036231</c:v>
                </c:pt>
                <c:pt idx="141">
                  <c:v>461.35077692036231</c:v>
                </c:pt>
                <c:pt idx="142">
                  <c:v>461.35077692036231</c:v>
                </c:pt>
                <c:pt idx="143">
                  <c:v>461.35077692036231</c:v>
                </c:pt>
                <c:pt idx="144">
                  <c:v>461.35077692036231</c:v>
                </c:pt>
                <c:pt idx="145">
                  <c:v>461.35077692036231</c:v>
                </c:pt>
                <c:pt idx="146">
                  <c:v>461.35077692036231</c:v>
                </c:pt>
                <c:pt idx="147">
                  <c:v>461.35077692036231</c:v>
                </c:pt>
                <c:pt idx="148">
                  <c:v>461.35077692036231</c:v>
                </c:pt>
                <c:pt idx="149">
                  <c:v>461.35077692036231</c:v>
                </c:pt>
                <c:pt idx="150">
                  <c:v>461.35077692036231</c:v>
                </c:pt>
                <c:pt idx="151">
                  <c:v>461.35077692036231</c:v>
                </c:pt>
                <c:pt idx="152">
                  <c:v>461.35077692036231</c:v>
                </c:pt>
                <c:pt idx="153">
                  <c:v>461.35077692036231</c:v>
                </c:pt>
                <c:pt idx="154">
                  <c:v>461.35077692036231</c:v>
                </c:pt>
                <c:pt idx="155">
                  <c:v>461.35077692036231</c:v>
                </c:pt>
                <c:pt idx="156">
                  <c:v>461.35077692036231</c:v>
                </c:pt>
                <c:pt idx="157">
                  <c:v>461.35077692036231</c:v>
                </c:pt>
                <c:pt idx="158">
                  <c:v>461.35077692036231</c:v>
                </c:pt>
                <c:pt idx="159">
                  <c:v>461.35077692036231</c:v>
                </c:pt>
                <c:pt idx="160">
                  <c:v>461.35077692036231</c:v>
                </c:pt>
                <c:pt idx="161">
                  <c:v>461.35077692036231</c:v>
                </c:pt>
                <c:pt idx="162">
                  <c:v>461.35077692036231</c:v>
                </c:pt>
                <c:pt idx="163">
                  <c:v>461.35077692036231</c:v>
                </c:pt>
                <c:pt idx="164">
                  <c:v>461.35077692036231</c:v>
                </c:pt>
                <c:pt idx="165">
                  <c:v>461.35077692036231</c:v>
                </c:pt>
                <c:pt idx="166">
                  <c:v>461.35077692036231</c:v>
                </c:pt>
                <c:pt idx="167">
                  <c:v>461.35077692036231</c:v>
                </c:pt>
                <c:pt idx="168">
                  <c:v>461.35077692036231</c:v>
                </c:pt>
                <c:pt idx="169">
                  <c:v>461.35077692036231</c:v>
                </c:pt>
                <c:pt idx="170">
                  <c:v>461.35077692036231</c:v>
                </c:pt>
                <c:pt idx="171">
                  <c:v>461.35077692036231</c:v>
                </c:pt>
                <c:pt idx="172">
                  <c:v>461.35077692036231</c:v>
                </c:pt>
                <c:pt idx="173">
                  <c:v>461.35077692036231</c:v>
                </c:pt>
                <c:pt idx="174">
                  <c:v>461.35077692036231</c:v>
                </c:pt>
                <c:pt idx="175">
                  <c:v>461.35077692036231</c:v>
                </c:pt>
                <c:pt idx="176">
                  <c:v>461.35077692036231</c:v>
                </c:pt>
                <c:pt idx="177">
                  <c:v>461.35077692036231</c:v>
                </c:pt>
                <c:pt idx="178">
                  <c:v>461.35077692036231</c:v>
                </c:pt>
                <c:pt idx="179">
                  <c:v>461.35077692036231</c:v>
                </c:pt>
                <c:pt idx="180">
                  <c:v>461.35077692036231</c:v>
                </c:pt>
                <c:pt idx="181">
                  <c:v>461.35077692036231</c:v>
                </c:pt>
                <c:pt idx="182">
                  <c:v>461.35077692036231</c:v>
                </c:pt>
                <c:pt idx="183">
                  <c:v>461.35077692036231</c:v>
                </c:pt>
                <c:pt idx="184">
                  <c:v>461.35077692036231</c:v>
                </c:pt>
                <c:pt idx="185">
                  <c:v>461.35077692036231</c:v>
                </c:pt>
                <c:pt idx="186">
                  <c:v>461.35077692036231</c:v>
                </c:pt>
                <c:pt idx="187">
                  <c:v>461.35077692036231</c:v>
                </c:pt>
                <c:pt idx="188">
                  <c:v>461.35077692036231</c:v>
                </c:pt>
                <c:pt idx="189">
                  <c:v>461.35077692036231</c:v>
                </c:pt>
                <c:pt idx="190">
                  <c:v>461.35077692036231</c:v>
                </c:pt>
                <c:pt idx="191">
                  <c:v>461.35077692036231</c:v>
                </c:pt>
                <c:pt idx="192">
                  <c:v>461.35077692036231</c:v>
                </c:pt>
                <c:pt idx="193">
                  <c:v>461.35077692036231</c:v>
                </c:pt>
                <c:pt idx="194">
                  <c:v>461.35077692036231</c:v>
                </c:pt>
                <c:pt idx="195">
                  <c:v>461.35077692036231</c:v>
                </c:pt>
                <c:pt idx="196">
                  <c:v>461.35077692036231</c:v>
                </c:pt>
                <c:pt idx="197">
                  <c:v>461.35077692036231</c:v>
                </c:pt>
                <c:pt idx="198">
                  <c:v>461.35077692036231</c:v>
                </c:pt>
                <c:pt idx="199">
                  <c:v>461.35077692036231</c:v>
                </c:pt>
                <c:pt idx="200">
                  <c:v>461.35077692036231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2.8598891286205563</c:v>
                </c:pt>
                <c:pt idx="2">
                  <c:v>3.662132175873916</c:v>
                </c:pt>
                <c:pt idx="3">
                  <c:v>4.6903046119985587</c:v>
                </c:pt>
                <c:pt idx="4">
                  <c:v>6.0082685562867928</c:v>
                </c:pt>
                <c:pt idx="5">
                  <c:v>7.6979998259970577</c:v>
                </c:pt>
                <c:pt idx="6">
                  <c:v>9.8647420214442167</c:v>
                </c:pt>
                <c:pt idx="7">
                  <c:v>12.643631448180088</c:v>
                </c:pt>
                <c:pt idx="8">
                  <c:v>16.208213734920601</c:v>
                </c:pt>
                <c:pt idx="9">
                  <c:v>20.781393720727536</c:v>
                </c:pt>
                <c:pt idx="10">
                  <c:v>26.649515600405653</c:v>
                </c:pt>
                <c:pt idx="11">
                  <c:v>35.75708965034746</c:v>
                </c:pt>
                <c:pt idx="12">
                  <c:v>44.800709012122184</c:v>
                </c:pt>
                <c:pt idx="13">
                  <c:v>53.795232920909818</c:v>
                </c:pt>
                <c:pt idx="14">
                  <c:v>62.750077928715221</c:v>
                </c:pt>
                <c:pt idx="15">
                  <c:v>71.671728804778681</c:v>
                </c:pt>
                <c:pt idx="16">
                  <c:v>83.652207126474735</c:v>
                </c:pt>
                <c:pt idx="17">
                  <c:v>95.589333040289148</c:v>
                </c:pt>
                <c:pt idx="18">
                  <c:v>107.48929666408321</c:v>
                </c:pt>
                <c:pt idx="19">
                  <c:v>119.35679954507498</c:v>
                </c:pt>
                <c:pt idx="20">
                  <c:v>131.19552875292825</c:v>
                </c:pt>
                <c:pt idx="21">
                  <c:v>144.9115131083453</c:v>
                </c:pt>
                <c:pt idx="22">
                  <c:v>158.59643589681272</c:v>
                </c:pt>
                <c:pt idx="23">
                  <c:v>172.25335699280075</c:v>
                </c:pt>
                <c:pt idx="24">
                  <c:v>185.88481063386459</c:v>
                </c:pt>
                <c:pt idx="25">
                  <c:v>199.49292850815047</c:v>
                </c:pt>
                <c:pt idx="26">
                  <c:v>139.96228153805146</c:v>
                </c:pt>
                <c:pt idx="27">
                  <c:v>152.51787303662658</c:v>
                </c:pt>
                <c:pt idx="28">
                  <c:v>165.04886131109481</c:v>
                </c:pt>
                <c:pt idx="29">
                  <c:v>177.55737894823199</c:v>
                </c:pt>
                <c:pt idx="30">
                  <c:v>190.04523308883151</c:v>
                </c:pt>
                <c:pt idx="31">
                  <c:v>171.87435267338171</c:v>
                </c:pt>
                <c:pt idx="32">
                  <c:v>183.99299337840969</c:v>
                </c:pt>
                <c:pt idx="33">
                  <c:v>196.09298269939757</c:v>
                </c:pt>
                <c:pt idx="34">
                  <c:v>208.17563443958736</c:v>
                </c:pt>
                <c:pt idx="35">
                  <c:v>220.24209728386418</c:v>
                </c:pt>
                <c:pt idx="36">
                  <c:v>201.38120500067487</c:v>
                </c:pt>
                <c:pt idx="37">
                  <c:v>212.70239804910196</c:v>
                </c:pt>
                <c:pt idx="38">
                  <c:v>224.00971024958224</c:v>
                </c:pt>
                <c:pt idx="39">
                  <c:v>235.30394147234674</c:v>
                </c:pt>
                <c:pt idx="40">
                  <c:v>246.5858084671363</c:v>
                </c:pt>
                <c:pt idx="41">
                  <c:v>226.64617327952354</c:v>
                </c:pt>
                <c:pt idx="42">
                  <c:v>236.80889001154432</c:v>
                </c:pt>
                <c:pt idx="43">
                  <c:v>246.96166548088834</c:v>
                </c:pt>
                <c:pt idx="44">
                  <c:v>257.10496630927111</c:v>
                </c:pt>
                <c:pt idx="45">
                  <c:v>267.23921926263716</c:v>
                </c:pt>
                <c:pt idx="46">
                  <c:v>248.84075611692765</c:v>
                </c:pt>
                <c:pt idx="47">
                  <c:v>258.60689820869152</c:v>
                </c:pt>
                <c:pt idx="48">
                  <c:v>268.36470618638242</c:v>
                </c:pt>
                <c:pt idx="49">
                  <c:v>278.11452603753798</c:v>
                </c:pt>
                <c:pt idx="50">
                  <c:v>287.85667749117118</c:v>
                </c:pt>
                <c:pt idx="51">
                  <c:v>268.36470618638242</c:v>
                </c:pt>
                <c:pt idx="52">
                  <c:v>276.98994403187243</c:v>
                </c:pt>
                <c:pt idx="53">
                  <c:v>285.60915345709333</c:v>
                </c:pt>
                <c:pt idx="54">
                  <c:v>294.22254221033842</c:v>
                </c:pt>
                <c:pt idx="55">
                  <c:v>302.83030487228274</c:v>
                </c:pt>
                <c:pt idx="56">
                  <c:v>284.48524314677445</c:v>
                </c:pt>
                <c:pt idx="57">
                  <c:v>292.35055150938035</c:v>
                </c:pt>
                <c:pt idx="58">
                  <c:v>300.21113544922025</c:v>
                </c:pt>
                <c:pt idx="59">
                  <c:v>308.06713623755604</c:v>
                </c:pt>
                <c:pt idx="60">
                  <c:v>315.91868734548348</c:v>
                </c:pt>
                <c:pt idx="61">
                  <c:v>298.71423892515395</c:v>
                </c:pt>
                <c:pt idx="62">
                  <c:v>305.82302433005208</c:v>
                </c:pt>
                <c:pt idx="63">
                  <c:v>312.92813674795292</c:v>
                </c:pt>
                <c:pt idx="64">
                  <c:v>320.02967142824997</c:v>
                </c:pt>
                <c:pt idx="65">
                  <c:v>327.1277190437109</c:v>
                </c:pt>
                <c:pt idx="66">
                  <c:v>311.05872099875796</c:v>
                </c:pt>
                <c:pt idx="67">
                  <c:v>317.41372695991265</c:v>
                </c:pt>
                <c:pt idx="68">
                  <c:v>323.76591506204619</c:v>
                </c:pt>
                <c:pt idx="69">
                  <c:v>330.11534845450086</c:v>
                </c:pt>
                <c:pt idx="70">
                  <c:v>336.46208765640489</c:v>
                </c:pt>
                <c:pt idx="71">
                  <c:v>321.89791317588941</c:v>
                </c:pt>
                <c:pt idx="72">
                  <c:v>327.87468266673795</c:v>
                </c:pt>
                <c:pt idx="73">
                  <c:v>333.84904696577172</c:v>
                </c:pt>
                <c:pt idx="74">
                  <c:v>339.82105523856927</c:v>
                </c:pt>
                <c:pt idx="75">
                  <c:v>345.79075477962851</c:v>
                </c:pt>
                <c:pt idx="76">
                  <c:v>332.35567865620231</c:v>
                </c:pt>
                <c:pt idx="77">
                  <c:v>337.58182519139035</c:v>
                </c:pt>
                <c:pt idx="78">
                  <c:v>342.80619071488064</c:v>
                </c:pt>
                <c:pt idx="79">
                  <c:v>348.02880623392474</c:v>
                </c:pt>
                <c:pt idx="80">
                  <c:v>353.24970174806896</c:v>
                </c:pt>
                <c:pt idx="81">
                  <c:v>341.31369475960292</c:v>
                </c:pt>
                <c:pt idx="82">
                  <c:v>346.16378539221336</c:v>
                </c:pt>
                <c:pt idx="83">
                  <c:v>351.01238382795628</c:v>
                </c:pt>
                <c:pt idx="84">
                  <c:v>355.8595136143669</c:v>
                </c:pt>
                <c:pt idx="85">
                  <c:v>360.70519760433905</c:v>
                </c:pt>
                <c:pt idx="86">
                  <c:v>348.77475306916625</c:v>
                </c:pt>
                <c:pt idx="87">
                  <c:v>353.62255781268271</c:v>
                </c:pt>
                <c:pt idx="88">
                  <c:v>358.46890629665103</c:v>
                </c:pt>
                <c:pt idx="89">
                  <c:v>363.31382101236346</c:v>
                </c:pt>
                <c:pt idx="90">
                  <c:v>368.15732380156078</c:v>
                </c:pt>
                <c:pt idx="91">
                  <c:v>356.60509700107531</c:v>
                </c:pt>
                <c:pt idx="92">
                  <c:v>361.82322940720059</c:v>
                </c:pt>
                <c:pt idx="93">
                  <c:v>367.03971658708991</c:v>
                </c:pt>
                <c:pt idx="94">
                  <c:v>372.25458524998083</c:v>
                </c:pt>
                <c:pt idx="95">
                  <c:v>377.46786129486031</c:v>
                </c:pt>
                <c:pt idx="96">
                  <c:v>363.68644800338274</c:v>
                </c:pt>
                <c:pt idx="97">
                  <c:v>368.52984306951663</c:v>
                </c:pt>
                <c:pt idx="98">
                  <c:v>373.37184903581311</c:v>
                </c:pt>
                <c:pt idx="99">
                  <c:v>378.2124864803136</c:v>
                </c:pt>
                <c:pt idx="100">
                  <c:v>383.05177541071208</c:v>
                </c:pt>
                <c:pt idx="101">
                  <c:v>364.43167696167421</c:v>
                </c:pt>
                <c:pt idx="102">
                  <c:v>364.43167696167421</c:v>
                </c:pt>
                <c:pt idx="103">
                  <c:v>364.43167696167421</c:v>
                </c:pt>
                <c:pt idx="104">
                  <c:v>364.43167696167421</c:v>
                </c:pt>
                <c:pt idx="105">
                  <c:v>364.43167696167421</c:v>
                </c:pt>
                <c:pt idx="106">
                  <c:v>364.43167696167421</c:v>
                </c:pt>
                <c:pt idx="107">
                  <c:v>364.43167696167421</c:v>
                </c:pt>
                <c:pt idx="108">
                  <c:v>364.43167696167421</c:v>
                </c:pt>
                <c:pt idx="109">
                  <c:v>364.43167696167421</c:v>
                </c:pt>
                <c:pt idx="110">
                  <c:v>364.43167696167421</c:v>
                </c:pt>
                <c:pt idx="111">
                  <c:v>364.43167696167421</c:v>
                </c:pt>
                <c:pt idx="112">
                  <c:v>364.43167696167421</c:v>
                </c:pt>
                <c:pt idx="113">
                  <c:v>364.43167696167421</c:v>
                </c:pt>
                <c:pt idx="114">
                  <c:v>364.43167696167421</c:v>
                </c:pt>
                <c:pt idx="115">
                  <c:v>364.43167696167421</c:v>
                </c:pt>
                <c:pt idx="116">
                  <c:v>364.43167696167421</c:v>
                </c:pt>
                <c:pt idx="117">
                  <c:v>364.43167696167421</c:v>
                </c:pt>
                <c:pt idx="118">
                  <c:v>364.43167696167421</c:v>
                </c:pt>
                <c:pt idx="119">
                  <c:v>364.43167696167421</c:v>
                </c:pt>
                <c:pt idx="120">
                  <c:v>364.43167696167421</c:v>
                </c:pt>
                <c:pt idx="121">
                  <c:v>364.43167696167421</c:v>
                </c:pt>
                <c:pt idx="122">
                  <c:v>364.43167696167421</c:v>
                </c:pt>
                <c:pt idx="123">
                  <c:v>364.43167696167421</c:v>
                </c:pt>
                <c:pt idx="124">
                  <c:v>364.43167696167421</c:v>
                </c:pt>
                <c:pt idx="125">
                  <c:v>364.43167696167421</c:v>
                </c:pt>
                <c:pt idx="126">
                  <c:v>364.43167696167421</c:v>
                </c:pt>
                <c:pt idx="127">
                  <c:v>364.43167696167421</c:v>
                </c:pt>
                <c:pt idx="128">
                  <c:v>364.43167696167421</c:v>
                </c:pt>
                <c:pt idx="129">
                  <c:v>364.43167696167421</c:v>
                </c:pt>
                <c:pt idx="130">
                  <c:v>364.43167696167421</c:v>
                </c:pt>
                <c:pt idx="131">
                  <c:v>364.43167696167421</c:v>
                </c:pt>
                <c:pt idx="132">
                  <c:v>364.43167696167421</c:v>
                </c:pt>
                <c:pt idx="133">
                  <c:v>364.43167696167421</c:v>
                </c:pt>
                <c:pt idx="134">
                  <c:v>364.43167696167421</c:v>
                </c:pt>
                <c:pt idx="135">
                  <c:v>364.43167696167421</c:v>
                </c:pt>
                <c:pt idx="136">
                  <c:v>364.43167696167421</c:v>
                </c:pt>
                <c:pt idx="137">
                  <c:v>364.43167696167421</c:v>
                </c:pt>
                <c:pt idx="138">
                  <c:v>364.43167696167421</c:v>
                </c:pt>
                <c:pt idx="139">
                  <c:v>364.43167696167421</c:v>
                </c:pt>
                <c:pt idx="140">
                  <c:v>364.43167696167421</c:v>
                </c:pt>
                <c:pt idx="141">
                  <c:v>364.43167696167421</c:v>
                </c:pt>
                <c:pt idx="142">
                  <c:v>364.43167696167421</c:v>
                </c:pt>
                <c:pt idx="143">
                  <c:v>364.43167696167421</c:v>
                </c:pt>
                <c:pt idx="144">
                  <c:v>364.43167696167421</c:v>
                </c:pt>
                <c:pt idx="145">
                  <c:v>364.43167696167421</c:v>
                </c:pt>
                <c:pt idx="146">
                  <c:v>364.43167696167421</c:v>
                </c:pt>
                <c:pt idx="147">
                  <c:v>364.43167696167421</c:v>
                </c:pt>
                <c:pt idx="148">
                  <c:v>364.43167696167421</c:v>
                </c:pt>
                <c:pt idx="149">
                  <c:v>364.43167696167421</c:v>
                </c:pt>
                <c:pt idx="150">
                  <c:v>364.43167696167421</c:v>
                </c:pt>
                <c:pt idx="151">
                  <c:v>364.43167696167421</c:v>
                </c:pt>
                <c:pt idx="152">
                  <c:v>364.43167696167421</c:v>
                </c:pt>
                <c:pt idx="153">
                  <c:v>364.43167696167421</c:v>
                </c:pt>
                <c:pt idx="154">
                  <c:v>364.43167696167421</c:v>
                </c:pt>
                <c:pt idx="155">
                  <c:v>364.43167696167421</c:v>
                </c:pt>
                <c:pt idx="156">
                  <c:v>364.43167696167421</c:v>
                </c:pt>
                <c:pt idx="157">
                  <c:v>364.43167696167421</c:v>
                </c:pt>
                <c:pt idx="158">
                  <c:v>364.43167696167421</c:v>
                </c:pt>
                <c:pt idx="159">
                  <c:v>364.43167696167421</c:v>
                </c:pt>
                <c:pt idx="160">
                  <c:v>364.43167696167421</c:v>
                </c:pt>
                <c:pt idx="161">
                  <c:v>364.43167696167421</c:v>
                </c:pt>
                <c:pt idx="162">
                  <c:v>364.43167696167421</c:v>
                </c:pt>
                <c:pt idx="163">
                  <c:v>364.43167696167421</c:v>
                </c:pt>
                <c:pt idx="164">
                  <c:v>364.43167696167421</c:v>
                </c:pt>
                <c:pt idx="165">
                  <c:v>364.43167696167421</c:v>
                </c:pt>
                <c:pt idx="166">
                  <c:v>364.43167696167421</c:v>
                </c:pt>
                <c:pt idx="167">
                  <c:v>364.43167696167421</c:v>
                </c:pt>
                <c:pt idx="168">
                  <c:v>364.43167696167421</c:v>
                </c:pt>
                <c:pt idx="169">
                  <c:v>364.43167696167421</c:v>
                </c:pt>
                <c:pt idx="170">
                  <c:v>364.43167696167421</c:v>
                </c:pt>
                <c:pt idx="171">
                  <c:v>364.43167696167421</c:v>
                </c:pt>
                <c:pt idx="172">
                  <c:v>364.43167696167421</c:v>
                </c:pt>
                <c:pt idx="173">
                  <c:v>364.43167696167421</c:v>
                </c:pt>
                <c:pt idx="174">
                  <c:v>364.43167696167421</c:v>
                </c:pt>
                <c:pt idx="175">
                  <c:v>364.43167696167421</c:v>
                </c:pt>
                <c:pt idx="176">
                  <c:v>364.43167696167421</c:v>
                </c:pt>
                <c:pt idx="177">
                  <c:v>364.43167696167421</c:v>
                </c:pt>
                <c:pt idx="178">
                  <c:v>364.43167696167421</c:v>
                </c:pt>
                <c:pt idx="179">
                  <c:v>364.43167696167421</c:v>
                </c:pt>
                <c:pt idx="180">
                  <c:v>364.43167696167421</c:v>
                </c:pt>
                <c:pt idx="181">
                  <c:v>364.43167696167421</c:v>
                </c:pt>
                <c:pt idx="182">
                  <c:v>364.43167696167421</c:v>
                </c:pt>
                <c:pt idx="183">
                  <c:v>364.43167696167421</c:v>
                </c:pt>
                <c:pt idx="184">
                  <c:v>364.43167696167421</c:v>
                </c:pt>
                <c:pt idx="185">
                  <c:v>364.43167696167421</c:v>
                </c:pt>
                <c:pt idx="186">
                  <c:v>364.43167696167421</c:v>
                </c:pt>
                <c:pt idx="187">
                  <c:v>364.43167696167421</c:v>
                </c:pt>
                <c:pt idx="188">
                  <c:v>364.43167696167421</c:v>
                </c:pt>
                <c:pt idx="189">
                  <c:v>364.43167696167421</c:v>
                </c:pt>
                <c:pt idx="190">
                  <c:v>364.43167696167421</c:v>
                </c:pt>
                <c:pt idx="191">
                  <c:v>364.43167696167421</c:v>
                </c:pt>
                <c:pt idx="192">
                  <c:v>364.43167696167421</c:v>
                </c:pt>
                <c:pt idx="193">
                  <c:v>364.43167696167421</c:v>
                </c:pt>
                <c:pt idx="194">
                  <c:v>364.43167696167421</c:v>
                </c:pt>
                <c:pt idx="195">
                  <c:v>364.43167696167421</c:v>
                </c:pt>
                <c:pt idx="196">
                  <c:v>364.43167696167421</c:v>
                </c:pt>
                <c:pt idx="197">
                  <c:v>364.43167696167421</c:v>
                </c:pt>
                <c:pt idx="198">
                  <c:v>364.43167696167421</c:v>
                </c:pt>
                <c:pt idx="199">
                  <c:v>364.43167696167421</c:v>
                </c:pt>
                <c:pt idx="200">
                  <c:v>364.43167696167421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2.3506827876702365</c:v>
                </c:pt>
                <c:pt idx="2">
                  <c:v>2.7069020618273747</c:v>
                </c:pt>
                <c:pt idx="3">
                  <c:v>3.1172974732130618</c:v>
                </c:pt>
                <c:pt idx="4">
                  <c:v>3.590136552411817</c:v>
                </c:pt>
                <c:pt idx="5">
                  <c:v>4.1349525172371857</c:v>
                </c:pt>
                <c:pt idx="6">
                  <c:v>4.7627386132127274</c:v>
                </c:pt>
                <c:pt idx="7">
                  <c:v>5.4861723759815355</c:v>
                </c:pt>
                <c:pt idx="8">
                  <c:v>6.3198744342378603</c:v>
                </c:pt>
                <c:pt idx="9">
                  <c:v>7.2807071863215178</c:v>
                </c:pt>
                <c:pt idx="10">
                  <c:v>8.3881195089433387</c:v>
                </c:pt>
                <c:pt idx="11">
                  <c:v>9.6645446098257679</c:v>
                </c:pt>
                <c:pt idx="12">
                  <c:v>11.135859237232149</c:v>
                </c:pt>
                <c:pt idx="13">
                  <c:v>12.831913731401018</c:v>
                </c:pt>
                <c:pt idx="14">
                  <c:v>14.787143872355102</c:v>
                </c:pt>
                <c:pt idx="15">
                  <c:v>17.041277176110768</c:v>
                </c:pt>
                <c:pt idx="16">
                  <c:v>34.453320496639996</c:v>
                </c:pt>
                <c:pt idx="17">
                  <c:v>51.613399015111831</c:v>
                </c:pt>
                <c:pt idx="18">
                  <c:v>68.620447763566887</c:v>
                </c:pt>
                <c:pt idx="19">
                  <c:v>85.518340702972125</c:v>
                </c:pt>
                <c:pt idx="20">
                  <c:v>102.33185371141569</c:v>
                </c:pt>
                <c:pt idx="21">
                  <c:v>83.059783755906594</c:v>
                </c:pt>
                <c:pt idx="22">
                  <c:v>100.5838664607631</c:v>
                </c:pt>
                <c:pt idx="23">
                  <c:v>118.03208120289027</c:v>
                </c:pt>
                <c:pt idx="24">
                  <c:v>135.41725555203229</c:v>
                </c:pt>
                <c:pt idx="25">
                  <c:v>152.74863657956141</c:v>
                </c:pt>
                <c:pt idx="26">
                  <c:v>133.33403236134612</c:v>
                </c:pt>
                <c:pt idx="27">
                  <c:v>150.32520254476188</c:v>
                </c:pt>
                <c:pt idx="28">
                  <c:v>167.27057244935506</c:v>
                </c:pt>
                <c:pt idx="29">
                  <c:v>184.1754383487191</c:v>
                </c:pt>
                <c:pt idx="30">
                  <c:v>201.04404298625983</c:v>
                </c:pt>
                <c:pt idx="31">
                  <c:v>179.69416671649591</c:v>
                </c:pt>
                <c:pt idx="32">
                  <c:v>194.5072237017408</c:v>
                </c:pt>
                <c:pt idx="33">
                  <c:v>209.29406224425134</c:v>
                </c:pt>
                <c:pt idx="34">
                  <c:v>224.05679616015789</c:v>
                </c:pt>
                <c:pt idx="35">
                  <c:v>238.79723773455581</c:v>
                </c:pt>
                <c:pt idx="36">
                  <c:v>215.81998944310419</c:v>
                </c:pt>
                <c:pt idx="37">
                  <c:v>228.85837653967619</c:v>
                </c:pt>
                <c:pt idx="38">
                  <c:v>241.87977545595186</c:v>
                </c:pt>
                <c:pt idx="39">
                  <c:v>254.88522992676107</c:v>
                </c:pt>
                <c:pt idx="40">
                  <c:v>267.87566841306398</c:v>
                </c:pt>
                <c:pt idx="41">
                  <c:v>242.90708874646216</c:v>
                </c:pt>
                <c:pt idx="42">
                  <c:v>253.85904094930413</c:v>
                </c:pt>
                <c:pt idx="43">
                  <c:v>264.80029706883334</c:v>
                </c:pt>
                <c:pt idx="44">
                  <c:v>275.73136161299811</c:v>
                </c:pt>
                <c:pt idx="45">
                  <c:v>286.65269579557503</c:v>
                </c:pt>
                <c:pt idx="46">
                  <c:v>265.48378219284547</c:v>
                </c:pt>
                <c:pt idx="47">
                  <c:v>275.04845973255499</c:v>
                </c:pt>
                <c:pt idx="48">
                  <c:v>284.60566685788712</c:v>
                </c:pt>
                <c:pt idx="49">
                  <c:v>294.15568998866848</c:v>
                </c:pt>
                <c:pt idx="50">
                  <c:v>303.69879541443908</c:v>
                </c:pt>
                <c:pt idx="51">
                  <c:v>289.72262669927983</c:v>
                </c:pt>
                <c:pt idx="52">
                  <c:v>297.9055780022702</c:v>
                </c:pt>
                <c:pt idx="53">
                  <c:v>306.08352033451564</c:v>
                </c:pt>
                <c:pt idx="54">
                  <c:v>314.25660652237013</c:v>
                </c:pt>
                <c:pt idx="55">
                  <c:v>322.4249807869187</c:v>
                </c:pt>
                <c:pt idx="56">
                  <c:v>310.5112020975094</c:v>
                </c:pt>
                <c:pt idx="57">
                  <c:v>317.32029156286296</c:v>
                </c:pt>
                <c:pt idx="58">
                  <c:v>324.12614511182926</c:v>
                </c:pt>
                <c:pt idx="59">
                  <c:v>330.92884034916193</c:v>
                </c:pt>
                <c:pt idx="60">
                  <c:v>337.72845142534106</c:v>
                </c:pt>
                <c:pt idx="61">
                  <c:v>328.20813643129185</c:v>
                </c:pt>
                <c:pt idx="62">
                  <c:v>333.98904268407705</c:v>
                </c:pt>
                <c:pt idx="63">
                  <c:v>339.76774401998046</c:v>
                </c:pt>
                <c:pt idx="64">
                  <c:v>345.54428327562624</c:v>
                </c:pt>
                <c:pt idx="65">
                  <c:v>351.31870173688304</c:v>
                </c:pt>
                <c:pt idx="66">
                  <c:v>342.14657846410142</c:v>
                </c:pt>
                <c:pt idx="67">
                  <c:v>346.56345125111949</c:v>
                </c:pt>
                <c:pt idx="68">
                  <c:v>350.97908804987384</c:v>
                </c:pt>
                <c:pt idx="69">
                  <c:v>355.39350662617045</c:v>
                </c:pt>
                <c:pt idx="70">
                  <c:v>359.80672426785873</c:v>
                </c:pt>
                <c:pt idx="71">
                  <c:v>354.03535269094056</c:v>
                </c:pt>
                <c:pt idx="72">
                  <c:v>358.44893803761056</c:v>
                </c:pt>
                <c:pt idx="73">
                  <c:v>362.86133414806545</c:v>
                </c:pt>
                <c:pt idx="74">
                  <c:v>367.2725575433945</c:v>
                </c:pt>
                <c:pt idx="75">
                  <c:v>371.68262431492644</c:v>
                </c:pt>
                <c:pt idx="76">
                  <c:v>363.87941227215771</c:v>
                </c:pt>
                <c:pt idx="77">
                  <c:v>367.95110424042514</c:v>
                </c:pt>
                <c:pt idx="78">
                  <c:v>372.02181276517581</c:v>
                </c:pt>
                <c:pt idx="79">
                  <c:v>376.09155014049156</c:v>
                </c:pt>
                <c:pt idx="80">
                  <c:v>380.16032837232211</c:v>
                </c:pt>
                <c:pt idx="81">
                  <c:v>369.9865806579885</c:v>
                </c:pt>
                <c:pt idx="82">
                  <c:v>369.9865806579885</c:v>
                </c:pt>
                <c:pt idx="83">
                  <c:v>369.9865806579885</c:v>
                </c:pt>
                <c:pt idx="84">
                  <c:v>369.9865806579885</c:v>
                </c:pt>
                <c:pt idx="85">
                  <c:v>369.9865806579885</c:v>
                </c:pt>
                <c:pt idx="86">
                  <c:v>369.9865806579885</c:v>
                </c:pt>
                <c:pt idx="87">
                  <c:v>369.9865806579885</c:v>
                </c:pt>
                <c:pt idx="88">
                  <c:v>369.9865806579885</c:v>
                </c:pt>
                <c:pt idx="89">
                  <c:v>369.9865806579885</c:v>
                </c:pt>
                <c:pt idx="90">
                  <c:v>369.9865806579885</c:v>
                </c:pt>
                <c:pt idx="91">
                  <c:v>369.9865806579885</c:v>
                </c:pt>
                <c:pt idx="92">
                  <c:v>369.9865806579885</c:v>
                </c:pt>
                <c:pt idx="93">
                  <c:v>369.9865806579885</c:v>
                </c:pt>
                <c:pt idx="94">
                  <c:v>369.9865806579885</c:v>
                </c:pt>
                <c:pt idx="95">
                  <c:v>369.9865806579885</c:v>
                </c:pt>
                <c:pt idx="96">
                  <c:v>369.9865806579885</c:v>
                </c:pt>
                <c:pt idx="97">
                  <c:v>369.9865806579885</c:v>
                </c:pt>
                <c:pt idx="98">
                  <c:v>369.9865806579885</c:v>
                </c:pt>
                <c:pt idx="99">
                  <c:v>369.9865806579885</c:v>
                </c:pt>
                <c:pt idx="100">
                  <c:v>369.9865806579885</c:v>
                </c:pt>
                <c:pt idx="101">
                  <c:v>369.9865806579885</c:v>
                </c:pt>
                <c:pt idx="102">
                  <c:v>369.9865806579885</c:v>
                </c:pt>
                <c:pt idx="103">
                  <c:v>369.9865806579885</c:v>
                </c:pt>
                <c:pt idx="104">
                  <c:v>369.9865806579885</c:v>
                </c:pt>
                <c:pt idx="105">
                  <c:v>369.9865806579885</c:v>
                </c:pt>
                <c:pt idx="106">
                  <c:v>369.9865806579885</c:v>
                </c:pt>
                <c:pt idx="107">
                  <c:v>369.9865806579885</c:v>
                </c:pt>
                <c:pt idx="108">
                  <c:v>369.9865806579885</c:v>
                </c:pt>
                <c:pt idx="109">
                  <c:v>369.9865806579885</c:v>
                </c:pt>
                <c:pt idx="110">
                  <c:v>369.9865806579885</c:v>
                </c:pt>
                <c:pt idx="111">
                  <c:v>369.9865806579885</c:v>
                </c:pt>
                <c:pt idx="112">
                  <c:v>369.9865806579885</c:v>
                </c:pt>
                <c:pt idx="113">
                  <c:v>369.9865806579885</c:v>
                </c:pt>
                <c:pt idx="114">
                  <c:v>369.9865806579885</c:v>
                </c:pt>
                <c:pt idx="115">
                  <c:v>369.9865806579885</c:v>
                </c:pt>
                <c:pt idx="116">
                  <c:v>369.9865806579885</c:v>
                </c:pt>
                <c:pt idx="117">
                  <c:v>369.9865806579885</c:v>
                </c:pt>
                <c:pt idx="118">
                  <c:v>369.9865806579885</c:v>
                </c:pt>
                <c:pt idx="119">
                  <c:v>369.9865806579885</c:v>
                </c:pt>
                <c:pt idx="120">
                  <c:v>369.9865806579885</c:v>
                </c:pt>
                <c:pt idx="121">
                  <c:v>369.9865806579885</c:v>
                </c:pt>
                <c:pt idx="122">
                  <c:v>369.9865806579885</c:v>
                </c:pt>
                <c:pt idx="123">
                  <c:v>369.9865806579885</c:v>
                </c:pt>
                <c:pt idx="124">
                  <c:v>369.9865806579885</c:v>
                </c:pt>
                <c:pt idx="125">
                  <c:v>369.9865806579885</c:v>
                </c:pt>
                <c:pt idx="126">
                  <c:v>369.9865806579885</c:v>
                </c:pt>
                <c:pt idx="127">
                  <c:v>369.9865806579885</c:v>
                </c:pt>
                <c:pt idx="128">
                  <c:v>369.9865806579885</c:v>
                </c:pt>
                <c:pt idx="129">
                  <c:v>369.9865806579885</c:v>
                </c:pt>
                <c:pt idx="130">
                  <c:v>369.9865806579885</c:v>
                </c:pt>
                <c:pt idx="131">
                  <c:v>369.9865806579885</c:v>
                </c:pt>
                <c:pt idx="132">
                  <c:v>369.9865806579885</c:v>
                </c:pt>
                <c:pt idx="133">
                  <c:v>369.9865806579885</c:v>
                </c:pt>
                <c:pt idx="134">
                  <c:v>369.9865806579885</c:v>
                </c:pt>
                <c:pt idx="135">
                  <c:v>369.9865806579885</c:v>
                </c:pt>
                <c:pt idx="136">
                  <c:v>369.9865806579885</c:v>
                </c:pt>
                <c:pt idx="137">
                  <c:v>369.9865806579885</c:v>
                </c:pt>
                <c:pt idx="138">
                  <c:v>369.9865806579885</c:v>
                </c:pt>
                <c:pt idx="139">
                  <c:v>369.9865806579885</c:v>
                </c:pt>
                <c:pt idx="140">
                  <c:v>369.9865806579885</c:v>
                </c:pt>
                <c:pt idx="141">
                  <c:v>369.9865806579885</c:v>
                </c:pt>
                <c:pt idx="142">
                  <c:v>369.9865806579885</c:v>
                </c:pt>
                <c:pt idx="143">
                  <c:v>369.9865806579885</c:v>
                </c:pt>
                <c:pt idx="144">
                  <c:v>369.9865806579885</c:v>
                </c:pt>
                <c:pt idx="145">
                  <c:v>369.9865806579885</c:v>
                </c:pt>
                <c:pt idx="146">
                  <c:v>369.9865806579885</c:v>
                </c:pt>
                <c:pt idx="147">
                  <c:v>369.9865806579885</c:v>
                </c:pt>
                <c:pt idx="148">
                  <c:v>369.9865806579885</c:v>
                </c:pt>
                <c:pt idx="149">
                  <c:v>369.9865806579885</c:v>
                </c:pt>
                <c:pt idx="150">
                  <c:v>369.9865806579885</c:v>
                </c:pt>
                <c:pt idx="151">
                  <c:v>369.9865806579885</c:v>
                </c:pt>
                <c:pt idx="152">
                  <c:v>369.9865806579885</c:v>
                </c:pt>
                <c:pt idx="153">
                  <c:v>369.9865806579885</c:v>
                </c:pt>
                <c:pt idx="154">
                  <c:v>369.9865806579885</c:v>
                </c:pt>
                <c:pt idx="155">
                  <c:v>369.9865806579885</c:v>
                </c:pt>
                <c:pt idx="156">
                  <c:v>369.9865806579885</c:v>
                </c:pt>
                <c:pt idx="157">
                  <c:v>369.9865806579885</c:v>
                </c:pt>
                <c:pt idx="158">
                  <c:v>369.9865806579885</c:v>
                </c:pt>
                <c:pt idx="159">
                  <c:v>369.9865806579885</c:v>
                </c:pt>
                <c:pt idx="160">
                  <c:v>369.9865806579885</c:v>
                </c:pt>
                <c:pt idx="161">
                  <c:v>369.9865806579885</c:v>
                </c:pt>
                <c:pt idx="162">
                  <c:v>369.9865806579885</c:v>
                </c:pt>
                <c:pt idx="163">
                  <c:v>369.9865806579885</c:v>
                </c:pt>
                <c:pt idx="164">
                  <c:v>369.9865806579885</c:v>
                </c:pt>
                <c:pt idx="165">
                  <c:v>369.9865806579885</c:v>
                </c:pt>
                <c:pt idx="166">
                  <c:v>369.9865806579885</c:v>
                </c:pt>
                <c:pt idx="167">
                  <c:v>369.9865806579885</c:v>
                </c:pt>
                <c:pt idx="168">
                  <c:v>369.9865806579885</c:v>
                </c:pt>
                <c:pt idx="169">
                  <c:v>369.9865806579885</c:v>
                </c:pt>
                <c:pt idx="170">
                  <c:v>369.9865806579885</c:v>
                </c:pt>
                <c:pt idx="171">
                  <c:v>369.9865806579885</c:v>
                </c:pt>
                <c:pt idx="172">
                  <c:v>369.9865806579885</c:v>
                </c:pt>
                <c:pt idx="173">
                  <c:v>369.9865806579885</c:v>
                </c:pt>
                <c:pt idx="174">
                  <c:v>369.9865806579885</c:v>
                </c:pt>
                <c:pt idx="175">
                  <c:v>369.9865806579885</c:v>
                </c:pt>
                <c:pt idx="176">
                  <c:v>369.9865806579885</c:v>
                </c:pt>
                <c:pt idx="177">
                  <c:v>369.9865806579885</c:v>
                </c:pt>
                <c:pt idx="178">
                  <c:v>369.9865806579885</c:v>
                </c:pt>
                <c:pt idx="179">
                  <c:v>369.9865806579885</c:v>
                </c:pt>
                <c:pt idx="180">
                  <c:v>369.9865806579885</c:v>
                </c:pt>
                <c:pt idx="181">
                  <c:v>369.9865806579885</c:v>
                </c:pt>
                <c:pt idx="182">
                  <c:v>369.9865806579885</c:v>
                </c:pt>
                <c:pt idx="183">
                  <c:v>369.9865806579885</c:v>
                </c:pt>
                <c:pt idx="184">
                  <c:v>369.9865806579885</c:v>
                </c:pt>
                <c:pt idx="185">
                  <c:v>369.9865806579885</c:v>
                </c:pt>
                <c:pt idx="186">
                  <c:v>369.9865806579885</c:v>
                </c:pt>
                <c:pt idx="187">
                  <c:v>369.9865806579885</c:v>
                </c:pt>
                <c:pt idx="188">
                  <c:v>369.9865806579885</c:v>
                </c:pt>
                <c:pt idx="189">
                  <c:v>369.9865806579885</c:v>
                </c:pt>
                <c:pt idx="190">
                  <c:v>369.9865806579885</c:v>
                </c:pt>
                <c:pt idx="191">
                  <c:v>369.9865806579885</c:v>
                </c:pt>
                <c:pt idx="192">
                  <c:v>369.9865806579885</c:v>
                </c:pt>
                <c:pt idx="193">
                  <c:v>369.9865806579885</c:v>
                </c:pt>
                <c:pt idx="194">
                  <c:v>369.9865806579885</c:v>
                </c:pt>
                <c:pt idx="195">
                  <c:v>369.9865806579885</c:v>
                </c:pt>
                <c:pt idx="196">
                  <c:v>369.9865806579885</c:v>
                </c:pt>
                <c:pt idx="197">
                  <c:v>369.9865806579885</c:v>
                </c:pt>
                <c:pt idx="198">
                  <c:v>369.9865806579885</c:v>
                </c:pt>
                <c:pt idx="199">
                  <c:v>369.9865806579885</c:v>
                </c:pt>
                <c:pt idx="200">
                  <c:v>369.9865806579885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2.478119393861888</c:v>
                </c:pt>
                <c:pt idx="2">
                  <c:v>2.9527425964063188</c:v>
                </c:pt>
                <c:pt idx="3">
                  <c:v>3.5186065327909621</c:v>
                </c:pt>
                <c:pt idx="4">
                  <c:v>4.1933125811030143</c:v>
                </c:pt>
                <c:pt idx="5">
                  <c:v>4.9978687367477814</c:v>
                </c:pt>
                <c:pt idx="6">
                  <c:v>5.9573509411136714</c:v>
                </c:pt>
                <c:pt idx="7">
                  <c:v>7.1016931542572657</c:v>
                </c:pt>
                <c:pt idx="8">
                  <c:v>8.4666312992933879</c:v>
                </c:pt>
                <c:pt idx="9">
                  <c:v>10.094831122001354</c:v>
                </c:pt>
                <c:pt idx="10">
                  <c:v>12.037235888739211</c:v>
                </c:pt>
                <c:pt idx="11">
                  <c:v>14.354676878402325</c:v>
                </c:pt>
                <c:pt idx="12">
                  <c:v>17.119798036432517</c:v>
                </c:pt>
                <c:pt idx="13">
                  <c:v>20.419356221931722</c:v>
                </c:pt>
                <c:pt idx="14">
                  <c:v>24.35697051729559</c:v>
                </c:pt>
                <c:pt idx="15">
                  <c:v>29.056408471900628</c:v>
                </c:pt>
                <c:pt idx="16">
                  <c:v>34.665514382207711</c:v>
                </c:pt>
                <c:pt idx="17">
                  <c:v>41.360905326743577</c:v>
                </c:pt>
                <c:pt idx="18">
                  <c:v>49.353585342024054</c:v>
                </c:pt>
                <c:pt idx="19">
                  <c:v>58.895657642143874</c:v>
                </c:pt>
                <c:pt idx="20">
                  <c:v>70.288350105273665</c:v>
                </c:pt>
                <c:pt idx="21">
                  <c:v>77.115721108744836</c:v>
                </c:pt>
                <c:pt idx="22">
                  <c:v>83.927716731965816</c:v>
                </c:pt>
                <c:pt idx="23">
                  <c:v>90.725763926973229</c:v>
                </c:pt>
                <c:pt idx="24">
                  <c:v>97.511057643942991</c:v>
                </c:pt>
                <c:pt idx="25">
                  <c:v>104.28461245280984</c:v>
                </c:pt>
                <c:pt idx="26">
                  <c:v>91.083193034949701</c:v>
                </c:pt>
                <c:pt idx="27">
                  <c:v>97.511057643942991</c:v>
                </c:pt>
                <c:pt idx="28">
                  <c:v>103.92838758980963</c:v>
                </c:pt>
                <c:pt idx="29">
                  <c:v>110.33592656570862</c:v>
                </c:pt>
                <c:pt idx="30">
                  <c:v>116.73432460418319</c:v>
                </c:pt>
                <c:pt idx="31">
                  <c:v>110.69162732463077</c:v>
                </c:pt>
                <c:pt idx="32">
                  <c:v>117.08953497430657</c:v>
                </c:pt>
                <c:pt idx="33">
                  <c:v>123.47890428692081</c:v>
                </c:pt>
                <c:pt idx="34">
                  <c:v>129.86024032294594</c:v>
                </c:pt>
                <c:pt idx="35">
                  <c:v>136.23399433545887</c:v>
                </c:pt>
                <c:pt idx="36">
                  <c:v>130.56880184871591</c:v>
                </c:pt>
                <c:pt idx="37">
                  <c:v>137.29557860666608</c:v>
                </c:pt>
                <c:pt idx="38">
                  <c:v>144.01442975042448</c:v>
                </c:pt>
                <c:pt idx="39">
                  <c:v>150.72577789611449</c:v>
                </c:pt>
                <c:pt idx="40">
                  <c:v>157.43000487343207</c:v>
                </c:pt>
                <c:pt idx="41">
                  <c:v>149.66657413173752</c:v>
                </c:pt>
                <c:pt idx="42">
                  <c:v>156.01916278650501</c:v>
                </c:pt>
                <c:pt idx="43">
                  <c:v>162.36560837552477</c:v>
                </c:pt>
                <c:pt idx="44">
                  <c:v>168.70618534384235</c:v>
                </c:pt>
                <c:pt idx="45">
                  <c:v>175.04114578206165</c:v>
                </c:pt>
                <c:pt idx="46">
                  <c:v>166.94548773682342</c:v>
                </c:pt>
                <c:pt idx="47">
                  <c:v>172.93010163969748</c:v>
                </c:pt>
                <c:pt idx="48">
                  <c:v>178.90984586312288</c:v>
                </c:pt>
                <c:pt idx="49">
                  <c:v>184.88490644192211</c:v>
                </c:pt>
                <c:pt idx="50">
                  <c:v>190.85545638141187</c:v>
                </c:pt>
                <c:pt idx="51">
                  <c:v>182.77658523565938</c:v>
                </c:pt>
                <c:pt idx="52">
                  <c:v>188.74870817143128</c:v>
                </c:pt>
                <c:pt idx="53">
                  <c:v>194.71642608832352</c:v>
                </c:pt>
                <c:pt idx="54">
                  <c:v>200.67989328789301</c:v>
                </c:pt>
                <c:pt idx="55">
                  <c:v>206.63925413557968</c:v>
                </c:pt>
                <c:pt idx="56">
                  <c:v>198.2248532935146</c:v>
                </c:pt>
                <c:pt idx="57">
                  <c:v>203.83535175303984</c:v>
                </c:pt>
                <c:pt idx="58">
                  <c:v>209.44227724318696</c:v>
                </c:pt>
                <c:pt idx="59">
                  <c:v>215.04573908845296</c:v>
                </c:pt>
                <c:pt idx="60">
                  <c:v>220.64584044043252</c:v>
                </c:pt>
                <c:pt idx="61">
                  <c:v>211.89421177306698</c:v>
                </c:pt>
                <c:pt idx="62">
                  <c:v>217.14616554866123</c:v>
                </c:pt>
                <c:pt idx="63">
                  <c:v>222.3951985046227</c:v>
                </c:pt>
                <c:pt idx="64">
                  <c:v>227.64138943591365</c:v>
                </c:pt>
                <c:pt idx="65">
                  <c:v>232.88481320255323</c:v>
                </c:pt>
                <c:pt idx="66">
                  <c:v>223.79445748130729</c:v>
                </c:pt>
                <c:pt idx="67">
                  <c:v>228.69029323287066</c:v>
                </c:pt>
                <c:pt idx="68">
                  <c:v>233.5837311632458</c:v>
                </c:pt>
                <c:pt idx="69">
                  <c:v>238.47482868961117</c:v>
                </c:pt>
                <c:pt idx="70">
                  <c:v>243.36364067727698</c:v>
                </c:pt>
                <c:pt idx="71">
                  <c:v>234.28260136483937</c:v>
                </c:pt>
                <c:pt idx="72">
                  <c:v>239.17336908398423</c:v>
                </c:pt>
                <c:pt idx="73">
                  <c:v>244.06185890372981</c:v>
                </c:pt>
                <c:pt idx="74">
                  <c:v>248.94812297245946</c:v>
                </c:pt>
                <c:pt idx="75">
                  <c:v>253.83221122068232</c:v>
                </c:pt>
                <c:pt idx="76">
                  <c:v>244.76003171038482</c:v>
                </c:pt>
                <c:pt idx="77">
                  <c:v>249.6459819406181</c:v>
                </c:pt>
                <c:pt idx="78">
                  <c:v>254.52976331030399</c:v>
                </c:pt>
                <c:pt idx="79">
                  <c:v>259.41142338132875</c:v>
                </c:pt>
                <c:pt idx="80">
                  <c:v>264.2910077762935</c:v>
                </c:pt>
                <c:pt idx="81">
                  <c:v>254.52976331030405</c:v>
                </c:pt>
                <c:pt idx="82">
                  <c:v>258.71417149720094</c:v>
                </c:pt>
                <c:pt idx="83">
                  <c:v>262.89705002309006</c:v>
                </c:pt>
                <c:pt idx="84">
                  <c:v>267.07842670720646</c:v>
                </c:pt>
                <c:pt idx="85">
                  <c:v>271.25832842500057</c:v>
                </c:pt>
                <c:pt idx="86">
                  <c:v>261.50292540634285</c:v>
                </c:pt>
                <c:pt idx="87">
                  <c:v>265.68479967260026</c:v>
                </c:pt>
                <c:pt idx="88">
                  <c:v>269.86519011598898</c:v>
                </c:pt>
                <c:pt idx="89">
                  <c:v>274.04412300873861</c:v>
                </c:pt>
                <c:pt idx="90">
                  <c:v>278.22162375497328</c:v>
                </c:pt>
                <c:pt idx="91">
                  <c:v>266.03322184841039</c:v>
                </c:pt>
                <c:pt idx="92">
                  <c:v>266.03322184841039</c:v>
                </c:pt>
                <c:pt idx="93">
                  <c:v>266.03322184841039</c:v>
                </c:pt>
                <c:pt idx="94">
                  <c:v>266.03322184841039</c:v>
                </c:pt>
                <c:pt idx="95">
                  <c:v>266.03322184841039</c:v>
                </c:pt>
                <c:pt idx="96">
                  <c:v>266.03322184841039</c:v>
                </c:pt>
                <c:pt idx="97">
                  <c:v>266.03322184841039</c:v>
                </c:pt>
                <c:pt idx="98">
                  <c:v>266.03322184841039</c:v>
                </c:pt>
                <c:pt idx="99">
                  <c:v>266.03322184841039</c:v>
                </c:pt>
                <c:pt idx="100">
                  <c:v>266.03322184841039</c:v>
                </c:pt>
                <c:pt idx="101">
                  <c:v>266.03322184841039</c:v>
                </c:pt>
                <c:pt idx="102">
                  <c:v>266.03322184841039</c:v>
                </c:pt>
                <c:pt idx="103">
                  <c:v>266.03322184841039</c:v>
                </c:pt>
                <c:pt idx="104">
                  <c:v>266.03322184841039</c:v>
                </c:pt>
                <c:pt idx="105">
                  <c:v>266.03322184841039</c:v>
                </c:pt>
                <c:pt idx="106">
                  <c:v>266.03322184841039</c:v>
                </c:pt>
                <c:pt idx="107">
                  <c:v>266.03322184841039</c:v>
                </c:pt>
                <c:pt idx="108">
                  <c:v>266.03322184841039</c:v>
                </c:pt>
                <c:pt idx="109">
                  <c:v>266.03322184841039</c:v>
                </c:pt>
                <c:pt idx="110">
                  <c:v>266.03322184841039</c:v>
                </c:pt>
                <c:pt idx="111">
                  <c:v>266.03322184841039</c:v>
                </c:pt>
                <c:pt idx="112">
                  <c:v>266.03322184841039</c:v>
                </c:pt>
                <c:pt idx="113">
                  <c:v>266.03322184841039</c:v>
                </c:pt>
                <c:pt idx="114">
                  <c:v>266.03322184841039</c:v>
                </c:pt>
                <c:pt idx="115">
                  <c:v>266.03322184841039</c:v>
                </c:pt>
                <c:pt idx="116">
                  <c:v>266.03322184841039</c:v>
                </c:pt>
                <c:pt idx="117">
                  <c:v>266.03322184841039</c:v>
                </c:pt>
                <c:pt idx="118">
                  <c:v>266.03322184841039</c:v>
                </c:pt>
                <c:pt idx="119">
                  <c:v>266.03322184841039</c:v>
                </c:pt>
                <c:pt idx="120">
                  <c:v>266.03322184841039</c:v>
                </c:pt>
                <c:pt idx="121">
                  <c:v>266.03322184841039</c:v>
                </c:pt>
                <c:pt idx="122">
                  <c:v>266.03322184841039</c:v>
                </c:pt>
                <c:pt idx="123">
                  <c:v>266.03322184841039</c:v>
                </c:pt>
                <c:pt idx="124">
                  <c:v>266.03322184841039</c:v>
                </c:pt>
                <c:pt idx="125">
                  <c:v>266.03322184841039</c:v>
                </c:pt>
                <c:pt idx="126">
                  <c:v>266.03322184841039</c:v>
                </c:pt>
                <c:pt idx="127">
                  <c:v>266.03322184841039</c:v>
                </c:pt>
                <c:pt idx="128">
                  <c:v>266.03322184841039</c:v>
                </c:pt>
                <c:pt idx="129">
                  <c:v>266.03322184841039</c:v>
                </c:pt>
                <c:pt idx="130">
                  <c:v>266.03322184841039</c:v>
                </c:pt>
                <c:pt idx="131">
                  <c:v>266.03322184841039</c:v>
                </c:pt>
                <c:pt idx="132">
                  <c:v>266.03322184841039</c:v>
                </c:pt>
                <c:pt idx="133">
                  <c:v>266.03322184841039</c:v>
                </c:pt>
                <c:pt idx="134">
                  <c:v>266.03322184841039</c:v>
                </c:pt>
                <c:pt idx="135">
                  <c:v>266.03322184841039</c:v>
                </c:pt>
                <c:pt idx="136">
                  <c:v>266.03322184841039</c:v>
                </c:pt>
                <c:pt idx="137">
                  <c:v>266.03322184841039</c:v>
                </c:pt>
                <c:pt idx="138">
                  <c:v>266.03322184841039</c:v>
                </c:pt>
                <c:pt idx="139">
                  <c:v>266.03322184841039</c:v>
                </c:pt>
                <c:pt idx="140">
                  <c:v>266.03322184841039</c:v>
                </c:pt>
                <c:pt idx="141">
                  <c:v>266.03322184841039</c:v>
                </c:pt>
                <c:pt idx="142">
                  <c:v>266.03322184841039</c:v>
                </c:pt>
                <c:pt idx="143">
                  <c:v>266.03322184841039</c:v>
                </c:pt>
                <c:pt idx="144">
                  <c:v>266.03322184841039</c:v>
                </c:pt>
                <c:pt idx="145">
                  <c:v>266.03322184841039</c:v>
                </c:pt>
                <c:pt idx="146">
                  <c:v>266.03322184841039</c:v>
                </c:pt>
                <c:pt idx="147">
                  <c:v>266.03322184841039</c:v>
                </c:pt>
                <c:pt idx="148">
                  <c:v>266.03322184841039</c:v>
                </c:pt>
                <c:pt idx="149">
                  <c:v>266.03322184841039</c:v>
                </c:pt>
                <c:pt idx="150">
                  <c:v>266.03322184841039</c:v>
                </c:pt>
                <c:pt idx="151">
                  <c:v>266.03322184841039</c:v>
                </c:pt>
                <c:pt idx="152">
                  <c:v>266.03322184841039</c:v>
                </c:pt>
                <c:pt idx="153">
                  <c:v>266.03322184841039</c:v>
                </c:pt>
                <c:pt idx="154">
                  <c:v>266.03322184841039</c:v>
                </c:pt>
                <c:pt idx="155">
                  <c:v>266.03322184841039</c:v>
                </c:pt>
                <c:pt idx="156">
                  <c:v>266.03322184841039</c:v>
                </c:pt>
                <c:pt idx="157">
                  <c:v>266.03322184841039</c:v>
                </c:pt>
                <c:pt idx="158">
                  <c:v>266.03322184841039</c:v>
                </c:pt>
                <c:pt idx="159">
                  <c:v>266.03322184841039</c:v>
                </c:pt>
                <c:pt idx="160">
                  <c:v>266.03322184841039</c:v>
                </c:pt>
                <c:pt idx="161">
                  <c:v>266.03322184841039</c:v>
                </c:pt>
                <c:pt idx="162">
                  <c:v>266.03322184841039</c:v>
                </c:pt>
                <c:pt idx="163">
                  <c:v>266.03322184841039</c:v>
                </c:pt>
                <c:pt idx="164">
                  <c:v>266.03322184841039</c:v>
                </c:pt>
                <c:pt idx="165">
                  <c:v>266.03322184841039</c:v>
                </c:pt>
                <c:pt idx="166">
                  <c:v>266.03322184841039</c:v>
                </c:pt>
                <c:pt idx="167">
                  <c:v>266.03322184841039</c:v>
                </c:pt>
                <c:pt idx="168">
                  <c:v>266.03322184841039</c:v>
                </c:pt>
                <c:pt idx="169">
                  <c:v>266.03322184841039</c:v>
                </c:pt>
                <c:pt idx="170">
                  <c:v>266.03322184841039</c:v>
                </c:pt>
                <c:pt idx="171">
                  <c:v>266.03322184841039</c:v>
                </c:pt>
                <c:pt idx="172">
                  <c:v>266.03322184841039</c:v>
                </c:pt>
                <c:pt idx="173">
                  <c:v>266.03322184841039</c:v>
                </c:pt>
                <c:pt idx="174">
                  <c:v>266.03322184841039</c:v>
                </c:pt>
                <c:pt idx="175">
                  <c:v>266.03322184841039</c:v>
                </c:pt>
                <c:pt idx="176">
                  <c:v>266.03322184841039</c:v>
                </c:pt>
                <c:pt idx="177">
                  <c:v>266.03322184841039</c:v>
                </c:pt>
                <c:pt idx="178">
                  <c:v>266.03322184841039</c:v>
                </c:pt>
                <c:pt idx="179">
                  <c:v>266.03322184841039</c:v>
                </c:pt>
                <c:pt idx="180">
                  <c:v>266.03322184841039</c:v>
                </c:pt>
                <c:pt idx="181">
                  <c:v>266.03322184841039</c:v>
                </c:pt>
                <c:pt idx="182">
                  <c:v>266.03322184841039</c:v>
                </c:pt>
                <c:pt idx="183">
                  <c:v>266.03322184841039</c:v>
                </c:pt>
                <c:pt idx="184">
                  <c:v>266.03322184841039</c:v>
                </c:pt>
                <c:pt idx="185">
                  <c:v>266.03322184841039</c:v>
                </c:pt>
                <c:pt idx="186">
                  <c:v>266.03322184841039</c:v>
                </c:pt>
                <c:pt idx="187">
                  <c:v>266.03322184841039</c:v>
                </c:pt>
                <c:pt idx="188">
                  <c:v>266.03322184841039</c:v>
                </c:pt>
                <c:pt idx="189">
                  <c:v>266.03322184841039</c:v>
                </c:pt>
                <c:pt idx="190">
                  <c:v>266.03322184841039</c:v>
                </c:pt>
                <c:pt idx="191">
                  <c:v>266.03322184841039</c:v>
                </c:pt>
                <c:pt idx="192">
                  <c:v>266.03322184841039</c:v>
                </c:pt>
                <c:pt idx="193">
                  <c:v>266.03322184841039</c:v>
                </c:pt>
                <c:pt idx="194">
                  <c:v>266.03322184841039</c:v>
                </c:pt>
                <c:pt idx="195">
                  <c:v>266.03322184841039</c:v>
                </c:pt>
                <c:pt idx="196">
                  <c:v>266.03322184841039</c:v>
                </c:pt>
                <c:pt idx="197">
                  <c:v>266.03322184841039</c:v>
                </c:pt>
                <c:pt idx="198">
                  <c:v>266.03322184841039</c:v>
                </c:pt>
                <c:pt idx="199">
                  <c:v>266.03322184841039</c:v>
                </c:pt>
                <c:pt idx="200">
                  <c:v>266.03322184841039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1.4712122312284983</c:v>
                </c:pt>
                <c:pt idx="2">
                  <c:v>1.8663419704639954</c:v>
                </c:pt>
                <c:pt idx="3">
                  <c:v>2.3680228344404912</c:v>
                </c:pt>
                <c:pt idx="4">
                  <c:v>3.0050970820881022</c:v>
                </c:pt>
                <c:pt idx="5">
                  <c:v>3.8142421061146679</c:v>
                </c:pt>
                <c:pt idx="6">
                  <c:v>4.8421059308986374</c:v>
                </c:pt>
                <c:pt idx="7">
                  <c:v>6.1480265267007121</c:v>
                </c:pt>
                <c:pt idx="8">
                  <c:v>7.807494994594653</c:v>
                </c:pt>
                <c:pt idx="9">
                  <c:v>9.9165666677570972</c:v>
                </c:pt>
                <c:pt idx="10">
                  <c:v>12.597480285062067</c:v>
                </c:pt>
                <c:pt idx="11">
                  <c:v>16.005816967936891</c:v>
                </c:pt>
                <c:pt idx="12">
                  <c:v>20.33962204213756</c:v>
                </c:pt>
                <c:pt idx="13">
                  <c:v>25.851029245191327</c:v>
                </c:pt>
                <c:pt idx="14">
                  <c:v>32.861075509641132</c:v>
                </c:pt>
                <c:pt idx="15">
                  <c:v>41.778584201423932</c:v>
                </c:pt>
                <c:pt idx="16">
                  <c:v>53.124236773393768</c:v>
                </c:pt>
                <c:pt idx="17">
                  <c:v>67.561261762981147</c:v>
                </c:pt>
                <c:pt idx="18">
                  <c:v>85.93456443495181</c:v>
                </c:pt>
                <c:pt idx="19">
                  <c:v>109.32062379294662</c:v>
                </c:pt>
                <c:pt idx="20">
                  <c:v>139.09112636290797</c:v>
                </c:pt>
                <c:pt idx="21">
                  <c:v>176.9941266730948</c:v>
                </c:pt>
                <c:pt idx="22">
                  <c:v>134.24092796087848</c:v>
                </c:pt>
                <c:pt idx="23">
                  <c:v>150.31378700553583</c:v>
                </c:pt>
                <c:pt idx="24">
                  <c:v>166.34566421731355</c:v>
                </c:pt>
                <c:pt idx="25">
                  <c:v>182.34106811494846</c:v>
                </c:pt>
                <c:pt idx="26">
                  <c:v>198.3036502064256</c:v>
                </c:pt>
                <c:pt idx="27">
                  <c:v>214.23642533382289</c:v>
                </c:pt>
                <c:pt idx="28">
                  <c:v>230.14192282721137</c:v>
                </c:pt>
                <c:pt idx="29">
                  <c:v>193.10392671645786</c:v>
                </c:pt>
                <c:pt idx="30">
                  <c:v>210.3937841285574</c:v>
                </c:pt>
                <c:pt idx="31">
                  <c:v>227.65087213143102</c:v>
                </c:pt>
                <c:pt idx="32">
                  <c:v>244.87802463525054</c:v>
                </c:pt>
                <c:pt idx="33">
                  <c:v>262.07764399998308</c:v>
                </c:pt>
                <c:pt idx="34">
                  <c:v>279.25179137186194</c:v>
                </c:pt>
                <c:pt idx="35">
                  <c:v>296.40225359943668</c:v>
                </c:pt>
                <c:pt idx="36">
                  <c:v>246.80805934521163</c:v>
                </c:pt>
                <c:pt idx="37">
                  <c:v>264.1278307134175</c:v>
                </c:pt>
                <c:pt idx="38">
                  <c:v>281.42199320812324</c:v>
                </c:pt>
                <c:pt idx="39">
                  <c:v>298.69234185428553</c:v>
                </c:pt>
                <c:pt idx="40">
                  <c:v>315.94044712289559</c:v>
                </c:pt>
                <c:pt idx="41">
                  <c:v>333.16769400588868</c:v>
                </c:pt>
                <c:pt idx="42">
                  <c:v>350.37531258098761</c:v>
                </c:pt>
                <c:pt idx="43">
                  <c:v>290.67998277410271</c:v>
                </c:pt>
                <c:pt idx="44">
                  <c:v>307.26657803176238</c:v>
                </c:pt>
                <c:pt idx="45">
                  <c:v>323.83328476591305</c:v>
                </c:pt>
                <c:pt idx="46">
                  <c:v>340.38126349469303</c:v>
                </c:pt>
                <c:pt idx="47">
                  <c:v>356.91155269084101</c:v>
                </c:pt>
                <c:pt idx="48">
                  <c:v>373.42508679269554</c:v>
                </c:pt>
                <c:pt idx="49">
                  <c:v>389.92271086196098</c:v>
                </c:pt>
                <c:pt idx="50">
                  <c:v>319.91337494526368</c:v>
                </c:pt>
                <c:pt idx="51">
                  <c:v>335.24536890445728</c:v>
                </c:pt>
                <c:pt idx="52">
                  <c:v>350.56192144536408</c:v>
                </c:pt>
                <c:pt idx="53">
                  <c:v>365.86380215740513</c:v>
                </c:pt>
                <c:pt idx="54">
                  <c:v>381.15171100494064</c:v>
                </c:pt>
                <c:pt idx="55">
                  <c:v>396.4262872246677</c:v>
                </c:pt>
                <c:pt idx="56">
                  <c:v>411.68811677998042</c:v>
                </c:pt>
                <c:pt idx="57">
                  <c:v>354.22212634657035</c:v>
                </c:pt>
                <c:pt idx="58">
                  <c:v>368.2126978199405</c:v>
                </c:pt>
                <c:pt idx="59">
                  <c:v>382.19167112074615</c:v>
                </c:pt>
                <c:pt idx="60">
                  <c:v>396.1595302032369</c:v>
                </c:pt>
                <c:pt idx="61">
                  <c:v>410.11672211122362</c:v>
                </c:pt>
                <c:pt idx="62">
                  <c:v>424.06366097989184</c:v>
                </c:pt>
                <c:pt idx="63">
                  <c:v>438.00073148368637</c:v>
                </c:pt>
                <c:pt idx="64">
                  <c:v>375.53485470761944</c:v>
                </c:pt>
                <c:pt idx="65">
                  <c:v>388.05569244056363</c:v>
                </c:pt>
                <c:pt idx="66">
                  <c:v>400.56776141102063</c:v>
                </c:pt>
                <c:pt idx="67">
                  <c:v>413.07137413616397</c:v>
                </c:pt>
                <c:pt idx="68">
                  <c:v>425.56682266848742</c:v>
                </c:pt>
                <c:pt idx="69">
                  <c:v>438.05438051014295</c:v>
                </c:pt>
                <c:pt idx="70">
                  <c:v>450.53430429760925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B16" sqref="B1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230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229</v>
      </c>
      <c r="C9" s="32">
        <v>0.77049999999999996</v>
      </c>
      <c r="D9" s="33">
        <f t="shared" ref="D9:D18" si="0">C9*$C$5</f>
        <v>177.215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">
        <v>168</v>
      </c>
      <c r="C10" s="32">
        <v>4.5005999999999997E-2</v>
      </c>
      <c r="D10" s="33">
        <f t="shared" si="0"/>
        <v>10.351379999999999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">
        <v>141</v>
      </c>
      <c r="C11" s="32">
        <v>4.5005999999999997E-2</v>
      </c>
      <c r="D11" s="33">
        <f t="shared" si="0"/>
        <v>10.351379999999999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 t="s">
        <v>143</v>
      </c>
      <c r="C12" s="32">
        <v>1.8003000000000002E-2</v>
      </c>
      <c r="D12" s="33">
        <f t="shared" si="0"/>
        <v>4.1406900000000002</v>
      </c>
      <c r="E12" s="34">
        <v>161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 t="s">
        <v>168</v>
      </c>
      <c r="C13" s="32">
        <v>2.7002999999999999E-2</v>
      </c>
      <c r="D13" s="33">
        <f t="shared" si="0"/>
        <v>6.2106899999999996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 t="s">
        <v>120</v>
      </c>
      <c r="C14" s="32">
        <v>1.8003000000000002E-2</v>
      </c>
      <c r="D14" s="33">
        <f t="shared" si="0"/>
        <v>4.1406900000000002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 t="s">
        <v>266</v>
      </c>
      <c r="C15" s="32">
        <v>2.7002999999999999E-2</v>
      </c>
      <c r="D15" s="33">
        <f t="shared" si="0"/>
        <v>6.2106899999999996</v>
      </c>
      <c r="E15" s="34">
        <v>70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 t="s">
        <v>105</v>
      </c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0.95052399999999992</v>
      </c>
      <c r="D19" s="38">
        <f>SUM(D9:D18)</f>
        <v>218.62052000000003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Erable sycomore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15</v>
      </c>
      <c r="B62" s="60">
        <v>37</v>
      </c>
      <c r="C62" s="60">
        <v>1</v>
      </c>
      <c r="D62" s="60">
        <v>15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2.4666666666666668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20</v>
      </c>
      <c r="B63" s="60">
        <v>80</v>
      </c>
      <c r="C63" s="60">
        <v>2</v>
      </c>
      <c r="D63" s="60">
        <v>28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11.6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25</v>
      </c>
      <c r="B64" s="60">
        <v>115</v>
      </c>
      <c r="C64" s="60">
        <v>3</v>
      </c>
      <c r="D64" s="60">
        <v>28</v>
      </c>
      <c r="E64" s="51">
        <v>0</v>
      </c>
      <c r="F64" s="51">
        <v>7.0000000000000007E-2</v>
      </c>
      <c r="G64" s="51">
        <v>0</v>
      </c>
      <c r="H64" s="51">
        <v>0.93</v>
      </c>
      <c r="I64" s="49">
        <f>IF(A64&lt;&gt;0,(B64-(B63-D63))/(A64-A63),"")</f>
        <v>12.6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30</v>
      </c>
      <c r="B65" s="60">
        <v>146</v>
      </c>
      <c r="C65" s="60">
        <v>4</v>
      </c>
      <c r="D65" s="60">
        <v>28</v>
      </c>
      <c r="E65" s="51">
        <v>0.04</v>
      </c>
      <c r="F65" s="51">
        <v>0.28999999999999998</v>
      </c>
      <c r="G65" s="51">
        <v>0</v>
      </c>
      <c r="H65" s="51">
        <v>0.68</v>
      </c>
      <c r="I65" s="49">
        <f>IF(A65&lt;&gt;0,(B65-(B64-D64))/(A65-A64),"")</f>
        <v>11.8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35</v>
      </c>
      <c r="B66" s="60">
        <v>172</v>
      </c>
      <c r="C66" s="60">
        <v>5</v>
      </c>
      <c r="D66" s="60">
        <v>28</v>
      </c>
      <c r="E66" s="51">
        <v>0.18</v>
      </c>
      <c r="F66" s="51">
        <v>0.43</v>
      </c>
      <c r="G66" s="51">
        <v>0</v>
      </c>
      <c r="H66" s="51">
        <v>0.39</v>
      </c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40</v>
      </c>
      <c r="B67" s="60">
        <v>192</v>
      </c>
      <c r="C67" s="60">
        <v>6</v>
      </c>
      <c r="D67" s="60">
        <v>28</v>
      </c>
      <c r="E67" s="51">
        <v>0.39</v>
      </c>
      <c r="F67" s="51">
        <v>0.39</v>
      </c>
      <c r="G67" s="51">
        <v>0</v>
      </c>
      <c r="H67" s="51">
        <v>0.21</v>
      </c>
      <c r="I67" s="49">
        <f t="shared" si="2"/>
        <v>9.6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45</v>
      </c>
      <c r="B68" s="60">
        <v>205</v>
      </c>
      <c r="C68" s="60">
        <v>7</v>
      </c>
      <c r="D68" s="60">
        <v>22</v>
      </c>
      <c r="E68" s="51">
        <v>0.59</v>
      </c>
      <c r="F68" s="51">
        <v>0.27</v>
      </c>
      <c r="G68" s="51">
        <v>0</v>
      </c>
      <c r="H68" s="51">
        <v>0.14000000000000001</v>
      </c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50</v>
      </c>
      <c r="B69" s="50">
        <v>219</v>
      </c>
      <c r="C69" s="50">
        <v>8</v>
      </c>
      <c r="D69" s="50">
        <v>17</v>
      </c>
      <c r="E69" s="51">
        <v>0.71</v>
      </c>
      <c r="F69" s="51">
        <v>0.18</v>
      </c>
      <c r="G69" s="51">
        <v>0</v>
      </c>
      <c r="H69" s="51">
        <v>0.12</v>
      </c>
      <c r="I69" s="49">
        <f t="shared" si="2"/>
        <v>7.2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55</v>
      </c>
      <c r="B70" s="50">
        <v>232</v>
      </c>
      <c r="C70" s="50">
        <v>9</v>
      </c>
      <c r="D70" s="50">
        <v>13</v>
      </c>
      <c r="E70" s="51">
        <v>0.77</v>
      </c>
      <c r="F70" s="51">
        <v>0.15</v>
      </c>
      <c r="G70" s="51">
        <v>0</v>
      </c>
      <c r="H70" s="51">
        <v>0.08</v>
      </c>
      <c r="I70" s="49">
        <f t="shared" si="2"/>
        <v>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60</v>
      </c>
      <c r="B71" s="50">
        <v>245</v>
      </c>
      <c r="C71" s="50">
        <v>10</v>
      </c>
      <c r="D71" s="50">
        <v>12</v>
      </c>
      <c r="E71" s="51">
        <v>0.83</v>
      </c>
      <c r="F71" s="51">
        <v>0.08</v>
      </c>
      <c r="G71" s="51">
        <v>0</v>
      </c>
      <c r="H71" s="51">
        <v>0.08</v>
      </c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65</v>
      </c>
      <c r="B72" s="50">
        <v>255</v>
      </c>
      <c r="C72" s="50">
        <v>11</v>
      </c>
      <c r="D72" s="50">
        <v>11</v>
      </c>
      <c r="E72" s="51">
        <v>0.82</v>
      </c>
      <c r="F72" s="51">
        <v>0.09</v>
      </c>
      <c r="G72" s="51">
        <v>0</v>
      </c>
      <c r="H72" s="51">
        <v>0.09</v>
      </c>
      <c r="I72" s="49">
        <f t="shared" si="2"/>
        <v>4.4000000000000004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70</v>
      </c>
      <c r="B73" s="50">
        <v>263</v>
      </c>
      <c r="C73" s="50">
        <v>12</v>
      </c>
      <c r="D73" s="50">
        <v>10</v>
      </c>
      <c r="E73" s="51">
        <v>0.9</v>
      </c>
      <c r="F73" s="51">
        <v>0.1</v>
      </c>
      <c r="G73" s="51">
        <v>0</v>
      </c>
      <c r="H73" s="51">
        <v>0</v>
      </c>
      <c r="I73" s="49">
        <f t="shared" si="2"/>
        <v>3.8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75</v>
      </c>
      <c r="B74" s="50">
        <v>270</v>
      </c>
      <c r="C74" s="50">
        <v>13</v>
      </c>
      <c r="D74" s="50">
        <v>9</v>
      </c>
      <c r="E74" s="51">
        <v>0.89</v>
      </c>
      <c r="F74" s="51">
        <v>0.11</v>
      </c>
      <c r="G74" s="51">
        <v>0</v>
      </c>
      <c r="H74" s="51">
        <v>0</v>
      </c>
      <c r="I74" s="49">
        <f t="shared" si="2"/>
        <v>3.4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80</v>
      </c>
      <c r="B75" s="50">
        <v>275</v>
      </c>
      <c r="C75" s="50">
        <v>14</v>
      </c>
      <c r="D75" s="50">
        <v>8</v>
      </c>
      <c r="E75" s="51">
        <v>0.88</v>
      </c>
      <c r="F75" s="51">
        <v>0.13</v>
      </c>
      <c r="G75" s="51">
        <v>0</v>
      </c>
      <c r="H75" s="51">
        <v>0</v>
      </c>
      <c r="I75" s="49">
        <f t="shared" si="2"/>
        <v>2.8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Chêne rouge d'Amérique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10</v>
      </c>
      <c r="B88" s="60">
        <v>13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1</v>
      </c>
      <c r="I88" s="53">
        <f>IFERROR(B88/A88,"")</f>
        <v>1.3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15</v>
      </c>
      <c r="B89" s="60">
        <v>36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4.5999999999999996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20</v>
      </c>
      <c r="B90" s="60">
        <v>67</v>
      </c>
      <c r="C90" s="60">
        <v>0</v>
      </c>
      <c r="D90" s="60">
        <v>0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6.2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25</v>
      </c>
      <c r="B91" s="60">
        <v>103</v>
      </c>
      <c r="C91" s="60">
        <v>1</v>
      </c>
      <c r="D91" s="60" t="s">
        <v>324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7.2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30</v>
      </c>
      <c r="B92" s="60">
        <v>98</v>
      </c>
      <c r="C92" s="60">
        <v>2</v>
      </c>
      <c r="D92" s="60" t="s">
        <v>325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6.6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35</v>
      </c>
      <c r="B93" s="60">
        <v>114</v>
      </c>
      <c r="C93" s="60">
        <v>3</v>
      </c>
      <c r="D93" s="60" t="s">
        <v>325</v>
      </c>
      <c r="E93" s="87">
        <v>0</v>
      </c>
      <c r="F93" s="87">
        <v>0</v>
      </c>
      <c r="G93" s="87">
        <v>0</v>
      </c>
      <c r="H93" s="87">
        <v>1</v>
      </c>
      <c r="I93" s="53">
        <f t="shared" si="3"/>
        <v>6.4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40</v>
      </c>
      <c r="B94" s="60">
        <v>128</v>
      </c>
      <c r="C94" s="60">
        <v>4</v>
      </c>
      <c r="D94" s="60" t="s">
        <v>325</v>
      </c>
      <c r="E94" s="87">
        <v>0</v>
      </c>
      <c r="F94" s="87">
        <v>0</v>
      </c>
      <c r="G94" s="87">
        <v>0</v>
      </c>
      <c r="H94" s="87">
        <v>1</v>
      </c>
      <c r="I94" s="53">
        <f t="shared" si="3"/>
        <v>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45</v>
      </c>
      <c r="B95" s="60">
        <v>139</v>
      </c>
      <c r="C95" s="60">
        <v>5</v>
      </c>
      <c r="D95" s="60" t="s">
        <v>326</v>
      </c>
      <c r="E95" s="87">
        <v>0</v>
      </c>
      <c r="F95" s="87">
        <v>0</v>
      </c>
      <c r="G95" s="87">
        <v>0</v>
      </c>
      <c r="H95" s="87">
        <v>1</v>
      </c>
      <c r="I95" s="53">
        <f t="shared" si="3"/>
        <v>5.4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50</v>
      </c>
      <c r="B96" s="60">
        <v>150</v>
      </c>
      <c r="C96" s="60">
        <v>6</v>
      </c>
      <c r="D96" s="60" t="s">
        <v>326</v>
      </c>
      <c r="E96" s="87">
        <v>0</v>
      </c>
      <c r="F96" s="87">
        <v>0.5</v>
      </c>
      <c r="G96" s="87">
        <v>0</v>
      </c>
      <c r="H96" s="87">
        <v>0.5</v>
      </c>
      <c r="I96" s="53">
        <f t="shared" si="3"/>
        <v>5.2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55</v>
      </c>
      <c r="B97" s="60">
        <v>158</v>
      </c>
      <c r="C97" s="60">
        <v>7</v>
      </c>
      <c r="D97" s="60" t="s">
        <v>327</v>
      </c>
      <c r="E97" s="87">
        <v>0</v>
      </c>
      <c r="F97" s="87">
        <v>0.5</v>
      </c>
      <c r="G97" s="87">
        <v>0</v>
      </c>
      <c r="H97" s="87">
        <v>0.5</v>
      </c>
      <c r="I97" s="53">
        <f t="shared" si="3"/>
        <v>4.5999999999999996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60</v>
      </c>
      <c r="B98" s="60">
        <v>165</v>
      </c>
      <c r="C98" s="60">
        <v>8</v>
      </c>
      <c r="D98" s="60" t="s">
        <v>328</v>
      </c>
      <c r="E98" s="87">
        <v>0</v>
      </c>
      <c r="F98" s="87">
        <v>0.5</v>
      </c>
      <c r="G98" s="87">
        <v>0</v>
      </c>
      <c r="H98" s="87">
        <v>0.5</v>
      </c>
      <c r="I98" s="53">
        <f t="shared" si="3"/>
        <v>4.2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65</v>
      </c>
      <c r="B99" s="60">
        <v>171</v>
      </c>
      <c r="C99" s="60">
        <v>9</v>
      </c>
      <c r="D99" s="60" t="s">
        <v>329</v>
      </c>
      <c r="E99" s="87">
        <v>0.4</v>
      </c>
      <c r="F99" s="87">
        <v>0.4</v>
      </c>
      <c r="G99" s="87">
        <v>0</v>
      </c>
      <c r="H99" s="87">
        <v>0.2</v>
      </c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70</v>
      </c>
      <c r="B100" s="60">
        <v>176</v>
      </c>
      <c r="C100" s="60">
        <v>10</v>
      </c>
      <c r="D100" s="60" t="s">
        <v>330</v>
      </c>
      <c r="E100" s="65">
        <v>0.4</v>
      </c>
      <c r="F100" s="65">
        <v>0.4</v>
      </c>
      <c r="G100" s="65">
        <v>0</v>
      </c>
      <c r="H100" s="65">
        <v>0.2</v>
      </c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75</v>
      </c>
      <c r="B101" s="60">
        <v>181</v>
      </c>
      <c r="C101" s="60">
        <v>11</v>
      </c>
      <c r="D101" s="60" t="s">
        <v>331</v>
      </c>
      <c r="E101" s="65">
        <v>0.4</v>
      </c>
      <c r="F101" s="65">
        <v>0.4</v>
      </c>
      <c r="G101" s="65">
        <v>0</v>
      </c>
      <c r="H101" s="65">
        <v>0.2</v>
      </c>
      <c r="I101" s="53">
        <f t="shared" si="3"/>
        <v>3.2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80</v>
      </c>
      <c r="B102" s="50">
        <v>185</v>
      </c>
      <c r="C102" s="60">
        <v>12</v>
      </c>
      <c r="D102" s="50" t="s">
        <v>332</v>
      </c>
      <c r="E102" s="54">
        <v>0.4</v>
      </c>
      <c r="F102" s="54">
        <v>0.4</v>
      </c>
      <c r="G102" s="54">
        <v>0</v>
      </c>
      <c r="H102" s="54">
        <v>0.2</v>
      </c>
      <c r="I102" s="53">
        <f t="shared" si="3"/>
        <v>2.8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85</v>
      </c>
      <c r="B103" s="50">
        <v>189</v>
      </c>
      <c r="C103" s="60">
        <v>13</v>
      </c>
      <c r="D103" s="50" t="s">
        <v>332</v>
      </c>
      <c r="E103" s="54">
        <v>0.4</v>
      </c>
      <c r="F103" s="54">
        <v>0.4</v>
      </c>
      <c r="G103" s="54">
        <v>0</v>
      </c>
      <c r="H103" s="54">
        <v>0.2</v>
      </c>
      <c r="I103" s="53">
        <f t="shared" si="3"/>
        <v>2.6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90</v>
      </c>
      <c r="B104" s="50">
        <v>193</v>
      </c>
      <c r="C104" s="60">
        <v>14</v>
      </c>
      <c r="D104" s="50" t="s">
        <v>332</v>
      </c>
      <c r="E104" s="54">
        <v>0.4</v>
      </c>
      <c r="F104" s="54">
        <v>0.4</v>
      </c>
      <c r="G104" s="54">
        <v>0</v>
      </c>
      <c r="H104" s="54">
        <v>0.2</v>
      </c>
      <c r="I104" s="53">
        <f t="shared" si="3"/>
        <v>2.6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95</v>
      </c>
      <c r="B105" s="50">
        <v>198</v>
      </c>
      <c r="C105" s="50">
        <v>15</v>
      </c>
      <c r="D105" s="50" t="s">
        <v>331</v>
      </c>
      <c r="E105" s="54">
        <v>0.4</v>
      </c>
      <c r="F105" s="54">
        <v>0.4</v>
      </c>
      <c r="G105" s="54">
        <v>0</v>
      </c>
      <c r="H105" s="54">
        <v>0.2</v>
      </c>
      <c r="I105" s="53">
        <f t="shared" si="3"/>
        <v>2.8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100</v>
      </c>
      <c r="B106" s="50">
        <v>201</v>
      </c>
      <c r="C106" s="50">
        <v>16</v>
      </c>
      <c r="D106" s="50" t="s">
        <v>331</v>
      </c>
      <c r="E106" s="54">
        <v>0.4</v>
      </c>
      <c r="F106" s="54">
        <v>0.4</v>
      </c>
      <c r="G106" s="54">
        <v>0</v>
      </c>
      <c r="H106" s="54">
        <v>0.2</v>
      </c>
      <c r="I106" s="53">
        <f t="shared" si="3"/>
        <v>2.6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>Chêne sessile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30</v>
      </c>
      <c r="B114" s="60">
        <v>87.705128205128204</v>
      </c>
      <c r="C114" s="50" t="s">
        <v>333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2.9235042735042733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44</v>
      </c>
      <c r="B115" s="60">
        <v>162.42307692307691</v>
      </c>
      <c r="C115" s="50">
        <v>1</v>
      </c>
      <c r="D115" s="60">
        <v>64.416666666666657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5.3369963369963358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51</v>
      </c>
      <c r="B116" s="60">
        <v>145.78846153846152</v>
      </c>
      <c r="C116" s="50">
        <v>2</v>
      </c>
      <c r="D116" s="60">
        <v>37.685897435897431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4"/>
        <v>6.826007326007324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59</v>
      </c>
      <c r="B117" s="60">
        <v>159.25641025641025</v>
      </c>
      <c r="C117" s="50">
        <v>3</v>
      </c>
      <c r="D117" s="60">
        <v>38.942307692307693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4"/>
        <v>6.3942307692307701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67</v>
      </c>
      <c r="B118" s="60">
        <v>167.85897435897436</v>
      </c>
      <c r="C118" s="50">
        <v>4</v>
      </c>
      <c r="D118" s="60">
        <v>31.993589743589741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4"/>
        <v>5.9431089743589762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75</v>
      </c>
      <c r="B119" s="60">
        <v>181.38461538461536</v>
      </c>
      <c r="C119" s="50">
        <v>5</v>
      </c>
      <c r="D119" s="60">
        <v>30.916666666666664</v>
      </c>
      <c r="E119" s="51">
        <v>0.7</v>
      </c>
      <c r="F119" s="51">
        <v>0</v>
      </c>
      <c r="G119" s="51">
        <v>0</v>
      </c>
      <c r="H119" s="51">
        <v>0.3</v>
      </c>
      <c r="I119" s="53">
        <f t="shared" si="4"/>
        <v>5.6899038461538431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84</v>
      </c>
      <c r="B120" s="60">
        <v>200.00641025641025</v>
      </c>
      <c r="C120" s="60">
        <v>6</v>
      </c>
      <c r="D120" s="60">
        <v>35.083333333333329</v>
      </c>
      <c r="E120" s="87">
        <v>0.7</v>
      </c>
      <c r="F120" s="87">
        <v>0</v>
      </c>
      <c r="G120" s="87">
        <v>0</v>
      </c>
      <c r="H120" s="87">
        <v>0.3</v>
      </c>
      <c r="I120" s="53">
        <f t="shared" si="4"/>
        <v>5.5042735042735051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93</v>
      </c>
      <c r="B121" s="60">
        <v>212.26923076923075</v>
      </c>
      <c r="C121" s="60">
        <v>7</v>
      </c>
      <c r="D121" s="60">
        <v>30.083333333333332</v>
      </c>
      <c r="E121" s="87">
        <v>0.7</v>
      </c>
      <c r="F121" s="87">
        <v>0</v>
      </c>
      <c r="G121" s="87">
        <v>0</v>
      </c>
      <c r="H121" s="87">
        <v>0.3</v>
      </c>
      <c r="I121" s="53">
        <f t="shared" si="4"/>
        <v>5.2606837606837598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103</v>
      </c>
      <c r="B122" s="60">
        <v>234.76923076923077</v>
      </c>
      <c r="C122" s="60">
        <v>8</v>
      </c>
      <c r="D122" s="60">
        <v>39.512820512820511</v>
      </c>
      <c r="E122" s="87">
        <v>0.7</v>
      </c>
      <c r="F122" s="87">
        <v>0</v>
      </c>
      <c r="G122" s="87">
        <v>0</v>
      </c>
      <c r="H122" s="87">
        <v>0.3</v>
      </c>
      <c r="I122" s="53">
        <f t="shared" si="4"/>
        <v>5.2583333333333373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113</v>
      </c>
      <c r="B123" s="60">
        <v>246.21794871794873</v>
      </c>
      <c r="C123" s="60">
        <v>9</v>
      </c>
      <c r="D123" s="60">
        <v>31.602564102564099</v>
      </c>
      <c r="E123" s="87">
        <v>0.7</v>
      </c>
      <c r="F123" s="87">
        <v>0</v>
      </c>
      <c r="G123" s="87">
        <v>0</v>
      </c>
      <c r="H123" s="87">
        <v>0.3</v>
      </c>
      <c r="I123" s="53">
        <f t="shared" si="4"/>
        <v>5.0961538461538449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125</v>
      </c>
      <c r="B124" s="60">
        <v>278.29487179487177</v>
      </c>
      <c r="C124" s="60">
        <v>10</v>
      </c>
      <c r="D124" s="60">
        <v>48.160256410256409</v>
      </c>
      <c r="E124" s="87">
        <v>0.7</v>
      </c>
      <c r="F124" s="87">
        <v>0</v>
      </c>
      <c r="G124" s="87">
        <v>0</v>
      </c>
      <c r="H124" s="87">
        <v>0.3</v>
      </c>
      <c r="I124" s="53">
        <f t="shared" si="4"/>
        <v>5.3066239316239274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137</v>
      </c>
      <c r="B125" s="60">
        <v>293.07051282051282</v>
      </c>
      <c r="C125" s="60">
        <v>11</v>
      </c>
      <c r="D125" s="60">
        <v>51.160256410256409</v>
      </c>
      <c r="E125" s="87">
        <v>0.7</v>
      </c>
      <c r="F125" s="87">
        <v>0</v>
      </c>
      <c r="G125" s="87">
        <v>0</v>
      </c>
      <c r="H125" s="87">
        <v>0.3</v>
      </c>
      <c r="I125" s="53">
        <f t="shared" si="4"/>
        <v>5.2446581196581219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149</v>
      </c>
      <c r="B126" s="60">
        <v>303.18589743589746</v>
      </c>
      <c r="C126" s="60">
        <v>12</v>
      </c>
      <c r="D126" s="60">
        <v>120.50641025641026</v>
      </c>
      <c r="E126" s="65">
        <v>0.9</v>
      </c>
      <c r="F126" s="65">
        <v>0</v>
      </c>
      <c r="G126" s="65">
        <v>0</v>
      </c>
      <c r="H126" s="65">
        <v>0.1</v>
      </c>
      <c r="I126" s="53">
        <f t="shared" si="4"/>
        <v>5.1063034188034209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153</v>
      </c>
      <c r="B127" s="60">
        <v>195.05769230769226</v>
      </c>
      <c r="C127" s="60">
        <v>13</v>
      </c>
      <c r="D127" s="60">
        <v>70.115384615384613</v>
      </c>
      <c r="E127" s="65">
        <v>0.9</v>
      </c>
      <c r="F127" s="65">
        <v>0</v>
      </c>
      <c r="G127" s="65">
        <v>0</v>
      </c>
      <c r="H127" s="65">
        <v>0.1</v>
      </c>
      <c r="I127" s="53">
        <f t="shared" si="4"/>
        <v>3.0945512820512704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157</v>
      </c>
      <c r="B128" s="50">
        <v>132.42948717948718</v>
      </c>
      <c r="C128" s="50">
        <v>14</v>
      </c>
      <c r="D128" s="50">
        <v>45.71153846153846</v>
      </c>
      <c r="E128" s="54">
        <v>0.9</v>
      </c>
      <c r="F128" s="54">
        <v>0</v>
      </c>
      <c r="G128" s="54">
        <v>0</v>
      </c>
      <c r="H128" s="54">
        <v>0.1</v>
      </c>
      <c r="I128" s="53">
        <f t="shared" si="4"/>
        <v>1.8717948717948829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161</v>
      </c>
      <c r="B129" s="50">
        <v>91.365384615384613</v>
      </c>
      <c r="C129" s="50">
        <v>15</v>
      </c>
      <c r="D129" s="50">
        <v>91.365384615384613</v>
      </c>
      <c r="E129" s="54">
        <v>0.9</v>
      </c>
      <c r="F129" s="54">
        <v>0</v>
      </c>
      <c r="G129" s="54">
        <v>0</v>
      </c>
      <c r="H129" s="54">
        <v>0.1</v>
      </c>
      <c r="I129" s="53">
        <f t="shared" si="4"/>
        <v>1.1618589743589709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>Erable sycomore</v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9</v>
      </c>
      <c r="C140" s="50">
        <v>0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57</v>
      </c>
      <c r="C141" s="50">
        <v>1</v>
      </c>
      <c r="D141" s="60">
        <v>21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86</v>
      </c>
      <c r="C142" s="50">
        <v>2</v>
      </c>
      <c r="D142" s="60">
        <v>21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30</v>
      </c>
      <c r="B143" s="60">
        <v>114</v>
      </c>
      <c r="C143" s="50">
        <v>3</v>
      </c>
      <c r="D143" s="60">
        <v>21</v>
      </c>
      <c r="E143" s="51">
        <v>0</v>
      </c>
      <c r="F143" s="51">
        <v>0.05</v>
      </c>
      <c r="G143" s="51">
        <v>0</v>
      </c>
      <c r="H143" s="51">
        <v>0.95</v>
      </c>
      <c r="I143" s="57">
        <f t="shared" si="5"/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35</v>
      </c>
      <c r="B144" s="60">
        <v>136</v>
      </c>
      <c r="C144" s="50">
        <v>4</v>
      </c>
      <c r="D144" s="60">
        <v>21</v>
      </c>
      <c r="E144" s="51">
        <v>0</v>
      </c>
      <c r="F144" s="51">
        <v>0.19</v>
      </c>
      <c r="G144" s="51">
        <v>0</v>
      </c>
      <c r="H144" s="51">
        <v>0.81</v>
      </c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40</v>
      </c>
      <c r="B145" s="60">
        <v>153</v>
      </c>
      <c r="C145" s="50">
        <v>5</v>
      </c>
      <c r="D145" s="60">
        <v>21</v>
      </c>
      <c r="E145" s="51">
        <v>0.05</v>
      </c>
      <c r="F145" s="51">
        <v>0.33</v>
      </c>
      <c r="G145" s="51">
        <v>0</v>
      </c>
      <c r="H145" s="51">
        <v>0.62</v>
      </c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45</v>
      </c>
      <c r="B146" s="60">
        <v>164</v>
      </c>
      <c r="C146" s="50">
        <v>6</v>
      </c>
      <c r="D146" s="60">
        <v>18</v>
      </c>
      <c r="E146" s="51">
        <v>0.17</v>
      </c>
      <c r="F146" s="51">
        <v>0.39</v>
      </c>
      <c r="G146" s="51">
        <v>0</v>
      </c>
      <c r="H146" s="51">
        <v>0.44</v>
      </c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50</v>
      </c>
      <c r="B147" s="60">
        <v>174</v>
      </c>
      <c r="C147" s="50">
        <v>7</v>
      </c>
      <c r="D147" s="60">
        <v>13</v>
      </c>
      <c r="E147" s="51">
        <v>0.23</v>
      </c>
      <c r="F147" s="51">
        <v>0.46</v>
      </c>
      <c r="G147" s="51">
        <v>0</v>
      </c>
      <c r="H147" s="51">
        <v>0.31</v>
      </c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55</v>
      </c>
      <c r="B148" s="60">
        <v>185</v>
      </c>
      <c r="C148" s="50">
        <v>8</v>
      </c>
      <c r="D148" s="60">
        <v>11</v>
      </c>
      <c r="E148" s="51">
        <v>0.36</v>
      </c>
      <c r="F148" s="51">
        <v>0.36</v>
      </c>
      <c r="G148" s="51">
        <v>0</v>
      </c>
      <c r="H148" s="51">
        <v>0.27</v>
      </c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60</v>
      </c>
      <c r="B149" s="60">
        <v>194</v>
      </c>
      <c r="C149" s="50">
        <v>9</v>
      </c>
      <c r="D149" s="60">
        <v>9</v>
      </c>
      <c r="E149" s="51">
        <v>0.44</v>
      </c>
      <c r="F149" s="51">
        <v>0.44</v>
      </c>
      <c r="G149" s="51">
        <v>0</v>
      </c>
      <c r="H149" s="51">
        <v>0.11</v>
      </c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65</v>
      </c>
      <c r="B150" s="60">
        <v>202</v>
      </c>
      <c r="C150" s="50">
        <v>10</v>
      </c>
      <c r="D150" s="60">
        <v>8</v>
      </c>
      <c r="E150" s="51">
        <v>0.63</v>
      </c>
      <c r="F150" s="51">
        <v>0.25</v>
      </c>
      <c r="G150" s="51">
        <v>0</v>
      </c>
      <c r="H150" s="51">
        <v>0.13</v>
      </c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70</v>
      </c>
      <c r="B151" s="60">
        <v>207</v>
      </c>
      <c r="C151" s="50">
        <v>11</v>
      </c>
      <c r="D151" s="60">
        <v>6</v>
      </c>
      <c r="E151" s="51">
        <v>0.83</v>
      </c>
      <c r="F151" s="51">
        <v>0.33</v>
      </c>
      <c r="G151" s="51">
        <v>0</v>
      </c>
      <c r="H151" s="51">
        <v>0.17</v>
      </c>
      <c r="I151" s="57">
        <f t="shared" si="5"/>
        <v>2.6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75</v>
      </c>
      <c r="B152" s="60">
        <v>214</v>
      </c>
      <c r="C152" s="50">
        <v>12</v>
      </c>
      <c r="D152" s="60">
        <v>7</v>
      </c>
      <c r="E152" s="54">
        <v>0.56999999999999995</v>
      </c>
      <c r="F152" s="54">
        <v>0.28999999999999998</v>
      </c>
      <c r="G152" s="54">
        <v>0</v>
      </c>
      <c r="H152" s="54">
        <v>0.14000000000000001</v>
      </c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80</v>
      </c>
      <c r="B153" s="60">
        <v>219</v>
      </c>
      <c r="C153" s="50">
        <v>13</v>
      </c>
      <c r="D153" s="60">
        <v>6</v>
      </c>
      <c r="E153" s="54">
        <v>0.67</v>
      </c>
      <c r="F153" s="54">
        <v>0.17</v>
      </c>
      <c r="G153" s="54">
        <v>0</v>
      </c>
      <c r="H153" s="54">
        <v>0.17</v>
      </c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>Bouleau verruqueux</v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20</v>
      </c>
      <c r="B166" s="60">
        <v>38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1.9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25</v>
      </c>
      <c r="B167" s="60">
        <v>57</v>
      </c>
      <c r="C167" s="60">
        <v>1</v>
      </c>
      <c r="D167" s="60">
        <v>11</v>
      </c>
      <c r="E167" s="51">
        <v>0</v>
      </c>
      <c r="F167" s="51">
        <v>0</v>
      </c>
      <c r="G167" s="51">
        <v>0.3</v>
      </c>
      <c r="H167" s="51">
        <v>0.7</v>
      </c>
      <c r="I167" s="49">
        <f t="shared" ref="I167:I185" si="6">IF(A167&lt;&gt;0,(B167-(B166-D166))/(A167-A166),"")</f>
        <v>3.8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30</v>
      </c>
      <c r="B168" s="60">
        <v>64</v>
      </c>
      <c r="C168" s="60">
        <v>2</v>
      </c>
      <c r="D168" s="60">
        <v>7</v>
      </c>
      <c r="E168" s="51">
        <v>0</v>
      </c>
      <c r="F168" s="51">
        <v>0</v>
      </c>
      <c r="G168" s="51">
        <v>0.3</v>
      </c>
      <c r="H168" s="51">
        <v>0.7</v>
      </c>
      <c r="I168" s="49">
        <f t="shared" si="6"/>
        <v>3.6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35</v>
      </c>
      <c r="B169" s="60">
        <v>75</v>
      </c>
      <c r="C169" s="60">
        <v>3</v>
      </c>
      <c r="D169" s="60">
        <v>7</v>
      </c>
      <c r="E169" s="51">
        <v>0</v>
      </c>
      <c r="F169" s="51">
        <v>0</v>
      </c>
      <c r="G169" s="51">
        <v>0.3</v>
      </c>
      <c r="H169" s="51">
        <v>0.7</v>
      </c>
      <c r="I169" s="49">
        <f t="shared" si="6"/>
        <v>3.6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40</v>
      </c>
      <c r="B170" s="60">
        <v>87</v>
      </c>
      <c r="C170" s="60">
        <v>4</v>
      </c>
      <c r="D170" s="60">
        <v>8</v>
      </c>
      <c r="E170" s="51">
        <v>0</v>
      </c>
      <c r="F170" s="51">
        <v>0.1</v>
      </c>
      <c r="G170" s="51">
        <v>0.3</v>
      </c>
      <c r="H170" s="51">
        <v>0.6</v>
      </c>
      <c r="I170" s="49">
        <f t="shared" si="6"/>
        <v>3.8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45</v>
      </c>
      <c r="B171" s="60">
        <v>97</v>
      </c>
      <c r="C171" s="60">
        <v>5</v>
      </c>
      <c r="D171" s="60">
        <v>8</v>
      </c>
      <c r="E171" s="51">
        <v>0</v>
      </c>
      <c r="F171" s="51">
        <v>0.1</v>
      </c>
      <c r="G171" s="51">
        <v>0.3</v>
      </c>
      <c r="H171" s="51">
        <v>0.6</v>
      </c>
      <c r="I171" s="49">
        <f t="shared" si="6"/>
        <v>3.6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50</v>
      </c>
      <c r="B172" s="60">
        <v>106</v>
      </c>
      <c r="C172" s="60">
        <v>6</v>
      </c>
      <c r="D172" s="60">
        <v>8</v>
      </c>
      <c r="E172" s="51">
        <v>0</v>
      </c>
      <c r="F172" s="51">
        <v>0.3</v>
      </c>
      <c r="G172" s="51">
        <v>0.3</v>
      </c>
      <c r="H172" s="51">
        <v>0.4</v>
      </c>
      <c r="I172" s="49">
        <f t="shared" si="6"/>
        <v>3.4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55</v>
      </c>
      <c r="B173" s="50">
        <v>115</v>
      </c>
      <c r="C173" s="50">
        <v>7</v>
      </c>
      <c r="D173" s="50">
        <v>8</v>
      </c>
      <c r="E173" s="51">
        <v>0</v>
      </c>
      <c r="F173" s="51">
        <v>0.3</v>
      </c>
      <c r="G173" s="51">
        <v>0.3</v>
      </c>
      <c r="H173" s="51">
        <v>0.4</v>
      </c>
      <c r="I173" s="49">
        <f t="shared" si="6"/>
        <v>3.4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60</v>
      </c>
      <c r="B174" s="50">
        <v>123</v>
      </c>
      <c r="C174" s="50">
        <v>8</v>
      </c>
      <c r="D174" s="50">
        <v>8</v>
      </c>
      <c r="E174" s="51">
        <v>0</v>
      </c>
      <c r="F174" s="51">
        <v>0.3</v>
      </c>
      <c r="G174" s="51">
        <v>0.3</v>
      </c>
      <c r="H174" s="51">
        <v>0.4</v>
      </c>
      <c r="I174" s="49">
        <f t="shared" si="6"/>
        <v>3.2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65</v>
      </c>
      <c r="B175" s="50">
        <v>130</v>
      </c>
      <c r="C175" s="50">
        <v>9</v>
      </c>
      <c r="D175" s="50">
        <v>8</v>
      </c>
      <c r="E175" s="51">
        <v>0</v>
      </c>
      <c r="F175" s="51">
        <v>0.3</v>
      </c>
      <c r="G175" s="51">
        <v>0.3</v>
      </c>
      <c r="H175" s="51">
        <v>0.4</v>
      </c>
      <c r="I175" s="49">
        <f t="shared" si="6"/>
        <v>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70</v>
      </c>
      <c r="B176" s="50">
        <v>136</v>
      </c>
      <c r="C176" s="50">
        <v>10</v>
      </c>
      <c r="D176" s="50">
        <v>8</v>
      </c>
      <c r="E176" s="51">
        <v>0.1</v>
      </c>
      <c r="F176" s="51">
        <v>0.4</v>
      </c>
      <c r="G176" s="51">
        <v>0.3</v>
      </c>
      <c r="H176" s="51">
        <v>0.2</v>
      </c>
      <c r="I176" s="49">
        <f t="shared" si="6"/>
        <v>2.8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75</v>
      </c>
      <c r="B177" s="50">
        <v>142</v>
      </c>
      <c r="C177" s="50">
        <v>11</v>
      </c>
      <c r="D177" s="50">
        <v>8</v>
      </c>
      <c r="E177" s="51">
        <v>0.1</v>
      </c>
      <c r="F177" s="51">
        <v>0.4</v>
      </c>
      <c r="G177" s="51">
        <v>0.3</v>
      </c>
      <c r="H177" s="51">
        <v>0.2</v>
      </c>
      <c r="I177" s="49">
        <f t="shared" si="6"/>
        <v>2.8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80</v>
      </c>
      <c r="B178" s="50">
        <v>148</v>
      </c>
      <c r="C178" s="50">
        <v>12</v>
      </c>
      <c r="D178" s="50">
        <v>8</v>
      </c>
      <c r="E178" s="51">
        <v>0.1</v>
      </c>
      <c r="F178" s="51">
        <v>0.4</v>
      </c>
      <c r="G178" s="51">
        <v>0.3</v>
      </c>
      <c r="H178" s="51">
        <v>0.2</v>
      </c>
      <c r="I178" s="49">
        <f t="shared" si="6"/>
        <v>2.8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85</v>
      </c>
      <c r="B179" s="50">
        <v>152</v>
      </c>
      <c r="C179" s="50">
        <v>13</v>
      </c>
      <c r="D179" s="50">
        <v>8</v>
      </c>
      <c r="E179" s="51">
        <v>0.2</v>
      </c>
      <c r="F179" s="51">
        <v>0.4</v>
      </c>
      <c r="G179" s="51">
        <v>0.2</v>
      </c>
      <c r="H179" s="51">
        <v>0.2</v>
      </c>
      <c r="I179" s="49">
        <f t="shared" si="6"/>
        <v>2.4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90</v>
      </c>
      <c r="B180" s="50">
        <v>156</v>
      </c>
      <c r="C180" s="50">
        <v>14</v>
      </c>
      <c r="D180" s="50">
        <v>7</v>
      </c>
      <c r="E180" s="51">
        <v>0.2</v>
      </c>
      <c r="F180" s="51">
        <v>0.4</v>
      </c>
      <c r="G180" s="51">
        <v>0.2</v>
      </c>
      <c r="H180" s="51">
        <v>0.2</v>
      </c>
      <c r="I180" s="49">
        <f t="shared" si="6"/>
        <v>2.4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>Séquoia toujours vert</v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21</v>
      </c>
      <c r="B192" s="60">
        <v>180.06153846153845</v>
      </c>
      <c r="C192" s="60">
        <v>1</v>
      </c>
      <c r="D192" s="60">
        <v>61.169230769230765</v>
      </c>
      <c r="E192" s="51">
        <v>0</v>
      </c>
      <c r="F192" s="51">
        <v>0.56000000000000005</v>
      </c>
      <c r="G192" s="51">
        <v>0.44</v>
      </c>
      <c r="H192" s="51">
        <v>0</v>
      </c>
      <c r="I192" s="49">
        <f>IFERROR(B192/A192,"")</f>
        <v>8.5743589743589741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28</v>
      </c>
      <c r="B193" s="60">
        <v>235.7076923076923</v>
      </c>
      <c r="C193" s="60">
        <v>2</v>
      </c>
      <c r="D193" s="60">
        <v>56.91538461538461</v>
      </c>
      <c r="E193" s="51">
        <v>0</v>
      </c>
      <c r="F193" s="51">
        <v>0.56000000000000005</v>
      </c>
      <c r="G193" s="51">
        <v>0.44</v>
      </c>
      <c r="H193" s="51">
        <v>0</v>
      </c>
      <c r="I193" s="49">
        <f t="shared" ref="I193:I201" si="7">IF(A193&lt;&gt;0,(B193-(B192-D192))/(A193-A192),"")</f>
        <v>16.687912087912089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30</v>
      </c>
      <c r="B194" s="60">
        <v>214.99230769230769</v>
      </c>
      <c r="C194" s="60" t="s">
        <v>333</v>
      </c>
      <c r="D194" s="60">
        <v>0</v>
      </c>
      <c r="E194" s="51">
        <v>0</v>
      </c>
      <c r="F194" s="51">
        <v>0</v>
      </c>
      <c r="G194" s="51">
        <v>0</v>
      </c>
      <c r="H194" s="51">
        <v>0</v>
      </c>
      <c r="I194" s="49">
        <f t="shared" si="7"/>
        <v>18.099999999999994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35</v>
      </c>
      <c r="B195" s="60">
        <v>305.49230769230769</v>
      </c>
      <c r="C195" s="60">
        <v>3</v>
      </c>
      <c r="D195" s="60">
        <v>70.5</v>
      </c>
      <c r="E195" s="51">
        <v>0.7</v>
      </c>
      <c r="F195" s="51">
        <v>0.16800000000000001</v>
      </c>
      <c r="G195" s="51">
        <v>0.13200000000000001</v>
      </c>
      <c r="H195" s="51">
        <v>0</v>
      </c>
      <c r="I195" s="49">
        <f t="shared" si="7"/>
        <v>18.100000000000001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42</v>
      </c>
      <c r="B196" s="60">
        <v>362.59999999999997</v>
      </c>
      <c r="C196" s="60">
        <v>4</v>
      </c>
      <c r="D196" s="60">
        <v>80.669230769230765</v>
      </c>
      <c r="E196" s="51">
        <v>0.7</v>
      </c>
      <c r="F196" s="51">
        <v>0.16800000000000001</v>
      </c>
      <c r="G196" s="51">
        <v>0.13200000000000001</v>
      </c>
      <c r="H196" s="51">
        <v>0</v>
      </c>
      <c r="I196" s="49">
        <f t="shared" si="7"/>
        <v>18.229670329670324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49</v>
      </c>
      <c r="B197" s="60">
        <v>404.56923076923078</v>
      </c>
      <c r="C197" s="60">
        <v>5</v>
      </c>
      <c r="D197" s="60">
        <v>90.453846153846158</v>
      </c>
      <c r="E197" s="51">
        <v>0.7</v>
      </c>
      <c r="F197" s="51">
        <v>0.16800000000000001</v>
      </c>
      <c r="G197" s="51">
        <v>0.13200000000000001</v>
      </c>
      <c r="H197" s="51">
        <v>0</v>
      </c>
      <c r="I197" s="49">
        <f t="shared" si="7"/>
        <v>17.519780219780223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56</v>
      </c>
      <c r="B198" s="60">
        <v>427.7076923076923</v>
      </c>
      <c r="C198" s="60">
        <v>6</v>
      </c>
      <c r="D198" s="60">
        <v>75.869230769230768</v>
      </c>
      <c r="E198" s="51">
        <v>0.7</v>
      </c>
      <c r="F198" s="51">
        <v>0.16800000000000001</v>
      </c>
      <c r="G198" s="51">
        <v>0.13200000000000001</v>
      </c>
      <c r="H198" s="51">
        <v>0</v>
      </c>
      <c r="I198" s="49">
        <f t="shared" si="7"/>
        <v>16.227472527472521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63</v>
      </c>
      <c r="B199" s="50">
        <v>455.71538461538466</v>
      </c>
      <c r="C199" s="50">
        <v>7</v>
      </c>
      <c r="D199" s="50">
        <v>79.723076923076917</v>
      </c>
      <c r="E199" s="51">
        <v>0.7</v>
      </c>
      <c r="F199" s="51">
        <v>0.16800000000000001</v>
      </c>
      <c r="G199" s="51">
        <v>0.13200000000000001</v>
      </c>
      <c r="H199" s="51">
        <v>0</v>
      </c>
      <c r="I199" s="49">
        <f t="shared" si="7"/>
        <v>14.839560439560453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70</v>
      </c>
      <c r="B200" s="50">
        <v>469.06923076923073</v>
      </c>
      <c r="C200" s="50">
        <v>8</v>
      </c>
      <c r="D200" s="50">
        <v>469.06923076923073</v>
      </c>
      <c r="E200" s="51">
        <v>0.7</v>
      </c>
      <c r="F200" s="51">
        <v>0.16800000000000001</v>
      </c>
      <c r="G200" s="51">
        <v>0.13200000000000001</v>
      </c>
      <c r="H200" s="51">
        <v>0</v>
      </c>
      <c r="I200" s="49">
        <f t="shared" si="7"/>
        <v>13.296703296703283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ref="I202:I211" si="8">IF(A202&lt;&gt;0,(B202-(B201-D201))/(A202-A201),"")</f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>Alisier torminal</v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2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ref="I228:I237" si="10">IF(A228&lt;&gt;0,(B228-(B227-D227))/(A228-A227),"")</f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67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sycomore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rouge d'Amérique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sycomore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Bouleau verruqueux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Séquoia toujours vert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Alisier torminal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197.78572767493569</v>
      </c>
      <c r="T3" s="59">
        <f>IF('Données projet'!E9&gt;30,$R$33-$H$33,LOOKUP('Données projet'!$E$9,$A$3:$A$203,R3:R203)-LOOKUP('Données projet'!$E$9,$A$3:$A$203,$H$3:$H$203))</f>
        <v>288.66487031729008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219.43439115440339</v>
      </c>
      <c r="AO3" s="59">
        <f>IF('Données projet'!E10&gt;30,$AM$33-$H$33,LOOKUP('Données projet'!$E$10,$A$3:$A$203,AM3:AM203)-LOOKUP('Données projet'!$E$10,$A$3:$A$203,$H$3:$H$203))</f>
        <v>217.8880462742099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175.73188403662408</v>
      </c>
      <c r="BJ3" s="59">
        <f>IF('Données projet'!E11&gt;30,$BH$33-$H$33,LOOKUP('Données projet'!$E$11,$A$3:$A$203,BH3:BH203)-LOOKUP('Données projet'!$E$11,$A$3:$A$203,$H$3:$H$203))</f>
        <v>152.02195399869032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213.54857791046686</v>
      </c>
      <c r="CE3" s="59">
        <f>IF('Données projet'!E12&gt;30,$CC$33-$H$33,LOOKUP('Données projet'!$E$12,$A$3:$A$203,CC3:CC203)-LOOKUP('Données projet'!$E$12,$A$3:$A$203,$H$3:$H$203))</f>
        <v>138.46877538074244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161.87883827031436</v>
      </c>
      <c r="CZ3" s="59">
        <f>IF('Données projet'!E13&gt;30,$CX$33-$H$33,LOOKUP('Données projet'!$E$13,$A$3:$A$203,CX3:CX203)-LOOKUP('Données projet'!$E$13,$A$3:$A$203,$H$3:$H$203))</f>
        <v>163.02076389611869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96.611230241682733</v>
      </c>
      <c r="DU3" s="59">
        <f>IF('Données projet'!E14&gt;30,$DS$33-$H$33,LOOKUP('Données projet'!$E$14,$A$3:$A$203,DS3:DS203)-LOOKUP('Données projet'!$E$14,$A$3:$A$203,$H$3:$H$203))</f>
        <v>78.711045514042041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188.61152573050066</v>
      </c>
      <c r="EP3" s="59">
        <f>IF('Données projet'!E15&gt;30,$EN$33-$H$33,LOOKUP('Données projet'!$E$15,$A$3:$A$203,EN3:EN203)-LOOKUP('Données projet'!$E$15,$A$3:$A$203,$H$3:$H$203))</f>
        <v>172.37050503841624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0</v>
      </c>
      <c r="FK3" s="59">
        <f>IF('Données projet'!E16&gt;30,$FI$33-$H$33,LOOKUP('Données projet'!$E$16,$A$3:$A$203,FI3:FI203)-LOOKUP('Données projet'!$E$16,$A$3:$A$203,$H$3:$H$203))</f>
        <v>0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197.78572767493569</v>
      </c>
      <c r="T4" s="59">
        <f>$T$3</f>
        <v>288.66487031729008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2.4666666666666668</v>
      </c>
      <c r="AI4" s="13">
        <f>IF('Données projet'!$A$62&gt;35,AI3+AH4-AQ3,IF(A4&lt;'Données projet'!$A$62,$AF$205^A4,IF(A4='Données projet'!$A$62,'Données projet'!$B$62,AI3+AH4-AQ3)))</f>
        <v>1.2721747796233518</v>
      </c>
      <c r="AJ4" s="13">
        <f>AI4*VLOOKUP('Données projet'!$B$10,Paramètres!$A$1:$I$89,3,0)*VLOOKUP('Données projet'!$B$10,Paramètres!$A$1:$I$89,5,0)</f>
        <v>1.0121422546683387</v>
      </c>
      <c r="AK4" s="13">
        <f>EXP(-1.0587+0.8836*LN(AJ4)+0.284)</f>
        <v>0.46578286063395047</v>
      </c>
      <c r="AL4" s="20">
        <f t="shared" ref="AL4:AL67" si="4">(AJ4+AK4)*0.475*44/12</f>
        <v>2.574052909151487</v>
      </c>
      <c r="AM4" s="59">
        <f t="shared" ref="AM4:AM67" si="5">AL4+(AD4+AE4)*44/12</f>
        <v>295.90738624248479</v>
      </c>
      <c r="AN4" s="59">
        <f ca="1">AVERAGE(OFFSET($AM$3,0,0,'Données projet'!$E$10+1,1))-AVERAGE(OFFSET($H$3,0,0,'Données projet'!$E$10+1,1))</f>
        <v>219.43439115440339</v>
      </c>
      <c r="AO4" s="59">
        <f>$AO$3</f>
        <v>217.8880462742099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1.3</v>
      </c>
      <c r="BD4" s="12">
        <f>IF('Données projet'!$A$88&gt;35,BD3+BC4-BL3,IF(A4&lt;'Données projet'!$A$88,$BA$205^A4,IF(A4='Données projet'!$A$88,'Données projet'!$B$88,BD3+BC4-BL3)))</f>
        <v>1.2923922207808318</v>
      </c>
      <c r="BE4" s="13">
        <f>BD4*VLOOKUP('Données projet'!$B$11,Paramètres!$A$1:$I$89,3,0)*VLOOKUP('Données projet'!$B$11,Paramètres!$A$1:$I$89,5,0)</f>
        <v>1.1290338440741348</v>
      </c>
      <c r="BF4" s="13">
        <f>EXP(-1.0587+0.8836*LN(BE4)+0.284)</f>
        <v>0.51300776087546685</v>
      </c>
      <c r="BG4" s="20">
        <f t="shared" ref="BG4:BG67" si="7">(BE4+BF4)*0.475*44/12</f>
        <v>2.8598891286205563</v>
      </c>
      <c r="BH4" s="59">
        <f t="shared" ref="BH4:BH67" si="8">BG4+(AY4+AZ4)*44/12</f>
        <v>296.19322246195389</v>
      </c>
      <c r="BI4" s="59">
        <f ca="1">AVERAGE(OFFSET($BH$3,0,0,'Données projet'!$E$11+1,1))-AVERAGE(OFFSET($H$3,0,0,'Données projet'!$E$11+1,1))</f>
        <v>175.73188403662408</v>
      </c>
      <c r="BJ4" s="59">
        <f>$BJ$3</f>
        <v>152.02195399869032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2.9235042735042733</v>
      </c>
      <c r="BY4" s="12">
        <f>IF('Données projet'!$A$114&gt;35,BY3+BX4-CG3,IF(A4&lt;'Données projet'!$A$114,$BV$205^A4,IF(A4='Données projet'!$A$114,'Données projet'!$B$114,BY3+BX4-CG3)))</f>
        <v>1.1608269964373037</v>
      </c>
      <c r="BZ4" s="13">
        <f>BY4*VLOOKUP('Données projet'!$B$12,Paramètres!$A$1:$I$89,3,0)*VLOOKUP('Données projet'!$B$12,Paramètres!$A$1:$I$89,5,0)</f>
        <v>1.0503162663764722</v>
      </c>
      <c r="CA4" s="13">
        <f>EXP(-1.0587+0.8836*LN(BZ4)+0.284)</f>
        <v>0.48127189162287909</v>
      </c>
      <c r="CB4" s="20">
        <f t="shared" ref="CB4:CB67" si="10">(BZ4+CA4)*0.475*44/12</f>
        <v>2.6675160418488701</v>
      </c>
      <c r="CC4" s="59">
        <f t="shared" ref="CC4:CC67" si="11">CB4+(BT4+BU4)*44/12</f>
        <v>296.00084937518216</v>
      </c>
      <c r="CD4" s="59">
        <f ca="1">AVERAGE(OFFSET($CC$3,0,0,'Données projet'!$E$12+1,1))-AVERAGE(OFFSET($H$3,0,0,'Données projet'!$E$12+1,1))</f>
        <v>213.54857791046686</v>
      </c>
      <c r="CE4" s="59">
        <f>$CE$3</f>
        <v>138.46877538074244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0.92110882185419962</v>
      </c>
      <c r="CV4" s="13">
        <f>EXP(-1.0587+0.8836*LN(CU4)+0.284)</f>
        <v>0.4285655059947403</v>
      </c>
      <c r="CW4" s="20">
        <f t="shared" ref="CW4:CW67" si="13">(CU4+CV4)*0.475*44/12</f>
        <v>2.3506827876702365</v>
      </c>
      <c r="CX4" s="59">
        <f t="shared" ref="CX4:CX67" si="14">CW4+(CO4+CP4)*44/12</f>
        <v>295.68401612100354</v>
      </c>
      <c r="CY4" s="59">
        <f ca="1">AVERAGE(OFFSET($CX$3,0,0,'Données projet'!$E$13+1,1))-AVERAGE(OFFSET($H$3,0,0,'Données projet'!$E$13+1,1))</f>
        <v>161.87883827031436</v>
      </c>
      <c r="CZ4" s="59">
        <f>$CZ$3</f>
        <v>163.02076389611869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1.9</v>
      </c>
      <c r="DO4" s="12">
        <f>IF('Données projet'!$A$166&gt;35,DO3+DN4-DW3,IF(A4&lt;'Données projet'!$A$166,$DL$205^A4,IF(A4='Données projet'!$A$166,'Données projet'!$B$166,DO3+DN4-DW3)))</f>
        <v>1.199469418763945</v>
      </c>
      <c r="DP4" s="17">
        <f>DO4*VLOOKUP('Données projet'!$B$14,Paramètres!$A$1:$I$89,3,0)*VLOOKUP('Données projet'!$B$14,Paramètres!$A$1:$I$89,5,0)</f>
        <v>0.97300959250131236</v>
      </c>
      <c r="DQ4" s="13">
        <f>EXP(-1.0587+0.8836*LN(DP4)+0.284)</f>
        <v>0.44983407861556124</v>
      </c>
      <c r="DR4" s="20">
        <f t="shared" ref="DR4:DR67" si="16">(DP4+DQ4)*0.475*44/12</f>
        <v>2.478119393861888</v>
      </c>
      <c r="DS4" s="59">
        <f t="shared" ref="DS4:DS67" si="17">DR4+(DJ4+DK4)*44/12</f>
        <v>295.81145272719522</v>
      </c>
      <c r="DT4" s="59">
        <f ca="1">AVERAGE(OFFSET($DS$3,0,0,'Données projet'!$E$14+1,1))-AVERAGE(OFFSET($H$3,0,0,'Données projet'!$E$14+1,1))</f>
        <v>96.611230241682733</v>
      </c>
      <c r="DU4" s="59">
        <f>$DU$3</f>
        <v>78.711045514042041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8.5743589743589741</v>
      </c>
      <c r="EJ4" s="12">
        <f>IF('Données projet'!$A$192&gt;35,EJ3+EI4-ER3,IF(A4&lt;'Données projet'!$A$192,$EG$205^A4,IF(A4='Données projet'!$A$192,'Données projet'!$B$192,EJ3+EI4-ER3)))</f>
        <v>1.2805631431945952</v>
      </c>
      <c r="EK4" s="17">
        <f>EJ4*VLOOKUP('Données projet'!$B$15,Paramètres!$A$1:$I$89,3,0)*VLOOKUP('Données projet'!$B$15,Paramètres!$A$1:$I$89,5,0)</f>
        <v>0.5660089092920112</v>
      </c>
      <c r="EL4" s="13">
        <f>EXP(-1.0587+0.8836*LN(EK4)+0.284)</f>
        <v>0.27870624739420802</v>
      </c>
      <c r="EM4" s="20">
        <f t="shared" ref="EM4:EM67" si="19">(EK4+EL4)*0.475*44/12</f>
        <v>1.4712122312284983</v>
      </c>
      <c r="EN4" s="59">
        <f t="shared" ref="EN4:EN67" si="20">EM4+(EE4+EF4)*44/12</f>
        <v>294.80454556456181</v>
      </c>
      <c r="EO4" s="59">
        <f ca="1">AVERAGE(OFFSET($EN$3,0,0,'Données projet'!$E$15+1,1))-AVERAGE(OFFSET($H$3,0,0,'Données projet'!$E$15+1,1))</f>
        <v>188.61152573050066</v>
      </c>
      <c r="EP4" s="59">
        <f>$EP$3</f>
        <v>172.37050503841624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>
        <f>FE4*VLOOKUP('Données projet'!$B$16,Paramètres!$A$1:$I$89,3,0)*VLOOKUP('Données projet'!$B$16,Paramètres!$A$1:$I$89,5,0)</f>
        <v>0</v>
      </c>
      <c r="FG4" s="13" t="e">
        <f>EXP(-1.0587+0.8836*LN(FF4)+0.284)</f>
        <v>#NUM!</v>
      </c>
      <c r="FH4" s="20" t="e">
        <f t="shared" ref="FH4:FH67" si="22">(FF4+FG4)*0.475*44/12</f>
        <v>#NUM!</v>
      </c>
      <c r="FI4" s="59" t="e">
        <f t="shared" ref="FI4:FI67" si="23">FH4+(EZ4+FA4)*44/12</f>
        <v>#NUM!</v>
      </c>
      <c r="FJ4" s="59">
        <f ca="1">AVERAGE(OFFSET($FI$3,0,0,'Données projet'!$E$16+1,1))-AVERAGE(OFFSET($H$3,0,0,'Données projet'!$E$16+1,1))</f>
        <v>0</v>
      </c>
      <c r="FK4" s="59">
        <f>$FK$3</f>
        <v>0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197.78572767493569</v>
      </c>
      <c r="T5" s="59">
        <f t="shared" ref="T5:T68" si="34">$T$3</f>
        <v>288.66487031729008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2.4666666666666668</v>
      </c>
      <c r="AI5" s="13">
        <f>IF('Données projet'!$A$62&gt;35,AI4+AH5-AQ4,IF(A5&lt;'Données projet'!$A$62,$AF$205^A5,IF(A5='Données projet'!$A$62,'Données projet'!$B$62,AI4+AH5-AQ4)))</f>
        <v>1.6184286699097237</v>
      </c>
      <c r="AJ5" s="13">
        <f>AI5*VLOOKUP('Données projet'!$B$10,Paramètres!$A$1:$I$89,3,0)*VLOOKUP('Données projet'!$B$10,Paramètres!$A$1:$I$89,5,0)</f>
        <v>1.2876218497801761</v>
      </c>
      <c r="AK5" s="13">
        <f t="shared" ref="AK5:AK68" si="35">EXP(-1.0587+0.8836*LN(AJ5)+0.284)</f>
        <v>0.57618379541883336</v>
      </c>
      <c r="AL5" s="20">
        <f t="shared" si="4"/>
        <v>3.2461281653882743</v>
      </c>
      <c r="AM5" s="59">
        <f t="shared" si="5"/>
        <v>296.57946149872157</v>
      </c>
      <c r="AN5" s="59">
        <f ca="1">AVERAGE(OFFSET($AM$3,0,0,'Données projet'!$E$10+1,1))-AVERAGE(OFFSET($H$3,0,0,'Données projet'!$E$10+1,1))</f>
        <v>219.43439115440339</v>
      </c>
      <c r="AO5" s="59">
        <f t="shared" ref="AO5:AO68" si="36">$AO$3</f>
        <v>217.8880462742099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1.3</v>
      </c>
      <c r="BD5" s="12">
        <f>IF('Données projet'!$A$88&gt;35,BD4+BC5-BL4,IF(A5&lt;'Données projet'!$A$88,$BA$205^A5,IF(A5='Données projet'!$A$88,'Données projet'!$B$88,BD4+BC5-BL4)))</f>
        <v>1.6702776523348104</v>
      </c>
      <c r="BE5" s="13">
        <f>BD5*VLOOKUP('Données projet'!$B$11,Paramètres!$A$1:$I$89,3,0)*VLOOKUP('Données projet'!$B$11,Paramètres!$A$1:$I$89,5,0)</f>
        <v>1.4591545570796904</v>
      </c>
      <c r="BF5" s="13">
        <f t="shared" ref="BF5:BF68" si="37">EXP(-1.0587+0.8836*LN(BE5)+0.284)</f>
        <v>0.64350506543164876</v>
      </c>
      <c r="BG5" s="20">
        <f t="shared" si="7"/>
        <v>3.662132175873916</v>
      </c>
      <c r="BH5" s="59">
        <f t="shared" si="8"/>
        <v>296.99546550920724</v>
      </c>
      <c r="BI5" s="59">
        <f ca="1">AVERAGE(OFFSET($BH$3,0,0,'Données projet'!$E$11+1,1))-AVERAGE(OFFSET($H$3,0,0,'Données projet'!$E$11+1,1))</f>
        <v>175.73188403662408</v>
      </c>
      <c r="BJ5" s="59">
        <f t="shared" ref="BJ5:BJ68" si="38">$BJ$3</f>
        <v>152.02195399869032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2.9235042735042733</v>
      </c>
      <c r="BY5" s="12">
        <f>IF('Données projet'!$A$114&gt;35,BY4+BX5-CG4,IF(A5&lt;'Données projet'!$A$114,$BV$205^A5,IF(A5='Données projet'!$A$114,'Données projet'!$B$114,BY4+BX5-CG4)))</f>
        <v>1.3475193156576519</v>
      </c>
      <c r="BZ5" s="13">
        <f>BY5*VLOOKUP('Données projet'!$B$12,Paramètres!$A$1:$I$89,3,0)*VLOOKUP('Données projet'!$B$12,Paramètres!$A$1:$I$89,5,0)</f>
        <v>1.2192354768070435</v>
      </c>
      <c r="CA5" s="13">
        <f t="shared" ref="CA5:CA68" si="39">EXP(-1.0587+0.8836*LN(BZ5)+0.284)</f>
        <v>0.54905905766229002</v>
      </c>
      <c r="CB5" s="20">
        <f t="shared" si="10"/>
        <v>3.0797796475340888</v>
      </c>
      <c r="CC5" s="59">
        <f t="shared" si="11"/>
        <v>296.41311298086742</v>
      </c>
      <c r="CD5" s="59">
        <f ca="1">AVERAGE(OFFSET($CC$3,0,0,'Données projet'!$E$12+1,1))-AVERAGE(OFFSET($H$3,0,0,'Données projet'!$E$12+1,1))</f>
        <v>213.54857791046686</v>
      </c>
      <c r="CE5" s="59">
        <f t="shared" ref="CE5:CE68" si="40">$CE$3</f>
        <v>138.46877538074244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1.0664171212891296</v>
      </c>
      <c r="CV5" s="13">
        <f t="shared" ref="CV5:CV68" si="41">EXP(-1.0587+0.8836*LN(CU5)+0.284)</f>
        <v>0.48778501947299968</v>
      </c>
      <c r="CW5" s="20">
        <f t="shared" si="13"/>
        <v>2.7069020618273747</v>
      </c>
      <c r="CX5" s="59">
        <f t="shared" si="14"/>
        <v>296.04023539516066</v>
      </c>
      <c r="CY5" s="59">
        <f ca="1">AVERAGE(OFFSET($CX$3,0,0,'Données projet'!$E$13+1,1))-AVERAGE(OFFSET($H$3,0,0,'Données projet'!$E$13+1,1))</f>
        <v>161.87883827031436</v>
      </c>
      <c r="CZ5" s="59">
        <f t="shared" ref="CZ5:CZ68" si="42">$CZ$3</f>
        <v>163.02076389611869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1.9</v>
      </c>
      <c r="DO5" s="12">
        <f>IF('Données projet'!$A$166&gt;35,DO4+DN5-DW4,IF(A5&lt;'Données projet'!$A$166,$DL$205^A5,IF(A5='Données projet'!$A$166,'Données projet'!$B$166,DO4+DN5-DW4)))</f>
        <v>1.4387268865499161</v>
      </c>
      <c r="DP5" s="17">
        <f>DO5*VLOOKUP('Données projet'!$B$14,Paramètres!$A$1:$I$89,3,0)*VLOOKUP('Données projet'!$B$14,Paramètres!$A$1:$I$89,5,0)</f>
        <v>1.167095250369292</v>
      </c>
      <c r="DQ5" s="13">
        <f t="shared" ref="DQ5:DQ68" si="43">EXP(-1.0587+0.8836*LN(DP5)+0.284)</f>
        <v>0.52825935043816374</v>
      </c>
      <c r="DR5" s="20">
        <f t="shared" si="16"/>
        <v>2.9527425964063188</v>
      </c>
      <c r="DS5" s="59">
        <f t="shared" si="17"/>
        <v>296.28607592973964</v>
      </c>
      <c r="DT5" s="59">
        <f ca="1">AVERAGE(OFFSET($DS$3,0,0,'Données projet'!$E$14+1,1))-AVERAGE(OFFSET($H$3,0,0,'Données projet'!$E$14+1,1))</f>
        <v>96.611230241682733</v>
      </c>
      <c r="DU5" s="59">
        <f t="shared" ref="DU5:DU68" si="44">$DU$3</f>
        <v>78.711045514042041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8.5743589743589741</v>
      </c>
      <c r="EJ5" s="12">
        <f>IF('Données projet'!$A$192&gt;35,EJ4+EI5-ER4,IF(A5&lt;'Données projet'!$A$192,$EG$205^A5,IF(A5='Données projet'!$A$192,'Données projet'!$B$192,EJ4+EI5-ER4)))</f>
        <v>1.6398419637084214</v>
      </c>
      <c r="EK5" s="17">
        <f>EJ5*VLOOKUP('Données projet'!$B$15,Paramètres!$A$1:$I$89,3,0)*VLOOKUP('Données projet'!$B$15,Paramètres!$A$1:$I$89,5,0)</f>
        <v>0.72481014795912235</v>
      </c>
      <c r="EL5" s="13">
        <f t="shared" ref="EL5:EL68" si="45">EXP(-1.0587+0.8836*LN(EK5)+0.284)</f>
        <v>0.34677375852738224</v>
      </c>
      <c r="EM5" s="20">
        <f t="shared" si="19"/>
        <v>1.8663419704639954</v>
      </c>
      <c r="EN5" s="59">
        <f t="shared" si="20"/>
        <v>295.19967530379733</v>
      </c>
      <c r="EO5" s="59">
        <f ca="1">AVERAGE(OFFSET($EN$3,0,0,'Données projet'!$E$15+1,1))-AVERAGE(OFFSET($H$3,0,0,'Données projet'!$E$15+1,1))</f>
        <v>188.61152573050066</v>
      </c>
      <c r="EP5" s="59">
        <f t="shared" ref="EP5:EP68" si="46">$EP$3</f>
        <v>172.37050503841624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>
        <f>FE5*VLOOKUP('Données projet'!$B$16,Paramètres!$A$1:$I$89,3,0)*VLOOKUP('Données projet'!$B$16,Paramètres!$A$1:$I$89,5,0)</f>
        <v>0</v>
      </c>
      <c r="FG5" s="13" t="e">
        <f t="shared" ref="FG5:FG68" si="47">EXP(-1.0587+0.8836*LN(FF5)+0.284)</f>
        <v>#NUM!</v>
      </c>
      <c r="FH5" s="20" t="e">
        <f t="shared" si="22"/>
        <v>#NUM!</v>
      </c>
      <c r="FI5" s="59" t="e">
        <f t="shared" si="23"/>
        <v>#NUM!</v>
      </c>
      <c r="FJ5" s="59">
        <f ca="1">AVERAGE(OFFSET($FI$3,0,0,'Données projet'!$E$16+1,1))-AVERAGE(OFFSET($H$3,0,0,'Données projet'!$E$16+1,1))</f>
        <v>0</v>
      </c>
      <c r="FK5" s="59">
        <f t="shared" ref="FK5:FK68" si="48">$FK$3</f>
        <v>0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197.78572767493569</v>
      </c>
      <c r="T6" s="59">
        <f t="shared" si="34"/>
        <v>288.66487031729008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2.4666666666666668</v>
      </c>
      <c r="AI6" s="13">
        <f>IF('Données projet'!$A$62&gt;35,AI5+AH6-AQ5,IF(A6&lt;'Données projet'!$A$62,$AF$205^A6,IF(A6='Données projet'!$A$62,'Données projet'!$B$62,AI5+AH6-AQ5)))</f>
        <v>2.0589241364785171</v>
      </c>
      <c r="AJ6" s="13">
        <f>AI6*VLOOKUP('Données projet'!$B$10,Paramètres!$A$1:$I$89,3,0)*VLOOKUP('Données projet'!$B$10,Paramètres!$A$1:$I$89,5,0)</f>
        <v>1.6380800429823084</v>
      </c>
      <c r="AK6" s="13">
        <f t="shared" si="35"/>
        <v>0.71275221602487127</v>
      </c>
      <c r="AL6" s="20">
        <f t="shared" si="4"/>
        <v>4.0943661844375043</v>
      </c>
      <c r="AM6" s="59">
        <f t="shared" si="5"/>
        <v>297.4276995177708</v>
      </c>
      <c r="AN6" s="59">
        <f ca="1">AVERAGE(OFFSET($AM$3,0,0,'Données projet'!$E$10+1,1))-AVERAGE(OFFSET($H$3,0,0,'Données projet'!$E$10+1,1))</f>
        <v>219.43439115440339</v>
      </c>
      <c r="AO6" s="59">
        <f t="shared" si="36"/>
        <v>217.8880462742099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1.3</v>
      </c>
      <c r="BD6" s="12">
        <f>IF('Données projet'!$A$88&gt;35,BD5+BC6-BL5,IF(A6&lt;'Données projet'!$A$88,$BA$205^A6,IF(A6='Données projet'!$A$88,'Données projet'!$B$88,BD5+BC6-BL5)))</f>
        <v>2.1586538444215799</v>
      </c>
      <c r="BE6" s="13">
        <f>BD6*VLOOKUP('Données projet'!$B$11,Paramètres!$A$1:$I$89,3,0)*VLOOKUP('Données projet'!$B$11,Paramètres!$A$1:$I$89,5,0)</f>
        <v>1.8857999984866922</v>
      </c>
      <c r="BF6" s="13">
        <f t="shared" si="37"/>
        <v>0.80719786486176281</v>
      </c>
      <c r="BG6" s="20">
        <f t="shared" si="7"/>
        <v>4.6903046119985587</v>
      </c>
      <c r="BH6" s="59">
        <f t="shared" si="8"/>
        <v>298.02363794533187</v>
      </c>
      <c r="BI6" s="59">
        <f ca="1">AVERAGE(OFFSET($BH$3,0,0,'Données projet'!$E$11+1,1))-AVERAGE(OFFSET($H$3,0,0,'Données projet'!$E$11+1,1))</f>
        <v>175.73188403662408</v>
      </c>
      <c r="BJ6" s="59">
        <f t="shared" si="38"/>
        <v>152.02195399869032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2.9235042735042733</v>
      </c>
      <c r="BY6" s="12">
        <f>IF('Données projet'!$A$114&gt;35,BY5+BX6-CG5,IF(A6&lt;'Données projet'!$A$114,$BV$205^A6,IF(A6='Données projet'!$A$114,'Données projet'!$B$114,BY5+BX6-CG5)))</f>
        <v>1.5642367998361231</v>
      </c>
      <c r="BZ6" s="13">
        <f>BY6*VLOOKUP('Données projet'!$B$12,Paramètres!$A$1:$I$89,3,0)*VLOOKUP('Données projet'!$B$12,Paramètres!$A$1:$I$89,5,0)</f>
        <v>1.415321456491724</v>
      </c>
      <c r="CA6" s="13">
        <f t="shared" si="39"/>
        <v>0.62639404887004735</v>
      </c>
      <c r="CB6" s="20">
        <f t="shared" si="10"/>
        <v>3.5559878385050854</v>
      </c>
      <c r="CC6" s="59">
        <f t="shared" si="11"/>
        <v>296.88932117183839</v>
      </c>
      <c r="CD6" s="59">
        <f ca="1">AVERAGE(OFFSET($CC$3,0,0,'Données projet'!$E$12+1,1))-AVERAGE(OFFSET($H$3,0,0,'Données projet'!$E$12+1,1))</f>
        <v>213.54857791046686</v>
      </c>
      <c r="CE6" s="59">
        <f t="shared" si="40"/>
        <v>138.46877538074244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1.2346483386070604</v>
      </c>
      <c r="CV6" s="13">
        <f t="shared" si="41"/>
        <v>0.5551875311803437</v>
      </c>
      <c r="CW6" s="20">
        <f t="shared" si="13"/>
        <v>3.1172974732130618</v>
      </c>
      <c r="CX6" s="59">
        <f t="shared" si="14"/>
        <v>296.45063080654637</v>
      </c>
      <c r="CY6" s="59">
        <f ca="1">AVERAGE(OFFSET($CX$3,0,0,'Données projet'!$E$13+1,1))-AVERAGE(OFFSET($H$3,0,0,'Données projet'!$E$13+1,1))</f>
        <v>161.87883827031436</v>
      </c>
      <c r="CZ6" s="59">
        <f t="shared" si="42"/>
        <v>163.02076389611869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1.9</v>
      </c>
      <c r="DO6" s="12">
        <f>IF('Données projet'!$A$166&gt;35,DO5+DN6-DW5,IF(A6&lt;'Données projet'!$A$166,$DL$205^A6,IF(A6='Données projet'!$A$166,'Données projet'!$B$166,DO5+DN6-DW5)))</f>
        <v>1.725708902370088</v>
      </c>
      <c r="DP6" s="17">
        <f>DO6*VLOOKUP('Données projet'!$B$14,Paramètres!$A$1:$I$89,3,0)*VLOOKUP('Données projet'!$B$14,Paramètres!$A$1:$I$89,5,0)</f>
        <v>1.3998950616026153</v>
      </c>
      <c r="DQ6" s="13">
        <f t="shared" si="43"/>
        <v>0.62035749310989874</v>
      </c>
      <c r="DR6" s="20">
        <f t="shared" si="16"/>
        <v>3.5186065327909621</v>
      </c>
      <c r="DS6" s="59">
        <f t="shared" si="17"/>
        <v>296.85193986612427</v>
      </c>
      <c r="DT6" s="59">
        <f ca="1">AVERAGE(OFFSET($DS$3,0,0,'Données projet'!$E$14+1,1))-AVERAGE(OFFSET($H$3,0,0,'Données projet'!$E$14+1,1))</f>
        <v>96.611230241682733</v>
      </c>
      <c r="DU6" s="59">
        <f t="shared" si="44"/>
        <v>78.711045514042041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8.5743589743589741</v>
      </c>
      <c r="EJ6" s="12">
        <f>IF('Données projet'!$A$192&gt;35,EJ5+EI6-ER5,IF(A6&lt;'Données projet'!$A$192,$EG$205^A6,IF(A6='Données projet'!$A$192,'Données projet'!$B$192,EJ5+EI6-ER5)))</f>
        <v>2.0999211793888533</v>
      </c>
      <c r="EK6" s="17">
        <f>EJ6*VLOOKUP('Données projet'!$B$15,Paramètres!$A$1:$I$89,3,0)*VLOOKUP('Données projet'!$B$15,Paramètres!$A$1:$I$89,5,0)</f>
        <v>0.92816516128987325</v>
      </c>
      <c r="EL6" s="13">
        <f t="shared" si="45"/>
        <v>0.4314651742740454</v>
      </c>
      <c r="EM6" s="20">
        <f t="shared" si="19"/>
        <v>2.3680228344404912</v>
      </c>
      <c r="EN6" s="59">
        <f t="shared" si="20"/>
        <v>295.70135616777378</v>
      </c>
      <c r="EO6" s="59">
        <f ca="1">AVERAGE(OFFSET($EN$3,0,0,'Données projet'!$E$15+1,1))-AVERAGE(OFFSET($H$3,0,0,'Données projet'!$E$15+1,1))</f>
        <v>188.61152573050066</v>
      </c>
      <c r="EP6" s="59">
        <f t="shared" si="46"/>
        <v>172.37050503841624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>
        <f>FE6*VLOOKUP('Données projet'!$B$16,Paramètres!$A$1:$I$89,3,0)*VLOOKUP('Données projet'!$B$16,Paramètres!$A$1:$I$89,5,0)</f>
        <v>0</v>
      </c>
      <c r="FG6" s="13" t="e">
        <f t="shared" si="47"/>
        <v>#NUM!</v>
      </c>
      <c r="FH6" s="20" t="e">
        <f t="shared" si="22"/>
        <v>#NUM!</v>
      </c>
      <c r="FI6" s="59" t="e">
        <f t="shared" si="23"/>
        <v>#NUM!</v>
      </c>
      <c r="FJ6" s="59">
        <f ca="1">AVERAGE(OFFSET($FI$3,0,0,'Données projet'!$E$16+1,1))-AVERAGE(OFFSET($H$3,0,0,'Données projet'!$E$16+1,1))</f>
        <v>0</v>
      </c>
      <c r="FK6" s="59">
        <f t="shared" si="48"/>
        <v>0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197.78572767493569</v>
      </c>
      <c r="T7" s="59">
        <f t="shared" si="34"/>
        <v>288.66487031729008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2.4666666666666668</v>
      </c>
      <c r="AI7" s="13">
        <f>IF('Données projet'!$A$62&gt;35,AI6+AH7-AQ6,IF(A7&lt;'Données projet'!$A$62,$AF$205^A7,IF(A7='Données projet'!$A$62,'Données projet'!$B$62,AI6+AH7-AQ6)))</f>
        <v>2.6193113595857573</v>
      </c>
      <c r="AJ7" s="13">
        <f>AI7*VLOOKUP('Données projet'!$B$10,Paramètres!$A$1:$I$89,3,0)*VLOOKUP('Données projet'!$B$10,Paramètres!$A$1:$I$89,5,0)</f>
        <v>2.0839241176864287</v>
      </c>
      <c r="AK7" s="13">
        <f t="shared" si="35"/>
        <v>0.88169040068036508</v>
      </c>
      <c r="AL7" s="20">
        <f t="shared" si="4"/>
        <v>5.1651119528221656</v>
      </c>
      <c r="AM7" s="59">
        <f t="shared" si="5"/>
        <v>298.49844528615546</v>
      </c>
      <c r="AN7" s="59">
        <f ca="1">AVERAGE(OFFSET($AM$3,0,0,'Données projet'!$E$10+1,1))-AVERAGE(OFFSET($H$3,0,0,'Données projet'!$E$10+1,1))</f>
        <v>219.43439115440339</v>
      </c>
      <c r="AO7" s="59">
        <f t="shared" si="36"/>
        <v>217.8880462742099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1.3</v>
      </c>
      <c r="BD7" s="12">
        <f>IF('Données projet'!$A$88&gt;35,BD6+BC7-BL6,IF(A7&lt;'Données projet'!$A$88,$BA$205^A7,IF(A7='Données projet'!$A$88,'Données projet'!$B$88,BD6+BC7-BL6)))</f>
        <v>2.789827435889086</v>
      </c>
      <c r="BE7" s="13">
        <f>BD7*VLOOKUP('Données projet'!$B$11,Paramètres!$A$1:$I$89,3,0)*VLOOKUP('Données projet'!$B$11,Paramètres!$A$1:$I$89,5,0)</f>
        <v>2.4371932479927056</v>
      </c>
      <c r="BF7" s="13">
        <f t="shared" si="37"/>
        <v>1.0125303249949265</v>
      </c>
      <c r="BG7" s="20">
        <f t="shared" si="7"/>
        <v>6.0082685562867928</v>
      </c>
      <c r="BH7" s="59">
        <f t="shared" si="8"/>
        <v>299.34160188962011</v>
      </c>
      <c r="BI7" s="59">
        <f ca="1">AVERAGE(OFFSET($BH$3,0,0,'Données projet'!$E$11+1,1))-AVERAGE(OFFSET($H$3,0,0,'Données projet'!$E$11+1,1))</f>
        <v>175.73188403662408</v>
      </c>
      <c r="BJ7" s="59">
        <f t="shared" si="38"/>
        <v>152.02195399869032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2.9235042735042733</v>
      </c>
      <c r="BY7" s="12">
        <f>IF('Données projet'!$A$114&gt;35,BY6+BX7-CG6,IF(A7&lt;'Données projet'!$A$114,$BV$205^A7,IF(A7='Données projet'!$A$114,'Données projet'!$B$114,BY6+BX7-CG6)))</f>
        <v>1.8158083060704666</v>
      </c>
      <c r="BZ7" s="13">
        <f>BY7*VLOOKUP('Données projet'!$B$12,Paramètres!$A$1:$I$89,3,0)*VLOOKUP('Données projet'!$B$12,Paramètres!$A$1:$I$89,5,0)</f>
        <v>1.6429433553325583</v>
      </c>
      <c r="CA7" s="13">
        <f t="shared" si="39"/>
        <v>0.71462167681995736</v>
      </c>
      <c r="CB7" s="20">
        <f t="shared" si="10"/>
        <v>4.1060924309989639</v>
      </c>
      <c r="CC7" s="59">
        <f t="shared" si="11"/>
        <v>297.43942576433227</v>
      </c>
      <c r="CD7" s="59">
        <f ca="1">AVERAGE(OFFSET($CC$3,0,0,'Données projet'!$E$12+1,1))-AVERAGE(OFFSET($H$3,0,0,'Données projet'!$E$12+1,1))</f>
        <v>213.54857791046686</v>
      </c>
      <c r="CE7" s="59">
        <f t="shared" si="40"/>
        <v>138.46877538074244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1.4294186482888311</v>
      </c>
      <c r="CV7" s="13">
        <f t="shared" si="41"/>
        <v>0.6319037741485759</v>
      </c>
      <c r="CW7" s="20">
        <f t="shared" si="13"/>
        <v>3.590136552411817</v>
      </c>
      <c r="CX7" s="59">
        <f t="shared" si="14"/>
        <v>296.92346988574513</v>
      </c>
      <c r="CY7" s="59">
        <f ca="1">AVERAGE(OFFSET($CX$3,0,0,'Données projet'!$E$13+1,1))-AVERAGE(OFFSET($H$3,0,0,'Données projet'!$E$13+1,1))</f>
        <v>161.87883827031436</v>
      </c>
      <c r="CZ7" s="59">
        <f t="shared" si="42"/>
        <v>163.02076389611869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1.9</v>
      </c>
      <c r="DO7" s="12">
        <f>IF('Données projet'!$A$166&gt;35,DO6+DN7-DW6,IF(A7&lt;'Données projet'!$A$166,$DL$205^A7,IF(A7='Données projet'!$A$166,'Données projet'!$B$166,DO6+DN7-DW6)))</f>
        <v>2.0699350540816153</v>
      </c>
      <c r="DP7" s="17">
        <f>DO7*VLOOKUP('Données projet'!$B$14,Paramètres!$A$1:$I$89,3,0)*VLOOKUP('Données projet'!$B$14,Paramètres!$A$1:$I$89,5,0)</f>
        <v>1.6791313158710064</v>
      </c>
      <c r="DQ7" s="13">
        <f t="shared" si="43"/>
        <v>0.72851227136517427</v>
      </c>
      <c r="DR7" s="20">
        <f t="shared" si="16"/>
        <v>4.1933125811030143</v>
      </c>
      <c r="DS7" s="59">
        <f t="shared" si="17"/>
        <v>297.5266459144363</v>
      </c>
      <c r="DT7" s="59">
        <f ca="1">AVERAGE(OFFSET($DS$3,0,0,'Données projet'!$E$14+1,1))-AVERAGE(OFFSET($H$3,0,0,'Données projet'!$E$14+1,1))</f>
        <v>96.611230241682733</v>
      </c>
      <c r="DU7" s="59">
        <f t="shared" si="44"/>
        <v>78.711045514042041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8.5743589743589741</v>
      </c>
      <c r="EJ7" s="12">
        <f>IF('Données projet'!$A$192&gt;35,EJ6+EI7-ER6,IF(A7&lt;'Données projet'!$A$192,$EG$205^A7,IF(A7='Données projet'!$A$192,'Données projet'!$B$192,EJ6+EI7-ER6)))</f>
        <v>2.6890816659390917</v>
      </c>
      <c r="EK7" s="17">
        <f>EJ7*VLOOKUP('Données projet'!$B$15,Paramètres!$A$1:$I$89,3,0)*VLOOKUP('Données projet'!$B$15,Paramètres!$A$1:$I$89,5,0)</f>
        <v>1.1885740963450786</v>
      </c>
      <c r="EL7" s="13">
        <f t="shared" si="45"/>
        <v>0.53684049624139163</v>
      </c>
      <c r="EM7" s="20">
        <f t="shared" si="19"/>
        <v>3.0050970820881022</v>
      </c>
      <c r="EN7" s="59">
        <f t="shared" si="20"/>
        <v>296.33843041542144</v>
      </c>
      <c r="EO7" s="59">
        <f ca="1">AVERAGE(OFFSET($EN$3,0,0,'Données projet'!$E$15+1,1))-AVERAGE(OFFSET($H$3,0,0,'Données projet'!$E$15+1,1))</f>
        <v>188.61152573050066</v>
      </c>
      <c r="EP7" s="59">
        <f t="shared" si="46"/>
        <v>172.37050503841624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>
        <f>FE7*VLOOKUP('Données projet'!$B$16,Paramètres!$A$1:$I$89,3,0)*VLOOKUP('Données projet'!$B$16,Paramètres!$A$1:$I$89,5,0)</f>
        <v>0</v>
      </c>
      <c r="FG7" s="13" t="e">
        <f t="shared" si="47"/>
        <v>#NUM!</v>
      </c>
      <c r="FH7" s="20" t="e">
        <f t="shared" si="22"/>
        <v>#NUM!</v>
      </c>
      <c r="FI7" s="59" t="e">
        <f t="shared" si="23"/>
        <v>#NUM!</v>
      </c>
      <c r="FJ7" s="59">
        <f ca="1">AVERAGE(OFFSET($FI$3,0,0,'Données projet'!$E$16+1,1))-AVERAGE(OFFSET($H$3,0,0,'Données projet'!$E$16+1,1))</f>
        <v>0</v>
      </c>
      <c r="FK7" s="59">
        <f t="shared" si="48"/>
        <v>0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197.78572767493569</v>
      </c>
      <c r="T8" s="59">
        <f t="shared" si="34"/>
        <v>288.66487031729008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2.4666666666666668</v>
      </c>
      <c r="AI8" s="13">
        <f>IF('Données projet'!$A$62&gt;35,AI7+AH8-AQ7,IF(A8&lt;'Données projet'!$A$62,$AF$205^A8,IF(A8='Données projet'!$A$62,'Données projet'!$B$62,AI7+AH8-AQ7)))</f>
        <v>3.332221851645953</v>
      </c>
      <c r="AJ8" s="13">
        <f>AI8*VLOOKUP('Données projet'!$B$10,Paramètres!$A$1:$I$89,3,0)*VLOOKUP('Données projet'!$B$10,Paramètres!$A$1:$I$89,5,0)</f>
        <v>2.6511157051695204</v>
      </c>
      <c r="AK8" s="13">
        <f t="shared" si="35"/>
        <v>1.0906707059957799</v>
      </c>
      <c r="AL8" s="20">
        <f t="shared" si="4"/>
        <v>6.5169446661128978</v>
      </c>
      <c r="AM8" s="59">
        <f t="shared" si="5"/>
        <v>299.85027799944623</v>
      </c>
      <c r="AN8" s="59">
        <f ca="1">AVERAGE(OFFSET($AM$3,0,0,'Données projet'!$E$10+1,1))-AVERAGE(OFFSET($H$3,0,0,'Données projet'!$E$10+1,1))</f>
        <v>219.43439115440339</v>
      </c>
      <c r="AO8" s="59">
        <f t="shared" si="36"/>
        <v>217.8880462742099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1.3</v>
      </c>
      <c r="BD8" s="12">
        <f>IF('Données projet'!$A$88&gt;35,BD7+BC8-BL7,IF(A8&lt;'Données projet'!$A$88,$BA$205^A8,IF(A8='Données projet'!$A$88,'Données projet'!$B$88,BD7+BC8-BL7)))</f>
        <v>3.6055512754639896</v>
      </c>
      <c r="BE8" s="13">
        <f>BD8*VLOOKUP('Données projet'!$B$11,Paramètres!$A$1:$I$89,3,0)*VLOOKUP('Données projet'!$B$11,Paramètres!$A$1:$I$89,5,0)</f>
        <v>3.1498095942453421</v>
      </c>
      <c r="BF8" s="13">
        <f t="shared" si="37"/>
        <v>1.2700946120687591</v>
      </c>
      <c r="BG8" s="20">
        <f t="shared" si="7"/>
        <v>7.6979998259970577</v>
      </c>
      <c r="BH8" s="59">
        <f t="shared" si="8"/>
        <v>301.03133315933036</v>
      </c>
      <c r="BI8" s="59">
        <f ca="1">AVERAGE(OFFSET($BH$3,0,0,'Données projet'!$E$11+1,1))-AVERAGE(OFFSET($H$3,0,0,'Données projet'!$E$11+1,1))</f>
        <v>175.73188403662408</v>
      </c>
      <c r="BJ8" s="59">
        <f t="shared" si="38"/>
        <v>152.02195399869032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2.9235042735042733</v>
      </c>
      <c r="BY8" s="12">
        <f>IF('Données projet'!$A$114&gt;35,BY7+BX8-CG7,IF(A8&lt;'Données projet'!$A$114,$BV$205^A8,IF(A8='Données projet'!$A$114,'Données projet'!$B$114,BY7+BX8-CG7)))</f>
        <v>2.1078393020416879</v>
      </c>
      <c r="BZ8" s="13">
        <f>BY8*VLOOKUP('Données projet'!$B$12,Paramètres!$A$1:$I$89,3,0)*VLOOKUP('Données projet'!$B$12,Paramètres!$A$1:$I$89,5,0)</f>
        <v>1.9071730004873191</v>
      </c>
      <c r="CA8" s="13">
        <f t="shared" si="39"/>
        <v>0.81527616985217366</v>
      </c>
      <c r="CB8" s="20">
        <f t="shared" si="10"/>
        <v>4.7415989716746161</v>
      </c>
      <c r="CC8" s="59">
        <f t="shared" si="11"/>
        <v>298.07493230500791</v>
      </c>
      <c r="CD8" s="59">
        <f ca="1">AVERAGE(OFFSET($CC$3,0,0,'Données projet'!$E$12+1,1))-AVERAGE(OFFSET($H$3,0,0,'Données projet'!$E$12+1,1))</f>
        <v>213.54857791046686</v>
      </c>
      <c r="CE8" s="59">
        <f t="shared" si="40"/>
        <v>138.46877538074244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1.654914689620095</v>
      </c>
      <c r="CV8" s="13">
        <f t="shared" si="41"/>
        <v>0.71922072697541817</v>
      </c>
      <c r="CW8" s="20">
        <f t="shared" si="13"/>
        <v>4.1349525172371857</v>
      </c>
      <c r="CX8" s="59">
        <f t="shared" si="14"/>
        <v>297.46828585057051</v>
      </c>
      <c r="CY8" s="59">
        <f ca="1">AVERAGE(OFFSET($CX$3,0,0,'Données projet'!$E$13+1,1))-AVERAGE(OFFSET($H$3,0,0,'Données projet'!$E$13+1,1))</f>
        <v>161.87883827031436</v>
      </c>
      <c r="CZ8" s="59">
        <f t="shared" si="42"/>
        <v>163.02076389611869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1.9</v>
      </c>
      <c r="DO8" s="12">
        <f>IF('Données projet'!$A$166&gt;35,DO7+DN8-DW7,IF(A8&lt;'Données projet'!$A$166,$DL$205^A8,IF(A8='Données projet'!$A$166,'Données projet'!$B$166,DO7+DN8-DW7)))</f>
        <v>2.4828237961983901</v>
      </c>
      <c r="DP8" s="17">
        <f>DO8*VLOOKUP('Données projet'!$B$14,Paramètres!$A$1:$I$89,3,0)*VLOOKUP('Données projet'!$B$14,Paramètres!$A$1:$I$89,5,0)</f>
        <v>2.0140666634761342</v>
      </c>
      <c r="DQ8" s="13">
        <f t="shared" si="43"/>
        <v>0.85552304183359684</v>
      </c>
      <c r="DR8" s="20">
        <f t="shared" si="16"/>
        <v>4.9978687367477814</v>
      </c>
      <c r="DS8" s="59">
        <f t="shared" si="17"/>
        <v>298.33120207008108</v>
      </c>
      <c r="DT8" s="59">
        <f ca="1">AVERAGE(OFFSET($DS$3,0,0,'Données projet'!$E$14+1,1))-AVERAGE(OFFSET($H$3,0,0,'Données projet'!$E$14+1,1))</f>
        <v>96.611230241682733</v>
      </c>
      <c r="DU8" s="59">
        <f t="shared" si="44"/>
        <v>78.711045514042041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8.5743589743589741</v>
      </c>
      <c r="EJ8" s="12">
        <f>IF('Données projet'!$A$192&gt;35,EJ7+EI8-ER7,IF(A8&lt;'Données projet'!$A$192,$EG$205^A8,IF(A8='Données projet'!$A$192,'Données projet'!$B$192,EJ7+EI8-ER7)))</f>
        <v>3.4435388704419219</v>
      </c>
      <c r="EK8" s="17">
        <f>EJ8*VLOOKUP('Données projet'!$B$15,Paramètres!$A$1:$I$89,3,0)*VLOOKUP('Données projet'!$B$15,Paramètres!$A$1:$I$89,5,0)</f>
        <v>1.5220441807353295</v>
      </c>
      <c r="EL8" s="13">
        <f t="shared" si="45"/>
        <v>0.66795128689031724</v>
      </c>
      <c r="EM8" s="20">
        <f t="shared" si="19"/>
        <v>3.8142421061146679</v>
      </c>
      <c r="EN8" s="59">
        <f t="shared" si="20"/>
        <v>297.14757543944796</v>
      </c>
      <c r="EO8" s="59">
        <f ca="1">AVERAGE(OFFSET($EN$3,0,0,'Données projet'!$E$15+1,1))-AVERAGE(OFFSET($H$3,0,0,'Données projet'!$E$15+1,1))</f>
        <v>188.61152573050066</v>
      </c>
      <c r="EP8" s="59">
        <f t="shared" si="46"/>
        <v>172.37050503841624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>
        <f>FE8*VLOOKUP('Données projet'!$B$16,Paramètres!$A$1:$I$89,3,0)*VLOOKUP('Données projet'!$B$16,Paramètres!$A$1:$I$89,5,0)</f>
        <v>0</v>
      </c>
      <c r="FG8" s="13" t="e">
        <f t="shared" si="47"/>
        <v>#NUM!</v>
      </c>
      <c r="FH8" s="20" t="e">
        <f t="shared" si="22"/>
        <v>#NUM!</v>
      </c>
      <c r="FI8" s="59" t="e">
        <f t="shared" si="23"/>
        <v>#NUM!</v>
      </c>
      <c r="FJ8" s="59">
        <f ca="1">AVERAGE(OFFSET($FI$3,0,0,'Données projet'!$E$16+1,1))-AVERAGE(OFFSET($H$3,0,0,'Données projet'!$E$16+1,1))</f>
        <v>0</v>
      </c>
      <c r="FK8" s="59">
        <f t="shared" si="48"/>
        <v>0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197.78572767493569</v>
      </c>
      <c r="T9" s="59">
        <f t="shared" si="34"/>
        <v>288.66487031729008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2.4666666666666668</v>
      </c>
      <c r="AI9" s="13">
        <f>IF('Données projet'!$A$62&gt;35,AI8+AH9-AQ8,IF(A9&lt;'Données projet'!$A$62,$AF$205^A9,IF(A9='Données projet'!$A$62,'Données projet'!$B$62,AI8+AH9-AQ8)))</f>
        <v>4.2391685997738069</v>
      </c>
      <c r="AJ9" s="13">
        <f>AI9*VLOOKUP('Données projet'!$B$10,Paramètres!$A$1:$I$89,3,0)*VLOOKUP('Données projet'!$B$10,Paramètres!$A$1:$I$89,5,0)</f>
        <v>3.3726825379800407</v>
      </c>
      <c r="AK9" s="13">
        <f t="shared" si="35"/>
        <v>1.3491840083541735</v>
      </c>
      <c r="AL9" s="20">
        <f t="shared" si="4"/>
        <v>8.2239175681987557</v>
      </c>
      <c r="AM9" s="59">
        <f t="shared" si="5"/>
        <v>301.55725090153209</v>
      </c>
      <c r="AN9" s="59">
        <f ca="1">AVERAGE(OFFSET($AM$3,0,0,'Données projet'!$E$10+1,1))-AVERAGE(OFFSET($H$3,0,0,'Données projet'!$E$10+1,1))</f>
        <v>219.43439115440339</v>
      </c>
      <c r="AO9" s="59">
        <f t="shared" si="36"/>
        <v>217.8880462742099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1.3</v>
      </c>
      <c r="BD9" s="12">
        <f>IF('Données projet'!$A$88&gt;35,BD8+BC9-BL8,IF(A9&lt;'Données projet'!$A$88,$BA$205^A9,IF(A9='Données projet'!$A$88,'Données projet'!$B$88,BD8+BC9-BL8)))</f>
        <v>4.6597864200360659</v>
      </c>
      <c r="BE9" s="13">
        <f>BD9*VLOOKUP('Données projet'!$B$11,Paramètres!$A$1:$I$89,3,0)*VLOOKUP('Données projet'!$B$11,Paramètres!$A$1:$I$89,5,0)</f>
        <v>4.0707894165435077</v>
      </c>
      <c r="BF9" s="13">
        <f t="shared" si="37"/>
        <v>1.5931772943335543</v>
      </c>
      <c r="BG9" s="20">
        <f t="shared" si="7"/>
        <v>9.8647420214442167</v>
      </c>
      <c r="BH9" s="59">
        <f t="shared" si="8"/>
        <v>303.19807535477753</v>
      </c>
      <c r="BI9" s="59">
        <f ca="1">AVERAGE(OFFSET($BH$3,0,0,'Données projet'!$E$11+1,1))-AVERAGE(OFFSET($H$3,0,0,'Données projet'!$E$11+1,1))</f>
        <v>175.73188403662408</v>
      </c>
      <c r="BJ9" s="59">
        <f t="shared" si="38"/>
        <v>152.02195399869032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2.9235042735042733</v>
      </c>
      <c r="BY9" s="12">
        <f>IF('Données projet'!$A$114&gt;35,BY8+BX9-CG8,IF(A9&lt;'Données projet'!$A$114,$BV$205^A9,IF(A9='Données projet'!$A$114,'Données projet'!$B$114,BY8+BX9-CG8)))</f>
        <v>2.4468367659615553</v>
      </c>
      <c r="BZ9" s="13">
        <f>BY9*VLOOKUP('Données projet'!$B$12,Paramètres!$A$1:$I$89,3,0)*VLOOKUP('Données projet'!$B$12,Paramètres!$A$1:$I$89,5,0)</f>
        <v>2.2138979058420154</v>
      </c>
      <c r="CA9" s="13">
        <f t="shared" si="39"/>
        <v>0.93010785243265093</v>
      </c>
      <c r="CB9" s="20">
        <f t="shared" si="10"/>
        <v>5.4758100289950429</v>
      </c>
      <c r="CC9" s="59">
        <f t="shared" si="11"/>
        <v>298.80914336232837</v>
      </c>
      <c r="CD9" s="59">
        <f ca="1">AVERAGE(OFFSET($CC$3,0,0,'Données projet'!$E$12+1,1))-AVERAGE(OFFSET($H$3,0,0,'Données projet'!$E$12+1,1))</f>
        <v>213.54857791046686</v>
      </c>
      <c r="CE9" s="59">
        <f t="shared" si="40"/>
        <v>138.46877538074244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1.9159835596093187</v>
      </c>
      <c r="CV9" s="13">
        <f t="shared" si="41"/>
        <v>0.81860320395779795</v>
      </c>
      <c r="CW9" s="20">
        <f t="shared" si="13"/>
        <v>4.7627386132127274</v>
      </c>
      <c r="CX9" s="59">
        <f t="shared" si="14"/>
        <v>298.09607194654603</v>
      </c>
      <c r="CY9" s="59">
        <f ca="1">AVERAGE(OFFSET($CX$3,0,0,'Données projet'!$E$13+1,1))-AVERAGE(OFFSET($H$3,0,0,'Données projet'!$E$13+1,1))</f>
        <v>161.87883827031436</v>
      </c>
      <c r="CZ9" s="59">
        <f t="shared" si="42"/>
        <v>163.02076389611869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1.9</v>
      </c>
      <c r="DO9" s="12">
        <f>IF('Données projet'!$A$166&gt;35,DO8+DN9-DW8,IF(A9&lt;'Données projet'!$A$166,$DL$205^A9,IF(A9='Données projet'!$A$166,'Données projet'!$B$166,DO8+DN9-DW8)))</f>
        <v>2.9780712157193747</v>
      </c>
      <c r="DP9" s="17">
        <f>DO9*VLOOKUP('Données projet'!$B$14,Paramètres!$A$1:$I$89,3,0)*VLOOKUP('Données projet'!$B$14,Paramètres!$A$1:$I$89,5,0)</f>
        <v>2.4158113701915571</v>
      </c>
      <c r="DQ9" s="13">
        <f t="shared" si="43"/>
        <v>1.0046772084383024</v>
      </c>
      <c r="DR9" s="20">
        <f t="shared" si="16"/>
        <v>5.9573509411136714</v>
      </c>
      <c r="DS9" s="59">
        <f t="shared" si="17"/>
        <v>299.29068427444696</v>
      </c>
      <c r="DT9" s="59">
        <f ca="1">AVERAGE(OFFSET($DS$3,0,0,'Données projet'!$E$14+1,1))-AVERAGE(OFFSET($H$3,0,0,'Données projet'!$E$14+1,1))</f>
        <v>96.611230241682733</v>
      </c>
      <c r="DU9" s="59">
        <f t="shared" si="44"/>
        <v>78.711045514042041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8.5743589743589741</v>
      </c>
      <c r="EJ9" s="12">
        <f>IF('Données projet'!$A$192&gt;35,EJ8+EI9-ER8,IF(A9&lt;'Données projet'!$A$192,$EG$205^A9,IF(A9='Données projet'!$A$192,'Données projet'!$B$192,EJ8+EI9-ER8)))</f>
        <v>4.4096689596458729</v>
      </c>
      <c r="EK9" s="17">
        <f>EJ9*VLOOKUP('Données projet'!$B$15,Paramètres!$A$1:$I$89,3,0)*VLOOKUP('Données projet'!$B$15,Paramètres!$A$1:$I$89,5,0)</f>
        <v>1.949073680163476</v>
      </c>
      <c r="EL9" s="13">
        <f t="shared" si="45"/>
        <v>0.8310828351850239</v>
      </c>
      <c r="EM9" s="20">
        <f t="shared" si="19"/>
        <v>4.8421059308986374</v>
      </c>
      <c r="EN9" s="59">
        <f t="shared" si="20"/>
        <v>298.17543926423195</v>
      </c>
      <c r="EO9" s="59">
        <f ca="1">AVERAGE(OFFSET($EN$3,0,0,'Données projet'!$E$15+1,1))-AVERAGE(OFFSET($H$3,0,0,'Données projet'!$E$15+1,1))</f>
        <v>188.61152573050066</v>
      </c>
      <c r="EP9" s="59">
        <f t="shared" si="46"/>
        <v>172.37050503841624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>
        <f>FE9*VLOOKUP('Données projet'!$B$16,Paramètres!$A$1:$I$89,3,0)*VLOOKUP('Données projet'!$B$16,Paramètres!$A$1:$I$89,5,0)</f>
        <v>0</v>
      </c>
      <c r="FG9" s="13" t="e">
        <f t="shared" si="47"/>
        <v>#NUM!</v>
      </c>
      <c r="FH9" s="20" t="e">
        <f t="shared" si="22"/>
        <v>#NUM!</v>
      </c>
      <c r="FI9" s="59" t="e">
        <f t="shared" si="23"/>
        <v>#NUM!</v>
      </c>
      <c r="FJ9" s="59">
        <f ca="1">AVERAGE(OFFSET($FI$3,0,0,'Données projet'!$E$16+1,1))-AVERAGE(OFFSET($H$3,0,0,'Données projet'!$E$16+1,1))</f>
        <v>0</v>
      </c>
      <c r="FK9" s="59">
        <f t="shared" si="48"/>
        <v>0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197.78572767493569</v>
      </c>
      <c r="T10" s="59">
        <f t="shared" si="34"/>
        <v>288.66487031729008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2.4666666666666668</v>
      </c>
      <c r="AI10" s="13">
        <f>IF('Données projet'!$A$62&gt;35,AI9+AH10-AQ9,IF(A10&lt;'Données projet'!$A$62,$AF$205^A10,IF(A10='Données projet'!$A$62,'Données projet'!$B$62,AI9+AH10-AQ9)))</f>
        <v>5.3929633792034757</v>
      </c>
      <c r="AJ10" s="13">
        <f>AI10*VLOOKUP('Données projet'!$B$10,Paramètres!$A$1:$I$89,3,0)*VLOOKUP('Données projet'!$B$10,Paramètres!$A$1:$I$89,5,0)</f>
        <v>4.2906416644942853</v>
      </c>
      <c r="AK10" s="13">
        <f t="shared" si="35"/>
        <v>1.6689707336887791</v>
      </c>
      <c r="AL10" s="20">
        <f t="shared" si="4"/>
        <v>10.379658260168837</v>
      </c>
      <c r="AM10" s="59">
        <f t="shared" si="5"/>
        <v>303.71299159350212</v>
      </c>
      <c r="AN10" s="59">
        <f ca="1">AVERAGE(OFFSET($AM$3,0,0,'Données projet'!$E$10+1,1))-AVERAGE(OFFSET($H$3,0,0,'Données projet'!$E$10+1,1))</f>
        <v>219.43439115440339</v>
      </c>
      <c r="AO10" s="59">
        <f t="shared" si="36"/>
        <v>217.8880462742099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1.3</v>
      </c>
      <c r="BD10" s="12">
        <f>IF('Données projet'!$A$88&gt;35,BD9+BC10-BL9,IF(A10&lt;'Données projet'!$A$88,$BA$205^A10,IF(A10='Données projet'!$A$88,'Données projet'!$B$88,BD9+BC10-BL9)))</f>
        <v>6.0222717197547739</v>
      </c>
      <c r="BE10" s="13">
        <f>BD10*VLOOKUP('Données projet'!$B$11,Paramètres!$A$1:$I$89,3,0)*VLOOKUP('Données projet'!$B$11,Paramètres!$A$1:$I$89,5,0)</f>
        <v>5.2610565743777711</v>
      </c>
      <c r="BF10" s="13">
        <f t="shared" si="37"/>
        <v>1.998444735582088</v>
      </c>
      <c r="BG10" s="20">
        <f t="shared" si="7"/>
        <v>12.643631448180088</v>
      </c>
      <c r="BH10" s="59">
        <f t="shared" si="8"/>
        <v>305.9769647815134</v>
      </c>
      <c r="BI10" s="59">
        <f ca="1">AVERAGE(OFFSET($BH$3,0,0,'Données projet'!$E$11+1,1))-AVERAGE(OFFSET($H$3,0,0,'Données projet'!$E$11+1,1))</f>
        <v>175.73188403662408</v>
      </c>
      <c r="BJ10" s="59">
        <f t="shared" si="38"/>
        <v>152.02195399869032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2.9235042735042733</v>
      </c>
      <c r="BY10" s="12">
        <f>IF('Données projet'!$A$114&gt;35,BY9+BX10-CG9,IF(A10&lt;'Données projet'!$A$114,$BV$205^A10,IF(A10='Données projet'!$A$114,'Données projet'!$B$114,BY9+BX10-CG9)))</f>
        <v>2.8403541738035183</v>
      </c>
      <c r="BZ10" s="13">
        <f>BY10*VLOOKUP('Données projet'!$B$12,Paramètres!$A$1:$I$89,3,0)*VLOOKUP('Données projet'!$B$12,Paramètres!$A$1:$I$89,5,0)</f>
        <v>2.5699524564574232</v>
      </c>
      <c r="CA10" s="13">
        <f t="shared" si="39"/>
        <v>1.0611135823014897</v>
      </c>
      <c r="CB10" s="20">
        <f t="shared" si="10"/>
        <v>6.3241066841717739</v>
      </c>
      <c r="CC10" s="59">
        <f t="shared" si="11"/>
        <v>299.65744001750511</v>
      </c>
      <c r="CD10" s="59">
        <f ca="1">AVERAGE(OFFSET($CC$3,0,0,'Données projet'!$E$12+1,1))-AVERAGE(OFFSET($H$3,0,0,'Données projet'!$E$12+1,1))</f>
        <v>213.54857791046686</v>
      </c>
      <c r="CE10" s="59">
        <f t="shared" si="40"/>
        <v>138.46877538074244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2.218237002619099</v>
      </c>
      <c r="CV10" s="13">
        <f t="shared" si="41"/>
        <v>0.93171842856647213</v>
      </c>
      <c r="CW10" s="20">
        <f t="shared" si="13"/>
        <v>5.4861723759815355</v>
      </c>
      <c r="CX10" s="59">
        <f t="shared" si="14"/>
        <v>298.81950570931485</v>
      </c>
      <c r="CY10" s="59">
        <f ca="1">AVERAGE(OFFSET($CX$3,0,0,'Données projet'!$E$13+1,1))-AVERAGE(OFFSET($H$3,0,0,'Données projet'!$E$13+1,1))</f>
        <v>161.87883827031436</v>
      </c>
      <c r="CZ10" s="59">
        <f t="shared" si="42"/>
        <v>163.02076389611869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1.9</v>
      </c>
      <c r="DO10" s="12">
        <f>IF('Données projet'!$A$166&gt;35,DO9+DN10-DW9,IF(A10&lt;'Données projet'!$A$166,$DL$205^A10,IF(A10='Données projet'!$A$166,'Données projet'!$B$166,DO9+DN10-DW9)))</f>
        <v>3.5721053501565532</v>
      </c>
      <c r="DP10" s="17">
        <f>DO10*VLOOKUP('Données projet'!$B$14,Paramètres!$A$1:$I$89,3,0)*VLOOKUP('Données projet'!$B$14,Paramètres!$A$1:$I$89,5,0)</f>
        <v>2.8976918600469959</v>
      </c>
      <c r="DQ10" s="13">
        <f t="shared" si="43"/>
        <v>1.1798353098614829</v>
      </c>
      <c r="DR10" s="20">
        <f t="shared" si="16"/>
        <v>7.1016931542572657</v>
      </c>
      <c r="DS10" s="59">
        <f t="shared" si="17"/>
        <v>300.43502648759056</v>
      </c>
      <c r="DT10" s="59">
        <f ca="1">AVERAGE(OFFSET($DS$3,0,0,'Données projet'!$E$14+1,1))-AVERAGE(OFFSET($H$3,0,0,'Données projet'!$E$14+1,1))</f>
        <v>96.611230241682733</v>
      </c>
      <c r="DU10" s="59">
        <f t="shared" si="44"/>
        <v>78.711045514042041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8.5743589743589741</v>
      </c>
      <c r="EJ10" s="12">
        <f>IF('Données projet'!$A$192&gt;35,EJ9+EI10-ER9,IF(A10&lt;'Données projet'!$A$192,$EG$205^A10,IF(A10='Données projet'!$A$192,'Données projet'!$B$192,EJ9+EI10-ER9)))</f>
        <v>5.6468595434117601</v>
      </c>
      <c r="EK10" s="17">
        <f>EJ10*VLOOKUP('Données projet'!$B$15,Paramètres!$A$1:$I$89,3,0)*VLOOKUP('Données projet'!$B$15,Paramètres!$A$1:$I$89,5,0)</f>
        <v>2.4959119181879985</v>
      </c>
      <c r="EL10" s="13">
        <f t="shared" si="45"/>
        <v>1.0340554655636074</v>
      </c>
      <c r="EM10" s="20">
        <f t="shared" si="19"/>
        <v>6.1480265267007121</v>
      </c>
      <c r="EN10" s="59">
        <f t="shared" si="20"/>
        <v>299.48135986003405</v>
      </c>
      <c r="EO10" s="59">
        <f ca="1">AVERAGE(OFFSET($EN$3,0,0,'Données projet'!$E$15+1,1))-AVERAGE(OFFSET($H$3,0,0,'Données projet'!$E$15+1,1))</f>
        <v>188.61152573050066</v>
      </c>
      <c r="EP10" s="59">
        <f t="shared" si="46"/>
        <v>172.37050503841624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>
        <f>FE10*VLOOKUP('Données projet'!$B$16,Paramètres!$A$1:$I$89,3,0)*VLOOKUP('Données projet'!$B$16,Paramètres!$A$1:$I$89,5,0)</f>
        <v>0</v>
      </c>
      <c r="FG10" s="13" t="e">
        <f t="shared" si="47"/>
        <v>#NUM!</v>
      </c>
      <c r="FH10" s="20" t="e">
        <f t="shared" si="22"/>
        <v>#NUM!</v>
      </c>
      <c r="FI10" s="59" t="e">
        <f t="shared" si="23"/>
        <v>#NUM!</v>
      </c>
      <c r="FJ10" s="59">
        <f ca="1">AVERAGE(OFFSET($FI$3,0,0,'Données projet'!$E$16+1,1))-AVERAGE(OFFSET($H$3,0,0,'Données projet'!$E$16+1,1))</f>
        <v>0</v>
      </c>
      <c r="FK10" s="59">
        <f t="shared" si="48"/>
        <v>0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197.78572767493569</v>
      </c>
      <c r="T11" s="59">
        <f t="shared" si="34"/>
        <v>288.66487031729008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2.4666666666666668</v>
      </c>
      <c r="AI11" s="13">
        <f>IF('Données projet'!$A$62&gt;35,AI10+AH11-AQ10,IF(A11&lt;'Données projet'!$A$62,$AF$205^A11,IF(A11='Données projet'!$A$62,'Données projet'!$B$62,AI10+AH11-AQ10)))</f>
        <v>6.8607919984549888</v>
      </c>
      <c r="AJ11" s="13">
        <f>AI11*VLOOKUP('Données projet'!$B$10,Paramètres!$A$1:$I$89,3,0)*VLOOKUP('Données projet'!$B$10,Paramètres!$A$1:$I$89,5,0)</f>
        <v>5.4584461139707896</v>
      </c>
      <c r="AK11" s="13">
        <f t="shared" si="35"/>
        <v>2.0645540509389519</v>
      </c>
      <c r="AL11" s="20">
        <f t="shared" si="4"/>
        <v>13.102558620551131</v>
      </c>
      <c r="AM11" s="59">
        <f t="shared" si="5"/>
        <v>306.43589195388444</v>
      </c>
      <c r="AN11" s="59">
        <f ca="1">AVERAGE(OFFSET($AM$3,0,0,'Données projet'!$E$10+1,1))-AVERAGE(OFFSET($H$3,0,0,'Données projet'!$E$10+1,1))</f>
        <v>219.43439115440339</v>
      </c>
      <c r="AO11" s="59">
        <f t="shared" si="36"/>
        <v>217.8880462742099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1.3</v>
      </c>
      <c r="BD11" s="12">
        <f>IF('Données projet'!$A$88&gt;35,BD10+BC11-BL10,IF(A11&lt;'Données projet'!$A$88,$BA$205^A11,IF(A11='Données projet'!$A$88,'Données projet'!$B$88,BD10+BC11-BL10)))</f>
        <v>7.7831371220394718</v>
      </c>
      <c r="BE11" s="13">
        <f>BD11*VLOOKUP('Données projet'!$B$11,Paramètres!$A$1:$I$89,3,0)*VLOOKUP('Données projet'!$B$11,Paramètres!$A$1:$I$89,5,0)</f>
        <v>6.7993485898136834</v>
      </c>
      <c r="BF11" s="13">
        <f t="shared" si="37"/>
        <v>2.5068028369349866</v>
      </c>
      <c r="BG11" s="20">
        <f t="shared" si="7"/>
        <v>16.208213734920601</v>
      </c>
      <c r="BH11" s="59">
        <f t="shared" si="8"/>
        <v>309.54154706825392</v>
      </c>
      <c r="BI11" s="59">
        <f ca="1">AVERAGE(OFFSET($BH$3,0,0,'Données projet'!$E$11+1,1))-AVERAGE(OFFSET($H$3,0,0,'Données projet'!$E$11+1,1))</f>
        <v>175.73188403662408</v>
      </c>
      <c r="BJ11" s="59">
        <f t="shared" si="38"/>
        <v>152.02195399869032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2.9235042735042733</v>
      </c>
      <c r="BY11" s="12">
        <f>IF('Données projet'!$A$114&gt;35,BY10+BX11-CG10,IF(A11&lt;'Données projet'!$A$114,$BV$205^A11,IF(A11='Données projet'!$A$114,'Données projet'!$B$114,BY10+BX11-CG10)))</f>
        <v>3.2971598043944974</v>
      </c>
      <c r="BZ11" s="13">
        <f>BY11*VLOOKUP('Données projet'!$B$12,Paramètres!$A$1:$I$89,3,0)*VLOOKUP('Données projet'!$B$12,Paramètres!$A$1:$I$89,5,0)</f>
        <v>2.9832701910161412</v>
      </c>
      <c r="CA11" s="13">
        <f t="shared" si="39"/>
        <v>1.2105714746948997</v>
      </c>
      <c r="CB11" s="20">
        <f t="shared" si="10"/>
        <v>7.3042742344467291</v>
      </c>
      <c r="CC11" s="59">
        <f t="shared" si="11"/>
        <v>300.63760756778004</v>
      </c>
      <c r="CD11" s="59">
        <f ca="1">AVERAGE(OFFSET($CC$3,0,0,'Données projet'!$E$12+1,1))-AVERAGE(OFFSET($H$3,0,0,'Données projet'!$E$12+1,1))</f>
        <v>213.54857791046686</v>
      </c>
      <c r="CE11" s="59">
        <f t="shared" si="40"/>
        <v>138.46877538074244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2.568172036294456</v>
      </c>
      <c r="CV11" s="13">
        <f t="shared" si="41"/>
        <v>1.0604640025024015</v>
      </c>
      <c r="CW11" s="20">
        <f t="shared" si="13"/>
        <v>6.3198744342378603</v>
      </c>
      <c r="CX11" s="59">
        <f t="shared" si="14"/>
        <v>299.65320776757119</v>
      </c>
      <c r="CY11" s="59">
        <f ca="1">AVERAGE(OFFSET($CX$3,0,0,'Données projet'!$E$13+1,1))-AVERAGE(OFFSET($H$3,0,0,'Données projet'!$E$13+1,1))</f>
        <v>161.87883827031436</v>
      </c>
      <c r="CZ11" s="59">
        <f t="shared" si="42"/>
        <v>163.02076389611869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1.9</v>
      </c>
      <c r="DO11" s="12">
        <f>IF('Données projet'!$A$166&gt;35,DO10+DN11-DW10,IF(A11&lt;'Données projet'!$A$166,$DL$205^A11,IF(A11='Données projet'!$A$166,'Données projet'!$B$166,DO10+DN11-DW10)))</f>
        <v>4.2846311281158593</v>
      </c>
      <c r="DP11" s="17">
        <f>DO11*VLOOKUP('Données projet'!$B$14,Paramètres!$A$1:$I$89,3,0)*VLOOKUP('Données projet'!$B$14,Paramètres!$A$1:$I$89,5,0)</f>
        <v>3.4756927711275853</v>
      </c>
      <c r="DQ11" s="13">
        <f t="shared" si="43"/>
        <v>1.3855309413853645</v>
      </c>
      <c r="DR11" s="20">
        <f t="shared" si="16"/>
        <v>8.4666312992933879</v>
      </c>
      <c r="DS11" s="59">
        <f t="shared" si="17"/>
        <v>301.79996463262671</v>
      </c>
      <c r="DT11" s="59">
        <f ca="1">AVERAGE(OFFSET($DS$3,0,0,'Données projet'!$E$14+1,1))-AVERAGE(OFFSET($H$3,0,0,'Données projet'!$E$14+1,1))</f>
        <v>96.611230241682733</v>
      </c>
      <c r="DU11" s="59">
        <f t="shared" si="44"/>
        <v>78.711045514042041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8.5743589743589741</v>
      </c>
      <c r="EJ11" s="12">
        <f>IF('Données projet'!$A$192&gt;35,EJ10+EI11-ER10,IF(A11&lt;'Données projet'!$A$192,$EG$205^A11,IF(A11='Données projet'!$A$192,'Données projet'!$B$192,EJ10+EI11-ER10)))</f>
        <v>7.2311602060897604</v>
      </c>
      <c r="EK11" s="17">
        <f>EJ11*VLOOKUP('Données projet'!$B$15,Paramètres!$A$1:$I$89,3,0)*VLOOKUP('Données projet'!$B$15,Paramètres!$A$1:$I$89,5,0)</f>
        <v>3.1961728110916745</v>
      </c>
      <c r="EL11" s="13">
        <f t="shared" si="45"/>
        <v>1.2865994346086056</v>
      </c>
      <c r="EM11" s="20">
        <f t="shared" si="19"/>
        <v>7.807494994594653</v>
      </c>
      <c r="EN11" s="59">
        <f t="shared" si="20"/>
        <v>301.14082832792798</v>
      </c>
      <c r="EO11" s="59">
        <f ca="1">AVERAGE(OFFSET($EN$3,0,0,'Données projet'!$E$15+1,1))-AVERAGE(OFFSET($H$3,0,0,'Données projet'!$E$15+1,1))</f>
        <v>188.61152573050066</v>
      </c>
      <c r="EP11" s="59">
        <f t="shared" si="46"/>
        <v>172.37050503841624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>
        <f>FE11*VLOOKUP('Données projet'!$B$16,Paramètres!$A$1:$I$89,3,0)*VLOOKUP('Données projet'!$B$16,Paramètres!$A$1:$I$89,5,0)</f>
        <v>0</v>
      </c>
      <c r="FG11" s="13" t="e">
        <f t="shared" si="47"/>
        <v>#NUM!</v>
      </c>
      <c r="FH11" s="20" t="e">
        <f t="shared" si="22"/>
        <v>#NUM!</v>
      </c>
      <c r="FI11" s="59" t="e">
        <f t="shared" si="23"/>
        <v>#NUM!</v>
      </c>
      <c r="FJ11" s="59">
        <f ca="1">AVERAGE(OFFSET($FI$3,0,0,'Données projet'!$E$16+1,1))-AVERAGE(OFFSET($H$3,0,0,'Données projet'!$E$16+1,1))</f>
        <v>0</v>
      </c>
      <c r="FK11" s="59">
        <f t="shared" si="48"/>
        <v>0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197.78572767493569</v>
      </c>
      <c r="T12" s="59">
        <f t="shared" si="34"/>
        <v>288.66487031729008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2.4666666666666668</v>
      </c>
      <c r="AI12" s="13">
        <f>IF('Données projet'!$A$62&gt;35,AI11+AH12-AQ11,IF(A12&lt;'Données projet'!$A$62,$AF$205^A12,IF(A12='Données projet'!$A$62,'Données projet'!$B$62,AI11+AH12-AQ11)))</f>
        <v>8.7281265486761299</v>
      </c>
      <c r="AJ12" s="13">
        <f>AI12*VLOOKUP('Données projet'!$B$10,Paramètres!$A$1:$I$89,3,0)*VLOOKUP('Données projet'!$B$10,Paramètres!$A$1:$I$89,5,0)</f>
        <v>6.9440974821267289</v>
      </c>
      <c r="AK12" s="13">
        <f t="shared" si="35"/>
        <v>2.5538994442566798</v>
      </c>
      <c r="AL12" s="20">
        <f t="shared" si="4"/>
        <v>16.542344646784436</v>
      </c>
      <c r="AM12" s="59">
        <f t="shared" si="5"/>
        <v>309.87567798011776</v>
      </c>
      <c r="AN12" s="59">
        <f ca="1">AVERAGE(OFFSET($AM$3,0,0,'Données projet'!$E$10+1,1))-AVERAGE(OFFSET($H$3,0,0,'Données projet'!$E$10+1,1))</f>
        <v>219.43439115440339</v>
      </c>
      <c r="AO12" s="59">
        <f t="shared" si="36"/>
        <v>217.8880462742099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1.3</v>
      </c>
      <c r="BD12" s="12">
        <f>IF('Données projet'!$A$88&gt;35,BD11+BC12-BL11,IF(A12&lt;'Données projet'!$A$88,$BA$205^A12,IF(A12='Données projet'!$A$88,'Données projet'!$B$88,BD11+BC12-BL11)))</f>
        <v>10.058865869794325</v>
      </c>
      <c r="BE12" s="13">
        <f>BD12*VLOOKUP('Données projet'!$B$11,Paramètres!$A$1:$I$89,3,0)*VLOOKUP('Données projet'!$B$11,Paramètres!$A$1:$I$89,5,0)</f>
        <v>8.7874252238523223</v>
      </c>
      <c r="BF12" s="13">
        <f t="shared" si="37"/>
        <v>3.1444754770438705</v>
      </c>
      <c r="BG12" s="20">
        <f t="shared" si="7"/>
        <v>20.781393720727536</v>
      </c>
      <c r="BH12" s="59">
        <f t="shared" si="8"/>
        <v>314.11472705406084</v>
      </c>
      <c r="BI12" s="59">
        <f ca="1">AVERAGE(OFFSET($BH$3,0,0,'Données projet'!$E$11+1,1))-AVERAGE(OFFSET($H$3,0,0,'Données projet'!$E$11+1,1))</f>
        <v>175.73188403662408</v>
      </c>
      <c r="BJ12" s="59">
        <f t="shared" si="38"/>
        <v>152.02195399869032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2.9235042735042733</v>
      </c>
      <c r="BY12" s="12">
        <f>IF('Données projet'!$A$114&gt;35,BY11+BX12-CG11,IF(A12&lt;'Données projet'!$A$114,$BV$205^A12,IF(A12='Données projet'!$A$114,'Données projet'!$B$114,BY11+BX12-CG11)))</f>
        <v>3.8274321125090722</v>
      </c>
      <c r="BZ12" s="13">
        <f>BY12*VLOOKUP('Données projet'!$B$12,Paramètres!$A$1:$I$89,3,0)*VLOOKUP('Données projet'!$B$12,Paramètres!$A$1:$I$89,5,0)</f>
        <v>3.4630605753982087</v>
      </c>
      <c r="CA12" s="13">
        <f t="shared" si="39"/>
        <v>1.3810805174752749</v>
      </c>
      <c r="CB12" s="20">
        <f t="shared" si="10"/>
        <v>8.4368790700879845</v>
      </c>
      <c r="CC12" s="59">
        <f t="shared" si="11"/>
        <v>301.77021240342128</v>
      </c>
      <c r="CD12" s="59">
        <f ca="1">AVERAGE(OFFSET($CC$3,0,0,'Données projet'!$E$12+1,1))-AVERAGE(OFFSET($H$3,0,0,'Données projet'!$E$12+1,1))</f>
        <v>213.54857791046686</v>
      </c>
      <c r="CE12" s="59">
        <f t="shared" si="40"/>
        <v>138.46877538074244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2.9733106066743171</v>
      </c>
      <c r="CV12" s="13">
        <f t="shared" si="41"/>
        <v>1.2069997395389946</v>
      </c>
      <c r="CW12" s="20">
        <f t="shared" si="13"/>
        <v>7.2807071863215178</v>
      </c>
      <c r="CX12" s="59">
        <f t="shared" si="14"/>
        <v>300.61404051965485</v>
      </c>
      <c r="CY12" s="59">
        <f ca="1">AVERAGE(OFFSET($CX$3,0,0,'Données projet'!$E$13+1,1))-AVERAGE(OFFSET($H$3,0,0,'Données projet'!$E$13+1,1))</f>
        <v>161.87883827031436</v>
      </c>
      <c r="CZ12" s="59">
        <f t="shared" si="42"/>
        <v>163.02076389611869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1.9</v>
      </c>
      <c r="DO12" s="12">
        <f>IF('Données projet'!$A$166&gt;35,DO11+DN12-DW11,IF(A12&lt;'Données projet'!$A$166,$DL$205^A12,IF(A12='Données projet'!$A$166,'Données projet'!$B$166,DO11+DN12-DW11)))</f>
        <v>5.1392840088590352</v>
      </c>
      <c r="DP12" s="17">
        <f>DO12*VLOOKUP('Données projet'!$B$14,Paramètres!$A$1:$I$89,3,0)*VLOOKUP('Données projet'!$B$14,Paramètres!$A$1:$I$89,5,0)</f>
        <v>4.16898718798645</v>
      </c>
      <c r="DQ12" s="13">
        <f t="shared" si="43"/>
        <v>1.6270880973731783</v>
      </c>
      <c r="DR12" s="20">
        <f t="shared" si="16"/>
        <v>10.094831122001354</v>
      </c>
      <c r="DS12" s="59">
        <f t="shared" si="17"/>
        <v>303.4281644553347</v>
      </c>
      <c r="DT12" s="59">
        <f ca="1">AVERAGE(OFFSET($DS$3,0,0,'Données projet'!$E$14+1,1))-AVERAGE(OFFSET($H$3,0,0,'Données projet'!$E$14+1,1))</f>
        <v>96.611230241682733</v>
      </c>
      <c r="DU12" s="59">
        <f t="shared" si="44"/>
        <v>78.711045514042041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8.5743589743589741</v>
      </c>
      <c r="EJ12" s="12">
        <f>IF('Données projet'!$A$192&gt;35,EJ11+EI12-ER11,IF(A12&lt;'Données projet'!$A$192,$EG$205^A12,IF(A12='Données projet'!$A$192,'Données projet'!$B$192,EJ11+EI12-ER11)))</f>
        <v>9.2599572424539804</v>
      </c>
      <c r="EK12" s="17">
        <f>EJ12*VLOOKUP('Données projet'!$B$15,Paramètres!$A$1:$I$89,3,0)*VLOOKUP('Données projet'!$B$15,Paramètres!$A$1:$I$89,5,0)</f>
        <v>4.0929011011646601</v>
      </c>
      <c r="EL12" s="13">
        <f t="shared" si="45"/>
        <v>1.6008213874997013</v>
      </c>
      <c r="EM12" s="20">
        <f t="shared" si="19"/>
        <v>9.9165666677570972</v>
      </c>
      <c r="EN12" s="59">
        <f t="shared" si="20"/>
        <v>303.2499000010904</v>
      </c>
      <c r="EO12" s="59">
        <f ca="1">AVERAGE(OFFSET($EN$3,0,0,'Données projet'!$E$15+1,1))-AVERAGE(OFFSET($H$3,0,0,'Données projet'!$E$15+1,1))</f>
        <v>188.61152573050066</v>
      </c>
      <c r="EP12" s="59">
        <f t="shared" si="46"/>
        <v>172.37050503841624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>
        <f>FE12*VLOOKUP('Données projet'!$B$16,Paramètres!$A$1:$I$89,3,0)*VLOOKUP('Données projet'!$B$16,Paramètres!$A$1:$I$89,5,0)</f>
        <v>0</v>
      </c>
      <c r="FG12" s="13" t="e">
        <f t="shared" si="47"/>
        <v>#NUM!</v>
      </c>
      <c r="FH12" s="20" t="e">
        <f t="shared" si="22"/>
        <v>#NUM!</v>
      </c>
      <c r="FI12" s="59" t="e">
        <f t="shared" si="23"/>
        <v>#NUM!</v>
      </c>
      <c r="FJ12" s="59">
        <f ca="1">AVERAGE(OFFSET($FI$3,0,0,'Données projet'!$E$16+1,1))-AVERAGE(OFFSET($H$3,0,0,'Données projet'!$E$16+1,1))</f>
        <v>0</v>
      </c>
      <c r="FK12" s="59">
        <f t="shared" si="48"/>
        <v>0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197.78572767493569</v>
      </c>
      <c r="T13" s="59">
        <f t="shared" si="34"/>
        <v>288.66487031729008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2.4666666666666668</v>
      </c>
      <c r="AI13" s="13">
        <f>IF('Données projet'!$A$62&gt;35,AI12+AH13-AQ12,IF(A13&lt;'Données projet'!$A$62,$AF$205^A13,IF(A13='Données projet'!$A$62,'Données projet'!$B$62,AI12+AH13-AQ12)))</f>
        <v>11.103702468586782</v>
      </c>
      <c r="AJ13" s="13">
        <f>AI13*VLOOKUP('Données projet'!$B$10,Paramètres!$A$1:$I$89,3,0)*VLOOKUP('Données projet'!$B$10,Paramètres!$A$1:$I$89,5,0)</f>
        <v>8.8341056840076444</v>
      </c>
      <c r="AK13" s="13">
        <f t="shared" si="35"/>
        <v>3.1592306185484516</v>
      </c>
      <c r="AL13" s="20">
        <f t="shared" si="4"/>
        <v>20.888394060285197</v>
      </c>
      <c r="AM13" s="59">
        <f t="shared" si="5"/>
        <v>314.22172739361849</v>
      </c>
      <c r="AN13" s="59">
        <f ca="1">AVERAGE(OFFSET($AM$3,0,0,'Données projet'!$E$10+1,1))-AVERAGE(OFFSET($H$3,0,0,'Données projet'!$E$10+1,1))</f>
        <v>219.43439115440339</v>
      </c>
      <c r="AO13" s="59">
        <f t="shared" si="36"/>
        <v>217.8880462742099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13</v>
      </c>
      <c r="BB13" s="12">
        <f>VLOOKUP(A13,'Données projet'!$A$87:$I$107,9,0)</f>
        <v>1.3</v>
      </c>
      <c r="BC13" s="12">
        <f t="array" ref="BC13">INDEX(BB:BB,MIN(IF(ISNUMBER(BB13:BB209),ROW(BB13:BB209),"")))</f>
        <v>1.3</v>
      </c>
      <c r="BD13" s="12">
        <f>IF('Données projet'!$A$88&gt;35,BD12+BC13-BL12,IF(A13&lt;'Données projet'!$A$88,$BA$205^A13,IF(A13='Données projet'!$A$88,'Données projet'!$B$88,BD12+BC13-BL12)))</f>
        <v>13</v>
      </c>
      <c r="BE13" s="13">
        <f>BD13*VLOOKUP('Données projet'!$B$11,Paramètres!$A$1:$I$89,3,0)*VLOOKUP('Données projet'!$B$11,Paramètres!$A$1:$I$89,5,0)</f>
        <v>11.356800000000002</v>
      </c>
      <c r="BF13" s="13">
        <f t="shared" si="37"/>
        <v>3.9443572825295607</v>
      </c>
      <c r="BG13" s="20">
        <f t="shared" si="7"/>
        <v>26.649515600405653</v>
      </c>
      <c r="BH13" s="59">
        <f t="shared" si="8"/>
        <v>319.98284893373898</v>
      </c>
      <c r="BI13" s="59">
        <f ca="1">AVERAGE(OFFSET($BH$3,0,0,'Données projet'!$E$11+1,1))-AVERAGE(OFFSET($H$3,0,0,'Données projet'!$E$11+1,1))</f>
        <v>175.73188403662408</v>
      </c>
      <c r="BJ13" s="59">
        <f t="shared" si="38"/>
        <v>152.02195399869032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2.9235042735042733</v>
      </c>
      <c r="BY13" s="12">
        <f>IF('Données projet'!$A$114&gt;35,BY12+BX13-CG12,IF(A13&lt;'Données projet'!$A$114,$BV$205^A13,IF(A13='Données projet'!$A$114,'Données projet'!$B$114,BY12+BX13-CG12)))</f>
        <v>4.4429865232315908</v>
      </c>
      <c r="BZ13" s="13">
        <f>BY13*VLOOKUP('Données projet'!$B$12,Paramètres!$A$1:$I$89,3,0)*VLOOKUP('Données projet'!$B$12,Paramètres!$A$1:$I$89,5,0)</f>
        <v>4.0200142062199431</v>
      </c>
      <c r="CA13" s="13">
        <f t="shared" si="39"/>
        <v>1.5756057660539962</v>
      </c>
      <c r="CB13" s="20">
        <f t="shared" si="10"/>
        <v>9.7457047850437757</v>
      </c>
      <c r="CC13" s="59">
        <f t="shared" si="11"/>
        <v>303.07903811837707</v>
      </c>
      <c r="CD13" s="59">
        <f ca="1">AVERAGE(OFFSET($CC$3,0,0,'Données projet'!$E$12+1,1))-AVERAGE(OFFSET($H$3,0,0,'Données projet'!$E$12+1,1))</f>
        <v>213.54857791046686</v>
      </c>
      <c r="CE13" s="59">
        <f t="shared" si="40"/>
        <v>138.46877538074244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3.4423612744097229</v>
      </c>
      <c r="CV13" s="13">
        <f t="shared" si="41"/>
        <v>1.3737838981893231</v>
      </c>
      <c r="CW13" s="20">
        <f t="shared" si="13"/>
        <v>8.3881195089433387</v>
      </c>
      <c r="CX13" s="59">
        <f t="shared" si="14"/>
        <v>301.72145284227668</v>
      </c>
      <c r="CY13" s="59">
        <f ca="1">AVERAGE(OFFSET($CX$3,0,0,'Données projet'!$E$13+1,1))-AVERAGE(OFFSET($H$3,0,0,'Données projet'!$E$13+1,1))</f>
        <v>161.87883827031436</v>
      </c>
      <c r="CZ13" s="59">
        <f t="shared" si="42"/>
        <v>163.02076389611869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1.9</v>
      </c>
      <c r="DO13" s="12">
        <f>IF('Données projet'!$A$166&gt;35,DO12+DN13-DW12,IF(A13&lt;'Données projet'!$A$166,$DL$205^A13,IF(A13='Données projet'!$A$166,'Données projet'!$B$166,DO12+DN13-DW12)))</f>
        <v>6.1644140029689849</v>
      </c>
      <c r="DP13" s="17">
        <f>DO13*VLOOKUP('Données projet'!$B$14,Paramètres!$A$1:$I$89,3,0)*VLOOKUP('Données projet'!$B$14,Paramètres!$A$1:$I$89,5,0)</f>
        <v>5.0005726392084409</v>
      </c>
      <c r="DQ13" s="13">
        <f t="shared" si="43"/>
        <v>1.9107589715509148</v>
      </c>
      <c r="DR13" s="20">
        <f t="shared" si="16"/>
        <v>12.037235888739211</v>
      </c>
      <c r="DS13" s="59">
        <f t="shared" si="17"/>
        <v>305.3705692220725</v>
      </c>
      <c r="DT13" s="59">
        <f ca="1">AVERAGE(OFFSET($DS$3,0,0,'Données projet'!$E$14+1,1))-AVERAGE(OFFSET($H$3,0,0,'Données projet'!$E$14+1,1))</f>
        <v>96.611230241682733</v>
      </c>
      <c r="DU13" s="59">
        <f t="shared" si="44"/>
        <v>78.711045514042041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8.5743589743589741</v>
      </c>
      <c r="EJ13" s="12">
        <f>IF('Données projet'!$A$192&gt;35,EJ12+EI13-ER12,IF(A13&lt;'Données projet'!$A$192,$EG$205^A13,IF(A13='Données projet'!$A$192,'Données projet'!$B$192,EJ12+EI13-ER12)))</f>
        <v>11.857959952244427</v>
      </c>
      <c r="EK13" s="17">
        <f>EJ13*VLOOKUP('Données projet'!$B$15,Paramètres!$A$1:$I$89,3,0)*VLOOKUP('Données projet'!$B$15,Paramètres!$A$1:$I$89,5,0)</f>
        <v>5.2412182988920373</v>
      </c>
      <c r="EL13" s="13">
        <f t="shared" si="45"/>
        <v>1.9917847355933602</v>
      </c>
      <c r="EM13" s="20">
        <f t="shared" si="19"/>
        <v>12.597480285062067</v>
      </c>
      <c r="EN13" s="59">
        <f t="shared" si="20"/>
        <v>305.9308136183954</v>
      </c>
      <c r="EO13" s="59">
        <f ca="1">AVERAGE(OFFSET($EN$3,0,0,'Données projet'!$E$15+1,1))-AVERAGE(OFFSET($H$3,0,0,'Données projet'!$E$15+1,1))</f>
        <v>188.61152573050066</v>
      </c>
      <c r="EP13" s="59">
        <f t="shared" si="46"/>
        <v>172.37050503841624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>
        <f>FE13*VLOOKUP('Données projet'!$B$16,Paramètres!$A$1:$I$89,3,0)*VLOOKUP('Données projet'!$B$16,Paramètres!$A$1:$I$89,5,0)</f>
        <v>0</v>
      </c>
      <c r="FG13" s="13" t="e">
        <f t="shared" si="47"/>
        <v>#NUM!</v>
      </c>
      <c r="FH13" s="20" t="e">
        <f t="shared" si="22"/>
        <v>#NUM!</v>
      </c>
      <c r="FI13" s="59" t="e">
        <f t="shared" si="23"/>
        <v>#NUM!</v>
      </c>
      <c r="FJ13" s="59">
        <f ca="1">AVERAGE(OFFSET($FI$3,0,0,'Données projet'!$E$16+1,1))-AVERAGE(OFFSET($H$3,0,0,'Données projet'!$E$16+1,1))</f>
        <v>0</v>
      </c>
      <c r="FK13" s="59">
        <f t="shared" si="48"/>
        <v>0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197.78572767493569</v>
      </c>
      <c r="T14" s="59">
        <f t="shared" si="34"/>
        <v>288.66487031729008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2.4666666666666668</v>
      </c>
      <c r="AI14" s="13">
        <f>IF('Données projet'!$A$62&gt;35,AI13+AH14-AQ13,IF(A14&lt;'Données projet'!$A$62,$AF$205^A14,IF(A14='Données projet'!$A$62,'Données projet'!$B$62,AI13+AH14-AQ13)))</f>
        <v>14.125850240977657</v>
      </c>
      <c r="AJ14" s="13">
        <f>AI14*VLOOKUP('Données projet'!$B$10,Paramètres!$A$1:$I$89,3,0)*VLOOKUP('Données projet'!$B$10,Paramètres!$A$1:$I$89,5,0)</f>
        <v>11.238526451721825</v>
      </c>
      <c r="AK14" s="13">
        <f t="shared" si="35"/>
        <v>3.9080387928425129</v>
      </c>
      <c r="AL14" s="20">
        <f t="shared" si="4"/>
        <v>26.380267800949554</v>
      </c>
      <c r="AM14" s="59">
        <f t="shared" si="5"/>
        <v>319.71360113428284</v>
      </c>
      <c r="AN14" s="59">
        <f ca="1">AVERAGE(OFFSET($AM$3,0,0,'Données projet'!$E$10+1,1))-AVERAGE(OFFSET($H$3,0,0,'Données projet'!$E$10+1,1))</f>
        <v>219.43439115440339</v>
      </c>
      <c r="AO14" s="59">
        <f t="shared" si="36"/>
        <v>217.8880462742099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4.5999999999999996</v>
      </c>
      <c r="BD14" s="12">
        <f>IF('Données projet'!$A$88&gt;35,BD13+BC14-BL13,IF(A14&lt;'Données projet'!$A$88,$BA$205^A14,IF(A14='Données projet'!$A$88,'Données projet'!$B$88,BD13+BC14-BL13)))</f>
        <v>17.600000000000001</v>
      </c>
      <c r="BE14" s="13">
        <f>BD14*VLOOKUP('Données projet'!$B$11,Paramètres!$A$1:$I$89,3,0)*VLOOKUP('Données projet'!$B$11,Paramètres!$A$1:$I$89,5,0)</f>
        <v>15.375360000000002</v>
      </c>
      <c r="BF14" s="13">
        <f t="shared" si="37"/>
        <v>5.1550264021133732</v>
      </c>
      <c r="BG14" s="20">
        <f t="shared" si="7"/>
        <v>35.75708965034746</v>
      </c>
      <c r="BH14" s="59">
        <f t="shared" si="8"/>
        <v>329.09042298368075</v>
      </c>
      <c r="BI14" s="59">
        <f ca="1">AVERAGE(OFFSET($BH$3,0,0,'Données projet'!$E$11+1,1))-AVERAGE(OFFSET($H$3,0,0,'Données projet'!$E$11+1,1))</f>
        <v>175.73188403662408</v>
      </c>
      <c r="BJ14" s="59">
        <f t="shared" si="38"/>
        <v>152.02195399869032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2.9235042735042733</v>
      </c>
      <c r="BY14" s="12">
        <f>IF('Données projet'!$A$114&gt;35,BY13+BX14-CG13,IF(A14&lt;'Données projet'!$A$114,$BV$205^A14,IF(A14='Données projet'!$A$114,'Données projet'!$B$114,BY13+BX14-CG13)))</f>
        <v>5.1575387009743459</v>
      </c>
      <c r="BZ14" s="13">
        <f>BY14*VLOOKUP('Données projet'!$B$12,Paramètres!$A$1:$I$89,3,0)*VLOOKUP('Données projet'!$B$12,Paramètres!$A$1:$I$89,5,0)</f>
        <v>4.6665410166415882</v>
      </c>
      <c r="CA14" s="13">
        <f t="shared" si="39"/>
        <v>1.7975299040209971</v>
      </c>
      <c r="CB14" s="20">
        <f t="shared" si="10"/>
        <v>11.258256853487337</v>
      </c>
      <c r="CC14" s="59">
        <f t="shared" si="11"/>
        <v>304.59159018682067</v>
      </c>
      <c r="CD14" s="59">
        <f ca="1">AVERAGE(OFFSET($CC$3,0,0,'Données projet'!$E$12+1,1))-AVERAGE(OFFSET($H$3,0,0,'Données projet'!$E$12+1,1))</f>
        <v>213.54857791046686</v>
      </c>
      <c r="CE14" s="59">
        <f t="shared" si="40"/>
        <v>138.46877538074244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3.9854064075767486</v>
      </c>
      <c r="CV14" s="13">
        <f t="shared" si="41"/>
        <v>1.5636144210313476</v>
      </c>
      <c r="CW14" s="20">
        <f t="shared" si="13"/>
        <v>9.6645446098257679</v>
      </c>
      <c r="CX14" s="59">
        <f t="shared" si="14"/>
        <v>302.9978779431591</v>
      </c>
      <c r="CY14" s="59">
        <f ca="1">AVERAGE(OFFSET($CX$3,0,0,'Données projet'!$E$13+1,1))-AVERAGE(OFFSET($H$3,0,0,'Données projet'!$E$13+1,1))</f>
        <v>161.87883827031436</v>
      </c>
      <c r="CZ14" s="59">
        <f t="shared" si="42"/>
        <v>163.02076389611869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1.9</v>
      </c>
      <c r="DO14" s="12">
        <f>IF('Données projet'!$A$166&gt;35,DO13+DN14-DW13,IF(A14&lt;'Données projet'!$A$166,$DL$205^A14,IF(A14='Données projet'!$A$166,'Données projet'!$B$166,DO13+DN14-DW13)))</f>
        <v>7.3940260811615319</v>
      </c>
      <c r="DP14" s="17">
        <f>DO14*VLOOKUP('Données projet'!$B$14,Paramètres!$A$1:$I$89,3,0)*VLOOKUP('Données projet'!$B$14,Paramètres!$A$1:$I$89,5,0)</f>
        <v>5.9980339570382348</v>
      </c>
      <c r="DQ14" s="13">
        <f t="shared" si="43"/>
        <v>2.243885781757359</v>
      </c>
      <c r="DR14" s="20">
        <f t="shared" si="16"/>
        <v>14.354676878402325</v>
      </c>
      <c r="DS14" s="59">
        <f t="shared" si="17"/>
        <v>307.68801021173562</v>
      </c>
      <c r="DT14" s="59">
        <f ca="1">AVERAGE(OFFSET($DS$3,0,0,'Données projet'!$E$14+1,1))-AVERAGE(OFFSET($H$3,0,0,'Données projet'!$E$14+1,1))</f>
        <v>96.611230241682733</v>
      </c>
      <c r="DU14" s="59">
        <f t="shared" si="44"/>
        <v>78.711045514042041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8.5743589743589741</v>
      </c>
      <c r="EJ14" s="12">
        <f>IF('Données projet'!$A$192&gt;35,EJ13+EI14-ER13,IF(A14&lt;'Données projet'!$A$192,$EG$205^A14,IF(A14='Données projet'!$A$192,'Données projet'!$B$192,EJ13+EI14-ER13)))</f>
        <v>15.184866468321752</v>
      </c>
      <c r="EK14" s="17">
        <f>EJ14*VLOOKUP('Données projet'!$B$15,Paramètres!$A$1:$I$89,3,0)*VLOOKUP('Données projet'!$B$15,Paramètres!$A$1:$I$89,5,0)</f>
        <v>6.711710978998215</v>
      </c>
      <c r="EL14" s="13">
        <f t="shared" si="45"/>
        <v>2.4782317777119607</v>
      </c>
      <c r="EM14" s="20">
        <f t="shared" si="19"/>
        <v>16.005816967936891</v>
      </c>
      <c r="EN14" s="59">
        <f t="shared" si="20"/>
        <v>309.33915030127019</v>
      </c>
      <c r="EO14" s="59">
        <f ca="1">AVERAGE(OFFSET($EN$3,0,0,'Données projet'!$E$15+1,1))-AVERAGE(OFFSET($H$3,0,0,'Données projet'!$E$15+1,1))</f>
        <v>188.61152573050066</v>
      </c>
      <c r="EP14" s="59">
        <f t="shared" si="46"/>
        <v>172.37050503841624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>
        <f>FE14*VLOOKUP('Données projet'!$B$16,Paramètres!$A$1:$I$89,3,0)*VLOOKUP('Données projet'!$B$16,Paramètres!$A$1:$I$89,5,0)</f>
        <v>0</v>
      </c>
      <c r="FG14" s="13" t="e">
        <f t="shared" si="47"/>
        <v>#NUM!</v>
      </c>
      <c r="FH14" s="20" t="e">
        <f t="shared" si="22"/>
        <v>#NUM!</v>
      </c>
      <c r="FI14" s="59" t="e">
        <f t="shared" si="23"/>
        <v>#NUM!</v>
      </c>
      <c r="FJ14" s="59">
        <f ca="1">AVERAGE(OFFSET($FI$3,0,0,'Données projet'!$E$16+1,1))-AVERAGE(OFFSET($H$3,0,0,'Données projet'!$E$16+1,1))</f>
        <v>0</v>
      </c>
      <c r="FK14" s="59">
        <f t="shared" si="48"/>
        <v>0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197.78572767493569</v>
      </c>
      <c r="T15" s="59">
        <f t="shared" si="34"/>
        <v>288.66487031729008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2.4666666666666668</v>
      </c>
      <c r="AI15" s="13">
        <f>IF('Données projet'!$A$62&gt;35,AI14+AH15-AQ14,IF(A15&lt;'Données projet'!$A$62,$AF$205^A15,IF(A15='Données projet'!$A$62,'Données projet'!$B$62,AI14+AH15-AQ14)))</f>
        <v>17.970550417308221</v>
      </c>
      <c r="AJ15" s="13">
        <f>AI15*VLOOKUP('Données projet'!$B$10,Paramètres!$A$1:$I$89,3,0)*VLOOKUP('Données projet'!$B$10,Paramètres!$A$1:$I$89,5,0)</f>
        <v>14.297369912010421</v>
      </c>
      <c r="AK15" s="13">
        <f t="shared" si="35"/>
        <v>4.8343312187127445</v>
      </c>
      <c r="AL15" s="20">
        <f t="shared" si="4"/>
        <v>33.321046136009507</v>
      </c>
      <c r="AM15" s="59">
        <f t="shared" si="5"/>
        <v>326.65437946934281</v>
      </c>
      <c r="AN15" s="59">
        <f ca="1">AVERAGE(OFFSET($AM$3,0,0,'Données projet'!$E$10+1,1))-AVERAGE(OFFSET($H$3,0,0,'Données projet'!$E$10+1,1))</f>
        <v>219.43439115440339</v>
      </c>
      <c r="AO15" s="59">
        <f t="shared" si="36"/>
        <v>217.8880462742099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4.5999999999999996</v>
      </c>
      <c r="BD15" s="12">
        <f>IF('Données projet'!$A$88&gt;35,BD14+BC15-BL14,IF(A15&lt;'Données projet'!$A$88,$BA$205^A15,IF(A15='Données projet'!$A$88,'Données projet'!$B$88,BD14+BC15-BL14)))</f>
        <v>22.200000000000003</v>
      </c>
      <c r="BE15" s="13">
        <f>BD15*VLOOKUP('Données projet'!$B$11,Paramètres!$A$1:$I$89,3,0)*VLOOKUP('Données projet'!$B$11,Paramètres!$A$1:$I$89,5,0)</f>
        <v>19.393920000000005</v>
      </c>
      <c r="BF15" s="13">
        <f t="shared" si="37"/>
        <v>6.3289751265773235</v>
      </c>
      <c r="BG15" s="20">
        <f t="shared" si="7"/>
        <v>44.800709012122184</v>
      </c>
      <c r="BH15" s="59">
        <f t="shared" si="8"/>
        <v>338.1340423454555</v>
      </c>
      <c r="BI15" s="59">
        <f ca="1">AVERAGE(OFFSET($BH$3,0,0,'Données projet'!$E$11+1,1))-AVERAGE(OFFSET($H$3,0,0,'Données projet'!$E$11+1,1))</f>
        <v>175.73188403662408</v>
      </c>
      <c r="BJ15" s="59">
        <f t="shared" si="38"/>
        <v>152.02195399869032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2.9235042735042733</v>
      </c>
      <c r="BY15" s="12">
        <f>IF('Données projet'!$A$114&gt;35,BY14+BX15-CG14,IF(A15&lt;'Données projet'!$A$114,$BV$205^A15,IF(A15='Données projet'!$A$114,'Données projet'!$B$114,BY14+BX15-CG14)))</f>
        <v>5.9870101592612031</v>
      </c>
      <c r="BZ15" s="13">
        <f>BY15*VLOOKUP('Données projet'!$B$12,Paramètres!$A$1:$I$89,3,0)*VLOOKUP('Données projet'!$B$12,Paramètres!$A$1:$I$89,5,0)</f>
        <v>5.4170467920995362</v>
      </c>
      <c r="CA15" s="13">
        <f t="shared" si="39"/>
        <v>2.05071206609116</v>
      </c>
      <c r="CB15" s="20">
        <f t="shared" si="10"/>
        <v>13.006346678015461</v>
      </c>
      <c r="CC15" s="59">
        <f t="shared" si="11"/>
        <v>306.33968001134878</v>
      </c>
      <c r="CD15" s="59">
        <f ca="1">AVERAGE(OFFSET($CC$3,0,0,'Données projet'!$E$12+1,1))-AVERAGE(OFFSET($H$3,0,0,'Données projet'!$E$12+1,1))</f>
        <v>213.54857791046686</v>
      </c>
      <c r="CE15" s="59">
        <f t="shared" si="40"/>
        <v>138.46877538074244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4.6141189048431315</v>
      </c>
      <c r="CV15" s="13">
        <f t="shared" si="41"/>
        <v>1.7796758725150397</v>
      </c>
      <c r="CW15" s="20">
        <f t="shared" si="13"/>
        <v>11.135859237232149</v>
      </c>
      <c r="CX15" s="59">
        <f t="shared" si="14"/>
        <v>304.46919257056544</v>
      </c>
      <c r="CY15" s="59">
        <f ca="1">AVERAGE(OFFSET($CX$3,0,0,'Données projet'!$E$13+1,1))-AVERAGE(OFFSET($H$3,0,0,'Données projet'!$E$13+1,1))</f>
        <v>161.87883827031436</v>
      </c>
      <c r="CZ15" s="59">
        <f t="shared" si="42"/>
        <v>163.02076389611869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1.9</v>
      </c>
      <c r="DO15" s="12">
        <f>IF('Données projet'!$A$166&gt;35,DO14+DN15-DW14,IF(A15&lt;'Données projet'!$A$166,$DL$205^A15,IF(A15='Données projet'!$A$166,'Données projet'!$B$166,DO14+DN15-DW14)))</f>
        <v>8.8689081658962738</v>
      </c>
      <c r="DP15" s="17">
        <f>DO15*VLOOKUP('Données projet'!$B$14,Paramètres!$A$1:$I$89,3,0)*VLOOKUP('Données projet'!$B$14,Paramètres!$A$1:$I$89,5,0)</f>
        <v>7.1944583041750576</v>
      </c>
      <c r="DQ15" s="13">
        <f t="shared" si="43"/>
        <v>2.6350908076522259</v>
      </c>
      <c r="DR15" s="20">
        <f t="shared" si="16"/>
        <v>17.119798036432517</v>
      </c>
      <c r="DS15" s="59">
        <f t="shared" si="17"/>
        <v>310.45313136976586</v>
      </c>
      <c r="DT15" s="59">
        <f ca="1">AVERAGE(OFFSET($DS$3,0,0,'Données projet'!$E$14+1,1))-AVERAGE(OFFSET($H$3,0,0,'Données projet'!$E$14+1,1))</f>
        <v>96.611230241682733</v>
      </c>
      <c r="DU15" s="59">
        <f t="shared" si="44"/>
        <v>78.711045514042041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8.5743589743589741</v>
      </c>
      <c r="EJ15" s="12">
        <f>IF('Données projet'!$A$192&gt;35,EJ14+EI15-ER14,IF(A15&lt;'Données projet'!$A$192,$EG$205^A15,IF(A15='Données projet'!$A$192,'Données projet'!$B$192,EJ14+EI15-ER14)))</f>
        <v>19.445180333664318</v>
      </c>
      <c r="EK15" s="17">
        <f>EJ15*VLOOKUP('Données projet'!$B$15,Paramètres!$A$1:$I$89,3,0)*VLOOKUP('Données projet'!$B$15,Paramètres!$A$1:$I$89,5,0)</f>
        <v>8.5947697074796299</v>
      </c>
      <c r="EL15" s="13">
        <f t="shared" si="45"/>
        <v>3.083482182742892</v>
      </c>
      <c r="EM15" s="20">
        <f t="shared" si="19"/>
        <v>20.33962204213756</v>
      </c>
      <c r="EN15" s="59">
        <f t="shared" si="20"/>
        <v>313.67295537547085</v>
      </c>
      <c r="EO15" s="59">
        <f ca="1">AVERAGE(OFFSET($EN$3,0,0,'Données projet'!$E$15+1,1))-AVERAGE(OFFSET($H$3,0,0,'Données projet'!$E$15+1,1))</f>
        <v>188.61152573050066</v>
      </c>
      <c r="EP15" s="59">
        <f t="shared" si="46"/>
        <v>172.37050503841624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>
        <f>FE15*VLOOKUP('Données projet'!$B$16,Paramètres!$A$1:$I$89,3,0)*VLOOKUP('Données projet'!$B$16,Paramètres!$A$1:$I$89,5,0)</f>
        <v>0</v>
      </c>
      <c r="FG15" s="13" t="e">
        <f t="shared" si="47"/>
        <v>#NUM!</v>
      </c>
      <c r="FH15" s="20" t="e">
        <f t="shared" si="22"/>
        <v>#NUM!</v>
      </c>
      <c r="FI15" s="59" t="e">
        <f t="shared" si="23"/>
        <v>#NUM!</v>
      </c>
      <c r="FJ15" s="59">
        <f ca="1">AVERAGE(OFFSET($FI$3,0,0,'Données projet'!$E$16+1,1))-AVERAGE(OFFSET($H$3,0,0,'Données projet'!$E$16+1,1))</f>
        <v>0</v>
      </c>
      <c r="FK15" s="59">
        <f t="shared" si="48"/>
        <v>0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197.78572767493569</v>
      </c>
      <c r="T16" s="59">
        <f t="shared" si="34"/>
        <v>288.66487031729008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2.4666666666666668</v>
      </c>
      <c r="AI16" s="13">
        <f>IF('Données projet'!$A$62&gt;35,AI15+AH16-AQ15,IF(A16&lt;'Données projet'!$A$62,$AF$205^A16,IF(A16='Données projet'!$A$62,'Données projet'!$B$62,AI15+AH16-AQ15)))</f>
        <v>22.86168101684942</v>
      </c>
      <c r="AJ16" s="13">
        <f>AI16*VLOOKUP('Données projet'!$B$10,Paramètres!$A$1:$I$89,3,0)*VLOOKUP('Données projet'!$B$10,Paramètres!$A$1:$I$89,5,0)</f>
        <v>18.188753417005401</v>
      </c>
      <c r="AK16" s="13">
        <f t="shared" si="35"/>
        <v>5.9801756254374139</v>
      </c>
      <c r="AL16" s="20">
        <f t="shared" si="4"/>
        <v>42.094218082254564</v>
      </c>
      <c r="AM16" s="59">
        <f t="shared" si="5"/>
        <v>335.42755141558786</v>
      </c>
      <c r="AN16" s="59">
        <f ca="1">AVERAGE(OFFSET($AM$3,0,0,'Données projet'!$E$10+1,1))-AVERAGE(OFFSET($H$3,0,0,'Données projet'!$E$10+1,1))</f>
        <v>219.43439115440339</v>
      </c>
      <c r="AO16" s="59">
        <f t="shared" si="36"/>
        <v>217.8880462742099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4.5999999999999996</v>
      </c>
      <c r="BD16" s="12">
        <f>IF('Données projet'!$A$88&gt;35,BD15+BC16-BL15,IF(A16&lt;'Données projet'!$A$88,$BA$205^A16,IF(A16='Données projet'!$A$88,'Données projet'!$B$88,BD15+BC16-BL15)))</f>
        <v>26.800000000000004</v>
      </c>
      <c r="BE16" s="13">
        <f>BD16*VLOOKUP('Données projet'!$B$11,Paramètres!$A$1:$I$89,3,0)*VLOOKUP('Données projet'!$B$11,Paramètres!$A$1:$I$89,5,0)</f>
        <v>23.412480000000009</v>
      </c>
      <c r="BF16" s="13">
        <f t="shared" si="37"/>
        <v>7.4747350742065866</v>
      </c>
      <c r="BG16" s="20">
        <f t="shared" si="7"/>
        <v>53.795232920909818</v>
      </c>
      <c r="BH16" s="59">
        <f t="shared" si="8"/>
        <v>347.12856625424314</v>
      </c>
      <c r="BI16" s="59">
        <f ca="1">AVERAGE(OFFSET($BH$3,0,0,'Données projet'!$E$11+1,1))-AVERAGE(OFFSET($H$3,0,0,'Données projet'!$E$11+1,1))</f>
        <v>175.73188403662408</v>
      </c>
      <c r="BJ16" s="59">
        <f t="shared" si="38"/>
        <v>152.02195399869032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2.9235042735042733</v>
      </c>
      <c r="BY16" s="12">
        <f>IF('Données projet'!$A$114&gt;35,BY15+BX16-CG15,IF(A16&lt;'Données projet'!$A$114,$BV$205^A16,IF(A16='Données projet'!$A$114,'Données projet'!$B$114,BY15+BX16-CG15)))</f>
        <v>6.9498830208148057</v>
      </c>
      <c r="BZ16" s="13">
        <f>BY16*VLOOKUP('Données projet'!$B$12,Paramètres!$A$1:$I$89,3,0)*VLOOKUP('Données projet'!$B$12,Paramètres!$A$1:$I$89,5,0)</f>
        <v>6.2882541572332364</v>
      </c>
      <c r="CA16" s="13">
        <f t="shared" si="39"/>
        <v>2.3395549462651668</v>
      </c>
      <c r="CB16" s="20">
        <f t="shared" si="10"/>
        <v>15.026767521926386</v>
      </c>
      <c r="CC16" s="59">
        <f t="shared" si="11"/>
        <v>308.3601008552597</v>
      </c>
      <c r="CD16" s="59">
        <f ca="1">AVERAGE(OFFSET($CC$3,0,0,'Données projet'!$E$12+1,1))-AVERAGE(OFFSET($H$3,0,0,'Données projet'!$E$12+1,1))</f>
        <v>213.54857791046686</v>
      </c>
      <c r="CE16" s="59">
        <f t="shared" si="40"/>
        <v>138.46877538074244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5.3420131075103656</v>
      </c>
      <c r="CV16" s="13">
        <f t="shared" si="41"/>
        <v>2.0255928626720379</v>
      </c>
      <c r="CW16" s="20">
        <f t="shared" si="13"/>
        <v>12.831913731401018</v>
      </c>
      <c r="CX16" s="59">
        <f t="shared" si="14"/>
        <v>306.16524706473433</v>
      </c>
      <c r="CY16" s="59">
        <f ca="1">AVERAGE(OFFSET($CX$3,0,0,'Données projet'!$E$13+1,1))-AVERAGE(OFFSET($H$3,0,0,'Données projet'!$E$13+1,1))</f>
        <v>161.87883827031436</v>
      </c>
      <c r="CZ16" s="59">
        <f t="shared" si="42"/>
        <v>163.02076389611869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1.9</v>
      </c>
      <c r="DO16" s="12">
        <f>IF('Données projet'!$A$166&gt;35,DO15+DN16-DW15,IF(A16&lt;'Données projet'!$A$166,$DL$205^A16,IF(A16='Données projet'!$A$166,'Données projet'!$B$166,DO15+DN16-DW15)))</f>
        <v>10.637984122818409</v>
      </c>
      <c r="DP16" s="17">
        <f>DO16*VLOOKUP('Données projet'!$B$14,Paramètres!$A$1:$I$89,3,0)*VLOOKUP('Données projet'!$B$14,Paramètres!$A$1:$I$89,5,0)</f>
        <v>8.6295327204302943</v>
      </c>
      <c r="DQ16" s="13">
        <f t="shared" si="43"/>
        <v>3.0944995601046648</v>
      </c>
      <c r="DR16" s="20">
        <f t="shared" si="16"/>
        <v>20.419356221931722</v>
      </c>
      <c r="DS16" s="59">
        <f t="shared" si="17"/>
        <v>313.75268955526502</v>
      </c>
      <c r="DT16" s="59">
        <f ca="1">AVERAGE(OFFSET($DS$3,0,0,'Données projet'!$E$14+1,1))-AVERAGE(OFFSET($H$3,0,0,'Données projet'!$E$14+1,1))</f>
        <v>96.611230241682733</v>
      </c>
      <c r="DU16" s="59">
        <f t="shared" si="44"/>
        <v>78.711045514042041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8.5743589743589741</v>
      </c>
      <c r="EJ16" s="12">
        <f>IF('Données projet'!$A$192&gt;35,EJ15+EI16-ER15,IF(A16&lt;'Données projet'!$A$192,$EG$205^A16,IF(A16='Données projet'!$A$192,'Données projet'!$B$192,EJ15+EI16-ER15)))</f>
        <v>24.900781248062909</v>
      </c>
      <c r="EK16" s="17">
        <f>EJ16*VLOOKUP('Données projet'!$B$15,Paramètres!$A$1:$I$89,3,0)*VLOOKUP('Données projet'!$B$15,Paramètres!$A$1:$I$89,5,0)</f>
        <v>11.006145311643806</v>
      </c>
      <c r="EL16" s="13">
        <f t="shared" si="45"/>
        <v>3.8365509056909279</v>
      </c>
      <c r="EM16" s="20">
        <f t="shared" si="19"/>
        <v>25.851029245191327</v>
      </c>
      <c r="EN16" s="59">
        <f t="shared" si="20"/>
        <v>319.18436257852466</v>
      </c>
      <c r="EO16" s="59">
        <f ca="1">AVERAGE(OFFSET($EN$3,0,0,'Données projet'!$E$15+1,1))-AVERAGE(OFFSET($H$3,0,0,'Données projet'!$E$15+1,1))</f>
        <v>188.61152573050066</v>
      </c>
      <c r="EP16" s="59">
        <f t="shared" si="46"/>
        <v>172.37050503841624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>
        <f>FE16*VLOOKUP('Données projet'!$B$16,Paramètres!$A$1:$I$89,3,0)*VLOOKUP('Données projet'!$B$16,Paramètres!$A$1:$I$89,5,0)</f>
        <v>0</v>
      </c>
      <c r="FG16" s="13" t="e">
        <f t="shared" si="47"/>
        <v>#NUM!</v>
      </c>
      <c r="FH16" s="20" t="e">
        <f t="shared" si="22"/>
        <v>#NUM!</v>
      </c>
      <c r="FI16" s="59" t="e">
        <f t="shared" si="23"/>
        <v>#NUM!</v>
      </c>
      <c r="FJ16" s="59">
        <f ca="1">AVERAGE(OFFSET($FI$3,0,0,'Données projet'!$E$16+1,1))-AVERAGE(OFFSET($H$3,0,0,'Données projet'!$E$16+1,1))</f>
        <v>0</v>
      </c>
      <c r="FK16" s="59">
        <f t="shared" si="48"/>
        <v>0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197.78572767493569</v>
      </c>
      <c r="T17" s="59">
        <f t="shared" si="34"/>
        <v>288.66487031729008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2.4666666666666668</v>
      </c>
      <c r="AI17" s="13">
        <f>IF('Données projet'!$A$62&gt;35,AI16+AH17-AQ16,IF(A17&lt;'Données projet'!$A$62,$AF$205^A17,IF(A17='Données projet'!$A$62,'Données projet'!$B$62,AI16+AH17-AQ16)))</f>
        <v>29.084054009429774</v>
      </c>
      <c r="AJ17" s="13">
        <f>AI17*VLOOKUP('Données projet'!$B$10,Paramètres!$A$1:$I$89,3,0)*VLOOKUP('Données projet'!$B$10,Paramètres!$A$1:$I$89,5,0)</f>
        <v>23.13927336990233</v>
      </c>
      <c r="AK17" s="13">
        <f t="shared" si="35"/>
        <v>7.3976107331343286</v>
      </c>
      <c r="AL17" s="20">
        <f t="shared" si="4"/>
        <v>53.185073146122171</v>
      </c>
      <c r="AM17" s="59">
        <f t="shared" si="5"/>
        <v>346.51840647945551</v>
      </c>
      <c r="AN17" s="59">
        <f ca="1">AVERAGE(OFFSET($AM$3,0,0,'Données projet'!$E$10+1,1))-AVERAGE(OFFSET($H$3,0,0,'Données projet'!$E$10+1,1))</f>
        <v>219.43439115440339</v>
      </c>
      <c r="AO17" s="59">
        <f t="shared" si="36"/>
        <v>217.8880462742099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4.5999999999999996</v>
      </c>
      <c r="BD17" s="12">
        <f>IF('Données projet'!$A$88&gt;35,BD16+BC17-BL16,IF(A17&lt;'Données projet'!$A$88,$BA$205^A17,IF(A17='Données projet'!$A$88,'Données projet'!$B$88,BD16+BC17-BL16)))</f>
        <v>31.400000000000006</v>
      </c>
      <c r="BE17" s="13">
        <f>BD17*VLOOKUP('Données projet'!$B$11,Paramètres!$A$1:$I$89,3,0)*VLOOKUP('Données projet'!$B$11,Paramètres!$A$1:$I$89,5,0)</f>
        <v>27.431040000000007</v>
      </c>
      <c r="BF17" s="13">
        <f t="shared" si="37"/>
        <v>8.5977128777312224</v>
      </c>
      <c r="BG17" s="20">
        <f t="shared" si="7"/>
        <v>62.750077928715221</v>
      </c>
      <c r="BH17" s="59">
        <f t="shared" si="8"/>
        <v>356.08341126204851</v>
      </c>
      <c r="BI17" s="59">
        <f ca="1">AVERAGE(OFFSET($BH$3,0,0,'Données projet'!$E$11+1,1))-AVERAGE(OFFSET($H$3,0,0,'Données projet'!$E$11+1,1))</f>
        <v>175.73188403662408</v>
      </c>
      <c r="BJ17" s="59">
        <f t="shared" si="38"/>
        <v>152.02195399869032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2.9235042735042733</v>
      </c>
      <c r="BY17" s="12">
        <f>IF('Données projet'!$A$114&gt;35,BY16+BX17-CG16,IF(A17&lt;'Données projet'!$A$114,$BV$205^A17,IF(A17='Données projet'!$A$114,'Données projet'!$B$114,BY16+BX17-CG16)))</f>
        <v>8.0676118326430668</v>
      </c>
      <c r="BZ17" s="13">
        <f>BY17*VLOOKUP('Données projet'!$B$12,Paramètres!$A$1:$I$89,3,0)*VLOOKUP('Données projet'!$B$12,Paramètres!$A$1:$I$89,5,0)</f>
        <v>7.2995751861754465</v>
      </c>
      <c r="CA17" s="13">
        <f t="shared" si="39"/>
        <v>2.6690813581776105</v>
      </c>
      <c r="CB17" s="20">
        <f t="shared" si="10"/>
        <v>17.362076814748239</v>
      </c>
      <c r="CC17" s="59">
        <f t="shared" si="11"/>
        <v>310.69541014808158</v>
      </c>
      <c r="CD17" s="59">
        <f ca="1">AVERAGE(OFFSET($CC$3,0,0,'Données projet'!$E$12+1,1))-AVERAGE(OFFSET($H$3,0,0,'Données projet'!$E$12+1,1))</f>
        <v>213.54857791046686</v>
      </c>
      <c r="CE17" s="59">
        <f t="shared" si="40"/>
        <v>138.46877538074244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6.1847352938518894</v>
      </c>
      <c r="CV17" s="13">
        <f t="shared" si="41"/>
        <v>2.3054908529548683</v>
      </c>
      <c r="CW17" s="20">
        <f t="shared" si="13"/>
        <v>14.787143872355102</v>
      </c>
      <c r="CX17" s="59">
        <f t="shared" si="14"/>
        <v>308.12047720568842</v>
      </c>
      <c r="CY17" s="59">
        <f ca="1">AVERAGE(OFFSET($CX$3,0,0,'Données projet'!$E$13+1,1))-AVERAGE(OFFSET($H$3,0,0,'Données projet'!$E$13+1,1))</f>
        <v>161.87883827031436</v>
      </c>
      <c r="CZ17" s="59">
        <f t="shared" si="42"/>
        <v>163.02076389611869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1.9</v>
      </c>
      <c r="DO17" s="12">
        <f>IF('Données projet'!$A$166&gt;35,DO16+DN17-DW16,IF(A17&lt;'Données projet'!$A$166,$DL$205^A17,IF(A17='Données projet'!$A$166,'Données projet'!$B$166,DO16+DN17-DW16)))</f>
        <v>12.759936632617073</v>
      </c>
      <c r="DP17" s="17">
        <f>DO17*VLOOKUP('Données projet'!$B$14,Paramètres!$A$1:$I$89,3,0)*VLOOKUP('Données projet'!$B$14,Paramètres!$A$1:$I$89,5,0)</f>
        <v>10.35086059637897</v>
      </c>
      <c r="DQ17" s="13">
        <f t="shared" si="43"/>
        <v>3.6340028585275896</v>
      </c>
      <c r="DR17" s="20">
        <f t="shared" si="16"/>
        <v>24.35697051729559</v>
      </c>
      <c r="DS17" s="59">
        <f t="shared" si="17"/>
        <v>317.69030385062888</v>
      </c>
      <c r="DT17" s="59">
        <f ca="1">AVERAGE(OFFSET($DS$3,0,0,'Données projet'!$E$14+1,1))-AVERAGE(OFFSET($H$3,0,0,'Données projet'!$E$14+1,1))</f>
        <v>96.611230241682733</v>
      </c>
      <c r="DU17" s="59">
        <f t="shared" si="44"/>
        <v>78.711045514042041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8.5743589743589741</v>
      </c>
      <c r="EJ17" s="12">
        <f>IF('Données projet'!$A$192&gt;35,EJ16+EI17-ER16,IF(A17&lt;'Données projet'!$A$192,$EG$205^A17,IF(A17='Données projet'!$A$192,'Données projet'!$B$192,EJ16+EI17-ER16)))</f>
        <v>31.88702270302047</v>
      </c>
      <c r="EK17" s="17">
        <f>EJ17*VLOOKUP('Données projet'!$B$15,Paramètres!$A$1:$I$89,3,0)*VLOOKUP('Données projet'!$B$15,Paramètres!$A$1:$I$89,5,0)</f>
        <v>14.09406403473505</v>
      </c>
      <c r="EL17" s="13">
        <f t="shared" si="45"/>
        <v>4.7735391286952673</v>
      </c>
      <c r="EM17" s="20">
        <f t="shared" si="19"/>
        <v>32.861075509641132</v>
      </c>
      <c r="EN17" s="59">
        <f t="shared" si="20"/>
        <v>326.19440884297444</v>
      </c>
      <c r="EO17" s="59">
        <f ca="1">AVERAGE(OFFSET($EN$3,0,0,'Données projet'!$E$15+1,1))-AVERAGE(OFFSET($H$3,0,0,'Données projet'!$E$15+1,1))</f>
        <v>188.61152573050066</v>
      </c>
      <c r="EP17" s="59">
        <f t="shared" si="46"/>
        <v>172.37050503841624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>
        <f>FE17*VLOOKUP('Données projet'!$B$16,Paramètres!$A$1:$I$89,3,0)*VLOOKUP('Données projet'!$B$16,Paramètres!$A$1:$I$89,5,0)</f>
        <v>0</v>
      </c>
      <c r="FG17" s="13" t="e">
        <f t="shared" si="47"/>
        <v>#NUM!</v>
      </c>
      <c r="FH17" s="20" t="e">
        <f t="shared" si="22"/>
        <v>#NUM!</v>
      </c>
      <c r="FI17" s="59" t="e">
        <f t="shared" si="23"/>
        <v>#NUM!</v>
      </c>
      <c r="FJ17" s="59">
        <f ca="1">AVERAGE(OFFSET($FI$3,0,0,'Données projet'!$E$16+1,1))-AVERAGE(OFFSET($H$3,0,0,'Données projet'!$E$16+1,1))</f>
        <v>0</v>
      </c>
      <c r="FK17" s="59">
        <f t="shared" si="48"/>
        <v>0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197.78572767493569</v>
      </c>
      <c r="T18" s="59">
        <f t="shared" si="34"/>
        <v>288.66487031729008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37</v>
      </c>
      <c r="AG18" s="12">
        <f>VLOOKUP(A18,'Données projet'!$A$61:$I$81,9,0)</f>
        <v>2.4666666666666668</v>
      </c>
      <c r="AH18" s="12">
        <f t="array" ref="AH18">INDEX(AG:AG,MIN(IF(ISNUMBER(AG18:AG214),ROW(AG18:AG214),"")))</f>
        <v>2.4666666666666668</v>
      </c>
      <c r="AI18" s="13">
        <f>IF('Données projet'!$A$62&gt;35,AI17+AH18-AQ17,IF(A18&lt;'Données projet'!$A$62,$AF$205^A18,IF(A18='Données projet'!$A$62,'Données projet'!$B$62,AI17+AH18-AQ17)))</f>
        <v>37</v>
      </c>
      <c r="AJ18" s="13">
        <f>AI18*VLOOKUP('Données projet'!$B$10,Paramètres!$A$1:$I$89,3,0)*VLOOKUP('Données projet'!$B$10,Paramètres!$A$1:$I$89,5,0)</f>
        <v>29.437200000000004</v>
      </c>
      <c r="AK18" s="13">
        <f t="shared" si="35"/>
        <v>9.1510096001539196</v>
      </c>
      <c r="AL18" s="20">
        <f t="shared" si="4"/>
        <v>67.207798386934755</v>
      </c>
      <c r="AM18" s="59">
        <f t="shared" si="5"/>
        <v>360.54113172026808</v>
      </c>
      <c r="AN18" s="59">
        <f ca="1">AVERAGE(OFFSET($AM$3,0,0,'Données projet'!$E$10+1,1))-AVERAGE(OFFSET($H$3,0,0,'Données projet'!$E$10+1,1))</f>
        <v>219.43439115440339</v>
      </c>
      <c r="AO18" s="59">
        <f t="shared" si="36"/>
        <v>217.8880462742099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15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36</v>
      </c>
      <c r="BB18" s="12">
        <f>VLOOKUP(A18,'Données projet'!$A$87:$I$107,9,0)</f>
        <v>4.5999999999999996</v>
      </c>
      <c r="BC18" s="12">
        <f t="array" ref="BC18">INDEX(BB:BB,MIN(IF(ISNUMBER(BB18:BB214),ROW(BB18:BB214),"")))</f>
        <v>4.5999999999999996</v>
      </c>
      <c r="BD18" s="12">
        <f>IF('Données projet'!$A$88&gt;35,BD17+BC18-BL17,IF(A18&lt;'Données projet'!$A$88,$BA$205^A18,IF(A18='Données projet'!$A$88,'Données projet'!$B$88,BD17+BC18-BL17)))</f>
        <v>36.000000000000007</v>
      </c>
      <c r="BE18" s="13">
        <f>BD18*VLOOKUP('Données projet'!$B$11,Paramètres!$A$1:$I$89,3,0)*VLOOKUP('Données projet'!$B$11,Paramètres!$A$1:$I$89,5,0)</f>
        <v>31.449600000000011</v>
      </c>
      <c r="BF18" s="13">
        <f t="shared" si="37"/>
        <v>9.7016318496336833</v>
      </c>
      <c r="BG18" s="20">
        <f t="shared" si="7"/>
        <v>71.671728804778681</v>
      </c>
      <c r="BH18" s="59">
        <f t="shared" si="8"/>
        <v>365.00506213811201</v>
      </c>
      <c r="BI18" s="59">
        <f ca="1">AVERAGE(OFFSET($BH$3,0,0,'Données projet'!$E$11+1,1))-AVERAGE(OFFSET($H$3,0,0,'Données projet'!$E$11+1,1))</f>
        <v>175.73188403662408</v>
      </c>
      <c r="BJ18" s="59">
        <f t="shared" si="38"/>
        <v>152.02195399869032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2.9235042735042733</v>
      </c>
      <c r="BY18" s="12">
        <f>IF('Données projet'!$A$114&gt;35,BY17+BX18-CG17,IF(A18&lt;'Données projet'!$A$114,$BV$205^A18,IF(A18='Données projet'!$A$114,'Données projet'!$B$114,BY17+BX18-CG17)))</f>
        <v>9.3651016121091022</v>
      </c>
      <c r="BZ18" s="13">
        <f>BY18*VLOOKUP('Données projet'!$B$12,Paramètres!$A$1:$I$89,3,0)*VLOOKUP('Données projet'!$B$12,Paramètres!$A$1:$I$89,5,0)</f>
        <v>8.4735439386363147</v>
      </c>
      <c r="CA18" s="13">
        <f t="shared" si="39"/>
        <v>3.045021578973337</v>
      </c>
      <c r="CB18" s="20">
        <f t="shared" si="10"/>
        <v>20.06150160983681</v>
      </c>
      <c r="CC18" s="59">
        <f t="shared" si="11"/>
        <v>313.39483494317011</v>
      </c>
      <c r="CD18" s="59">
        <f ca="1">AVERAGE(OFFSET($CC$3,0,0,'Données projet'!$E$12+1,1))-AVERAGE(OFFSET($H$3,0,0,'Données projet'!$E$12+1,1))</f>
        <v>213.54857791046686</v>
      </c>
      <c r="CE18" s="59">
        <f t="shared" si="40"/>
        <v>138.46877538074244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7.1604000000000001</v>
      </c>
      <c r="CV18" s="13">
        <f t="shared" si="41"/>
        <v>2.624065364274125</v>
      </c>
      <c r="CW18" s="20">
        <f t="shared" si="13"/>
        <v>17.041277176110768</v>
      </c>
      <c r="CX18" s="59">
        <f t="shared" si="14"/>
        <v>310.3746105094441</v>
      </c>
      <c r="CY18" s="59">
        <f ca="1">AVERAGE(OFFSET($CX$3,0,0,'Données projet'!$E$13+1,1))-AVERAGE(OFFSET($H$3,0,0,'Données projet'!$E$13+1,1))</f>
        <v>161.87883827031436</v>
      </c>
      <c r="CZ18" s="59">
        <f t="shared" si="42"/>
        <v>163.02076389611869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1.9</v>
      </c>
      <c r="DO18" s="12">
        <f>IF('Données projet'!$A$166&gt;35,DO17+DN18-DW17,IF(A18&lt;'Données projet'!$A$166,$DL$205^A18,IF(A18='Données projet'!$A$166,'Données projet'!$B$166,DO17+DN18-DW17)))</f>
        <v>15.30515377618997</v>
      </c>
      <c r="DP18" s="17">
        <f>DO18*VLOOKUP('Données projet'!$B$14,Paramètres!$A$1:$I$89,3,0)*VLOOKUP('Données projet'!$B$14,Paramètres!$A$1:$I$89,5,0)</f>
        <v>12.415540743245305</v>
      </c>
      <c r="DQ18" s="13">
        <f t="shared" si="43"/>
        <v>4.2675645994727587</v>
      </c>
      <c r="DR18" s="20">
        <f t="shared" si="16"/>
        <v>29.056408471900628</v>
      </c>
      <c r="DS18" s="59">
        <f t="shared" si="17"/>
        <v>322.38974180523394</v>
      </c>
      <c r="DT18" s="59">
        <f ca="1">AVERAGE(OFFSET($DS$3,0,0,'Données projet'!$E$14+1,1))-AVERAGE(OFFSET($H$3,0,0,'Données projet'!$E$14+1,1))</f>
        <v>96.611230241682733</v>
      </c>
      <c r="DU18" s="59">
        <f t="shared" si="44"/>
        <v>78.711045514042041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8.5743589743589741</v>
      </c>
      <c r="EJ18" s="12">
        <f>IF('Données projet'!$A$192&gt;35,EJ17+EI18-ER17,IF(A18&lt;'Données projet'!$A$192,$EG$205^A18,IF(A18='Données projet'!$A$192,'Données projet'!$B$192,EJ17+EI18-ER17)))</f>
        <v>40.833346019697316</v>
      </c>
      <c r="EK18" s="17">
        <f>EJ18*VLOOKUP('Données projet'!$B$15,Paramètres!$A$1:$I$89,3,0)*VLOOKUP('Données projet'!$B$15,Paramètres!$A$1:$I$89,5,0)</f>
        <v>18.048338940706216</v>
      </c>
      <c r="EL18" s="13">
        <f t="shared" si="45"/>
        <v>5.9393649070013055</v>
      </c>
      <c r="EM18" s="20">
        <f t="shared" si="19"/>
        <v>41.778584201423932</v>
      </c>
      <c r="EN18" s="59">
        <f t="shared" si="20"/>
        <v>335.11191753475725</v>
      </c>
      <c r="EO18" s="59">
        <f ca="1">AVERAGE(OFFSET($EN$3,0,0,'Données projet'!$E$15+1,1))-AVERAGE(OFFSET($H$3,0,0,'Données projet'!$E$15+1,1))</f>
        <v>188.61152573050066</v>
      </c>
      <c r="EP18" s="59">
        <f t="shared" si="46"/>
        <v>172.37050503841624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>
        <f>FE18*VLOOKUP('Données projet'!$B$16,Paramètres!$A$1:$I$89,3,0)*VLOOKUP('Données projet'!$B$16,Paramètres!$A$1:$I$89,5,0)</f>
        <v>0</v>
      </c>
      <c r="FG18" s="13" t="e">
        <f t="shared" si="47"/>
        <v>#NUM!</v>
      </c>
      <c r="FH18" s="20" t="e">
        <f t="shared" si="22"/>
        <v>#NUM!</v>
      </c>
      <c r="FI18" s="59" t="e">
        <f t="shared" si="23"/>
        <v>#NUM!</v>
      </c>
      <c r="FJ18" s="59">
        <f ca="1">AVERAGE(OFFSET($FI$3,0,0,'Données projet'!$E$16+1,1))-AVERAGE(OFFSET($H$3,0,0,'Données projet'!$E$16+1,1))</f>
        <v>0</v>
      </c>
      <c r="FK18" s="59">
        <f t="shared" si="48"/>
        <v>0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197.78572767493569</v>
      </c>
      <c r="T19" s="59">
        <f t="shared" si="34"/>
        <v>288.66487031729008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11.6</v>
      </c>
      <c r="AI19" s="13">
        <f>IF('Données projet'!$A$62&gt;35,AI18+AH19-AQ18,IF(A19&lt;'Données projet'!$A$62,$AF$205^A19,IF(A19='Données projet'!$A$62,'Données projet'!$B$62,AI18+AH19-AQ18)))</f>
        <v>33.6</v>
      </c>
      <c r="AJ19" s="13">
        <f>AI19*VLOOKUP('Données projet'!$B$10,Paramètres!$A$1:$I$89,3,0)*VLOOKUP('Données projet'!$B$10,Paramètres!$A$1:$I$89,5,0)</f>
        <v>26.732160000000004</v>
      </c>
      <c r="AK19" s="13">
        <f t="shared" si="35"/>
        <v>8.4038705306032053</v>
      </c>
      <c r="AL19" s="20">
        <f t="shared" si="4"/>
        <v>61.195253174133917</v>
      </c>
      <c r="AM19" s="59">
        <f t="shared" si="5"/>
        <v>354.52858650746725</v>
      </c>
      <c r="AN19" s="59">
        <f ca="1">AVERAGE(OFFSET($AM$3,0,0,'Données projet'!$E$10+1,1))-AVERAGE(OFFSET($H$3,0,0,'Données projet'!$E$10+1,1))</f>
        <v>219.43439115440339</v>
      </c>
      <c r="AO19" s="59">
        <f t="shared" si="36"/>
        <v>217.8880462742099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</v>
      </c>
      <c r="BD19" s="12">
        <f>IF('Données projet'!$A$88&gt;35,BD18+BC19-BL18,IF(A19&lt;'Données projet'!$A$88,$BA$205^A19,IF(A19='Données projet'!$A$88,'Données projet'!$B$88,BD18+BC19-BL18)))</f>
        <v>42.20000000000001</v>
      </c>
      <c r="BE19" s="13">
        <f>BD19*VLOOKUP('Données projet'!$B$11,Paramètres!$A$1:$I$89,3,0)*VLOOKUP('Données projet'!$B$11,Paramètres!$A$1:$I$89,5,0)</f>
        <v>36.865920000000017</v>
      </c>
      <c r="BF19" s="13">
        <f t="shared" si="37"/>
        <v>11.164055383621847</v>
      </c>
      <c r="BG19" s="20">
        <f t="shared" si="7"/>
        <v>83.652207126474735</v>
      </c>
      <c r="BH19" s="59">
        <f t="shared" si="8"/>
        <v>376.98554045980802</v>
      </c>
      <c r="BI19" s="59">
        <f ca="1">AVERAGE(OFFSET($BH$3,0,0,'Données projet'!$E$11+1,1))-AVERAGE(OFFSET($H$3,0,0,'Données projet'!$E$11+1,1))</f>
        <v>175.73188403662408</v>
      </c>
      <c r="BJ19" s="59">
        <f t="shared" si="38"/>
        <v>152.02195399869032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2.9235042735042733</v>
      </c>
      <c r="BY19" s="12">
        <f>IF('Données projet'!$A$114&gt;35,BY18+BX19-CG18,IF(A19&lt;'Données projet'!$A$114,$BV$205^A19,IF(A19='Données projet'!$A$114,'Données projet'!$B$114,BY18+BX19-CG18)))</f>
        <v>10.87126277571476</v>
      </c>
      <c r="BZ19" s="13">
        <f>BY19*VLOOKUP('Données projet'!$B$12,Paramètres!$A$1:$I$89,3,0)*VLOOKUP('Données projet'!$B$12,Paramètres!$A$1:$I$89,5,0)</f>
        <v>9.8363185594667133</v>
      </c>
      <c r="CA19" s="13">
        <f t="shared" si="39"/>
        <v>3.4739129955724146</v>
      </c>
      <c r="CB19" s="20">
        <f t="shared" si="10"/>
        <v>23.181986625026479</v>
      </c>
      <c r="CC19" s="59">
        <f t="shared" si="11"/>
        <v>316.51531995835978</v>
      </c>
      <c r="CD19" s="59">
        <f ca="1">AVERAGE(OFFSET($CC$3,0,0,'Données projet'!$E$12+1,1))-AVERAGE(OFFSET($H$3,0,0,'Données projet'!$E$12+1,1))</f>
        <v>213.54857791046686</v>
      </c>
      <c r="CE19" s="59">
        <f t="shared" si="40"/>
        <v>138.46877538074244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14.798160000000001</v>
      </c>
      <c r="CV19" s="13">
        <f t="shared" si="41"/>
        <v>4.9836508114679425</v>
      </c>
      <c r="CW19" s="20">
        <f t="shared" si="13"/>
        <v>34.453320496639996</v>
      </c>
      <c r="CX19" s="59">
        <f t="shared" si="14"/>
        <v>327.78665382997332</v>
      </c>
      <c r="CY19" s="59">
        <f ca="1">AVERAGE(OFFSET($CX$3,0,0,'Données projet'!$E$13+1,1))-AVERAGE(OFFSET($H$3,0,0,'Données projet'!$E$13+1,1))</f>
        <v>161.87883827031436</v>
      </c>
      <c r="CZ19" s="59">
        <f t="shared" si="42"/>
        <v>163.02076389611869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1.9</v>
      </c>
      <c r="DO19" s="12">
        <f>IF('Données projet'!$A$166&gt;35,DO18+DN19-DW18,IF(A19&lt;'Données projet'!$A$166,$DL$205^A19,IF(A19='Données projet'!$A$166,'Données projet'!$B$166,DO18+DN19-DW18)))</f>
        <v>18.358063904019382</v>
      </c>
      <c r="DP19" s="17">
        <f>DO19*VLOOKUP('Données projet'!$B$14,Paramètres!$A$1:$I$89,3,0)*VLOOKUP('Données projet'!$B$14,Paramètres!$A$1:$I$89,5,0)</f>
        <v>14.892061438940525</v>
      </c>
      <c r="DQ19" s="13">
        <f t="shared" si="43"/>
        <v>5.0115831824227559</v>
      </c>
      <c r="DR19" s="20">
        <f t="shared" si="16"/>
        <v>34.665514382207711</v>
      </c>
      <c r="DS19" s="59">
        <f t="shared" si="17"/>
        <v>327.99884771554105</v>
      </c>
      <c r="DT19" s="59">
        <f ca="1">AVERAGE(OFFSET($DS$3,0,0,'Données projet'!$E$14+1,1))-AVERAGE(OFFSET($H$3,0,0,'Données projet'!$E$14+1,1))</f>
        <v>96.611230241682733</v>
      </c>
      <c r="DU19" s="59">
        <f t="shared" si="44"/>
        <v>78.711045514042041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8.5743589743589741</v>
      </c>
      <c r="EJ19" s="12">
        <f>IF('Données projet'!$A$192&gt;35,EJ18+EI19-ER18,IF(A19&lt;'Données projet'!$A$192,$EG$205^A19,IF(A19='Données projet'!$A$192,'Données projet'!$B$192,EJ18+EI19-ER18)))</f>
        <v>52.289677926136108</v>
      </c>
      <c r="EK19" s="17">
        <f>EJ19*VLOOKUP('Données projet'!$B$15,Paramètres!$A$1:$I$89,3,0)*VLOOKUP('Données projet'!$B$15,Paramètres!$A$1:$I$89,5,0)</f>
        <v>23.11203764335216</v>
      </c>
      <c r="EL19" s="13">
        <f t="shared" si="45"/>
        <v>7.3899164849122059</v>
      </c>
      <c r="EM19" s="20">
        <f t="shared" si="19"/>
        <v>53.124236773393768</v>
      </c>
      <c r="EN19" s="59">
        <f t="shared" si="20"/>
        <v>346.45757010672708</v>
      </c>
      <c r="EO19" s="59">
        <f ca="1">AVERAGE(OFFSET($EN$3,0,0,'Données projet'!$E$15+1,1))-AVERAGE(OFFSET($H$3,0,0,'Données projet'!$E$15+1,1))</f>
        <v>188.61152573050066</v>
      </c>
      <c r="EP19" s="59">
        <f t="shared" si="46"/>
        <v>172.37050503841624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>
        <f>FE19*VLOOKUP('Données projet'!$B$16,Paramètres!$A$1:$I$89,3,0)*VLOOKUP('Données projet'!$B$16,Paramètres!$A$1:$I$89,5,0)</f>
        <v>0</v>
      </c>
      <c r="FG19" s="13" t="e">
        <f t="shared" si="47"/>
        <v>#NUM!</v>
      </c>
      <c r="FH19" s="20" t="e">
        <f t="shared" si="22"/>
        <v>#NUM!</v>
      </c>
      <c r="FI19" s="59" t="e">
        <f t="shared" si="23"/>
        <v>#NUM!</v>
      </c>
      <c r="FJ19" s="59">
        <f ca="1">AVERAGE(OFFSET($FI$3,0,0,'Données projet'!$E$16+1,1))-AVERAGE(OFFSET($H$3,0,0,'Données projet'!$E$16+1,1))</f>
        <v>0</v>
      </c>
      <c r="FK19" s="59">
        <f t="shared" si="48"/>
        <v>0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197.78572767493569</v>
      </c>
      <c r="T20" s="59">
        <f t="shared" si="34"/>
        <v>288.66487031729008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11.6</v>
      </c>
      <c r="AI20" s="13">
        <f>IF('Données projet'!$A$62&gt;35,AI19+AH20-AQ19,IF(A20&lt;'Données projet'!$A$62,$AF$205^A20,IF(A20='Données projet'!$A$62,'Données projet'!$B$62,AI19+AH20-AQ19)))</f>
        <v>45.2</v>
      </c>
      <c r="AJ20" s="13">
        <f>AI20*VLOOKUP('Données projet'!$B$10,Paramètres!$A$1:$I$89,3,0)*VLOOKUP('Données projet'!$B$10,Paramètres!$A$1:$I$89,5,0)</f>
        <v>35.961120000000008</v>
      </c>
      <c r="AK20" s="13">
        <f t="shared" si="35"/>
        <v>10.921600552662685</v>
      </c>
      <c r="AL20" s="20">
        <f t="shared" si="4"/>
        <v>81.654071629220851</v>
      </c>
      <c r="AM20" s="59">
        <f t="shared" si="5"/>
        <v>374.98740496255414</v>
      </c>
      <c r="AN20" s="59">
        <f ca="1">AVERAGE(OFFSET($AM$3,0,0,'Données projet'!$E$10+1,1))-AVERAGE(OFFSET($H$3,0,0,'Données projet'!$E$10+1,1))</f>
        <v>219.43439115440339</v>
      </c>
      <c r="AO20" s="59">
        <f t="shared" si="36"/>
        <v>217.8880462742099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</v>
      </c>
      <c r="BD20" s="12">
        <f>IF('Données projet'!$A$88&gt;35,BD19+BC20-BL19,IF(A20&lt;'Données projet'!$A$88,$BA$205^A20,IF(A20='Données projet'!$A$88,'Données projet'!$B$88,BD19+BC20-BL19)))</f>
        <v>48.400000000000013</v>
      </c>
      <c r="BE20" s="13">
        <f>BD20*VLOOKUP('Données projet'!$B$11,Paramètres!$A$1:$I$89,3,0)*VLOOKUP('Données projet'!$B$11,Paramètres!$A$1:$I$89,5,0)</f>
        <v>42.282240000000016</v>
      </c>
      <c r="BF20" s="13">
        <f t="shared" si="37"/>
        <v>12.60158758294113</v>
      </c>
      <c r="BG20" s="20">
        <f t="shared" si="7"/>
        <v>95.589333040289148</v>
      </c>
      <c r="BH20" s="59">
        <f t="shared" si="8"/>
        <v>388.92266637362246</v>
      </c>
      <c r="BI20" s="59">
        <f ca="1">AVERAGE(OFFSET($BH$3,0,0,'Données projet'!$E$11+1,1))-AVERAGE(OFFSET($H$3,0,0,'Données projet'!$E$11+1,1))</f>
        <v>175.73188403662408</v>
      </c>
      <c r="BJ20" s="59">
        <f t="shared" si="38"/>
        <v>152.02195399869032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2.9235042735042733</v>
      </c>
      <c r="BY20" s="12">
        <f>IF('Données projet'!$A$114&gt;35,BY19+BX20-CG19,IF(A20&lt;'Données projet'!$A$114,$BV$205^A20,IF(A20='Données projet'!$A$114,'Données projet'!$B$114,BY19+BX20-CG19)))</f>
        <v>12.619655315413629</v>
      </c>
      <c r="BZ20" s="13">
        <f>BY20*VLOOKUP('Données projet'!$B$12,Paramètres!$A$1:$I$89,3,0)*VLOOKUP('Données projet'!$B$12,Paramètres!$A$1:$I$89,5,0)</f>
        <v>11.418264129386252</v>
      </c>
      <c r="CA20" s="13">
        <f t="shared" si="39"/>
        <v>3.9632137861156949</v>
      </c>
      <c r="CB20" s="20">
        <f t="shared" si="10"/>
        <v>26.789407369499227</v>
      </c>
      <c r="CC20" s="59">
        <f t="shared" si="11"/>
        <v>320.12274070283252</v>
      </c>
      <c r="CD20" s="59">
        <f ca="1">AVERAGE(OFFSET($CC$3,0,0,'Données projet'!$E$12+1,1))-AVERAGE(OFFSET($H$3,0,0,'Données projet'!$E$12+1,1))</f>
        <v>213.54857791046686</v>
      </c>
      <c r="CE20" s="59">
        <f t="shared" si="40"/>
        <v>138.46877538074244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22.435920000000003</v>
      </c>
      <c r="CV20" s="13">
        <f t="shared" si="41"/>
        <v>7.1985674727914821</v>
      </c>
      <c r="CW20" s="20">
        <f t="shared" si="13"/>
        <v>51.613399015111831</v>
      </c>
      <c r="CX20" s="59">
        <f t="shared" si="14"/>
        <v>344.94673234844515</v>
      </c>
      <c r="CY20" s="59">
        <f ca="1">AVERAGE(OFFSET($CX$3,0,0,'Données projet'!$E$13+1,1))-AVERAGE(OFFSET($H$3,0,0,'Données projet'!$E$13+1,1))</f>
        <v>161.87883827031436</v>
      </c>
      <c r="CZ20" s="59">
        <f t="shared" si="42"/>
        <v>163.02076389611869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1.9</v>
      </c>
      <c r="DO20" s="12">
        <f>IF('Données projet'!$A$166&gt;35,DO19+DN20-DW19,IF(A20&lt;'Données projet'!$A$166,$DL$205^A20,IF(A20='Données projet'!$A$166,'Données projet'!$B$166,DO19+DN20-DW19)))</f>
        <v>22.019936240585487</v>
      </c>
      <c r="DP20" s="17">
        <f>DO20*VLOOKUP('Données projet'!$B$14,Paramètres!$A$1:$I$89,3,0)*VLOOKUP('Données projet'!$B$14,Paramètres!$A$1:$I$89,5,0)</f>
        <v>17.862572278362947</v>
      </c>
      <c r="DQ20" s="13">
        <f t="shared" si="43"/>
        <v>5.8853159475185368</v>
      </c>
      <c r="DR20" s="20">
        <f t="shared" si="16"/>
        <v>41.360905326743577</v>
      </c>
      <c r="DS20" s="59">
        <f t="shared" si="17"/>
        <v>334.69423866007691</v>
      </c>
      <c r="DT20" s="59">
        <f ca="1">AVERAGE(OFFSET($DS$3,0,0,'Données projet'!$E$14+1,1))-AVERAGE(OFFSET($H$3,0,0,'Données projet'!$E$14+1,1))</f>
        <v>96.611230241682733</v>
      </c>
      <c r="DU20" s="59">
        <f t="shared" si="44"/>
        <v>78.711045514042041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8.5743589743589741</v>
      </c>
      <c r="EJ20" s="12">
        <f>IF('Données projet'!$A$192&gt;35,EJ19+EI20-ER19,IF(A20&lt;'Données projet'!$A$192,$EG$205^A20,IF(A20='Données projet'!$A$192,'Données projet'!$B$192,EJ19+EI20-ER19)))</f>
        <v>66.960234321725892</v>
      </c>
      <c r="EK20" s="17">
        <f>EJ20*VLOOKUP('Données projet'!$B$15,Paramètres!$A$1:$I$89,3,0)*VLOOKUP('Données projet'!$B$15,Paramètres!$A$1:$I$89,5,0)</f>
        <v>29.596423570202845</v>
      </c>
      <c r="EL20" s="13">
        <f t="shared" si="45"/>
        <v>9.1947315090207855</v>
      </c>
      <c r="EM20" s="20">
        <f t="shared" si="19"/>
        <v>67.561261762981147</v>
      </c>
      <c r="EN20" s="59">
        <f t="shared" si="20"/>
        <v>360.89459509631445</v>
      </c>
      <c r="EO20" s="59">
        <f ca="1">AVERAGE(OFFSET($EN$3,0,0,'Données projet'!$E$15+1,1))-AVERAGE(OFFSET($H$3,0,0,'Données projet'!$E$15+1,1))</f>
        <v>188.61152573050066</v>
      </c>
      <c r="EP20" s="59">
        <f t="shared" si="46"/>
        <v>172.37050503841624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>
        <f>FE20*VLOOKUP('Données projet'!$B$16,Paramètres!$A$1:$I$89,3,0)*VLOOKUP('Données projet'!$B$16,Paramètres!$A$1:$I$89,5,0)</f>
        <v>0</v>
      </c>
      <c r="FG20" s="13" t="e">
        <f t="shared" si="47"/>
        <v>#NUM!</v>
      </c>
      <c r="FH20" s="20" t="e">
        <f t="shared" si="22"/>
        <v>#NUM!</v>
      </c>
      <c r="FI20" s="59" t="e">
        <f t="shared" si="23"/>
        <v>#NUM!</v>
      </c>
      <c r="FJ20" s="59">
        <f ca="1">AVERAGE(OFFSET($FI$3,0,0,'Données projet'!$E$16+1,1))-AVERAGE(OFFSET($H$3,0,0,'Données projet'!$E$16+1,1))</f>
        <v>0</v>
      </c>
      <c r="FK20" s="59">
        <f t="shared" si="48"/>
        <v>0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197.78572767493569</v>
      </c>
      <c r="T21" s="59">
        <f t="shared" si="34"/>
        <v>288.66487031729008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11.6</v>
      </c>
      <c r="AI21" s="13">
        <f>IF('Données projet'!$A$62&gt;35,AI20+AH21-AQ20,IF(A21&lt;'Données projet'!$A$62,$AF$205^A21,IF(A21='Données projet'!$A$62,'Données projet'!$B$62,AI20+AH21-AQ20)))</f>
        <v>56.800000000000004</v>
      </c>
      <c r="AJ21" s="13">
        <f>AI21*VLOOKUP('Données projet'!$B$10,Paramètres!$A$1:$I$89,3,0)*VLOOKUP('Données projet'!$B$10,Paramètres!$A$1:$I$89,5,0)</f>
        <v>45.190080000000009</v>
      </c>
      <c r="AK21" s="13">
        <f t="shared" si="35"/>
        <v>13.364359727915414</v>
      </c>
      <c r="AL21" s="20">
        <f t="shared" si="4"/>
        <v>101.98231585945268</v>
      </c>
      <c r="AM21" s="59">
        <f t="shared" si="5"/>
        <v>395.315649192786</v>
      </c>
      <c r="AN21" s="59">
        <f ca="1">AVERAGE(OFFSET($AM$3,0,0,'Données projet'!$E$10+1,1))-AVERAGE(OFFSET($H$3,0,0,'Données projet'!$E$10+1,1))</f>
        <v>219.43439115440339</v>
      </c>
      <c r="AO21" s="59">
        <f t="shared" si="36"/>
        <v>217.8880462742099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6.2</v>
      </c>
      <c r="BD21" s="12">
        <f>IF('Données projet'!$A$88&gt;35,BD20+BC21-BL20,IF(A21&lt;'Données projet'!$A$88,$BA$205^A21,IF(A21='Données projet'!$A$88,'Données projet'!$B$88,BD20+BC21-BL20)))</f>
        <v>54.600000000000016</v>
      </c>
      <c r="BE21" s="13">
        <f>BD21*VLOOKUP('Données projet'!$B$11,Paramètres!$A$1:$I$89,3,0)*VLOOKUP('Données projet'!$B$11,Paramètres!$A$1:$I$89,5,0)</f>
        <v>47.698560000000022</v>
      </c>
      <c r="BF21" s="13">
        <f t="shared" si="37"/>
        <v>14.017782582248717</v>
      </c>
      <c r="BG21" s="20">
        <f t="shared" si="7"/>
        <v>107.48929666408321</v>
      </c>
      <c r="BH21" s="59">
        <f t="shared" si="8"/>
        <v>400.82262999741653</v>
      </c>
      <c r="BI21" s="59">
        <f ca="1">AVERAGE(OFFSET($BH$3,0,0,'Données projet'!$E$11+1,1))-AVERAGE(OFFSET($H$3,0,0,'Données projet'!$E$11+1,1))</f>
        <v>175.73188403662408</v>
      </c>
      <c r="BJ21" s="59">
        <f t="shared" si="38"/>
        <v>152.02195399869032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2.9235042735042733</v>
      </c>
      <c r="BY21" s="12">
        <f>IF('Données projet'!$A$114&gt;35,BY20+BX21-CG20,IF(A21&lt;'Données projet'!$A$114,$BV$205^A21,IF(A21='Données projet'!$A$114,'Données projet'!$B$114,BY20+BX21-CG20)))</f>
        <v>14.649236575865659</v>
      </c>
      <c r="BZ21" s="13">
        <f>BY21*VLOOKUP('Données projet'!$B$12,Paramètres!$A$1:$I$89,3,0)*VLOOKUP('Données projet'!$B$12,Paramètres!$A$1:$I$89,5,0)</f>
        <v>13.254629253843246</v>
      </c>
      <c r="CA21" s="13">
        <f t="shared" si="39"/>
        <v>4.5214326134467182</v>
      </c>
      <c r="CB21" s="20">
        <f t="shared" si="10"/>
        <v>30.959974418863357</v>
      </c>
      <c r="CC21" s="59">
        <f t="shared" si="11"/>
        <v>324.29330775219665</v>
      </c>
      <c r="CD21" s="59">
        <f ca="1">AVERAGE(OFFSET($CC$3,0,0,'Données projet'!$E$12+1,1))-AVERAGE(OFFSET($H$3,0,0,'Données projet'!$E$12+1,1))</f>
        <v>213.54857791046686</v>
      </c>
      <c r="CE21" s="59">
        <f t="shared" si="40"/>
        <v>138.46877538074244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30.073680000000003</v>
      </c>
      <c r="CV21" s="13">
        <f t="shared" si="41"/>
        <v>9.3256201513302699</v>
      </c>
      <c r="CW21" s="20">
        <f t="shared" si="13"/>
        <v>68.620447763566887</v>
      </c>
      <c r="CX21" s="59">
        <f t="shared" si="14"/>
        <v>361.95378109690023</v>
      </c>
      <c r="CY21" s="59">
        <f ca="1">AVERAGE(OFFSET($CX$3,0,0,'Données projet'!$E$13+1,1))-AVERAGE(OFFSET($H$3,0,0,'Données projet'!$E$13+1,1))</f>
        <v>161.87883827031436</v>
      </c>
      <c r="CZ21" s="59">
        <f t="shared" si="42"/>
        <v>163.02076389611869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1.9</v>
      </c>
      <c r="DO21" s="12">
        <f>IF('Données projet'!$A$166&gt;35,DO20+DN21-DW20,IF(A21&lt;'Données projet'!$A$166,$DL$205^A21,IF(A21='Données projet'!$A$166,'Données projet'!$B$166,DO20+DN21-DW20)))</f>
        <v>26.412240123714202</v>
      </c>
      <c r="DP21" s="17">
        <f>DO21*VLOOKUP('Données projet'!$B$14,Paramètres!$A$1:$I$89,3,0)*VLOOKUP('Données projet'!$B$14,Paramètres!$A$1:$I$89,5,0)</f>
        <v>21.425609188356962</v>
      </c>
      <c r="DQ21" s="13">
        <f t="shared" si="43"/>
        <v>6.9113776108913045</v>
      </c>
      <c r="DR21" s="20">
        <f t="shared" si="16"/>
        <v>49.353585342024054</v>
      </c>
      <c r="DS21" s="59">
        <f t="shared" si="17"/>
        <v>342.68691867535739</v>
      </c>
      <c r="DT21" s="59">
        <f ca="1">AVERAGE(OFFSET($DS$3,0,0,'Données projet'!$E$14+1,1))-AVERAGE(OFFSET($H$3,0,0,'Données projet'!$E$14+1,1))</f>
        <v>96.611230241682733</v>
      </c>
      <c r="DU21" s="59">
        <f t="shared" si="44"/>
        <v>78.711045514042041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8.5743589743589741</v>
      </c>
      <c r="EJ21" s="12">
        <f>IF('Données projet'!$A$192&gt;35,EJ20+EI21-ER20,IF(A21&lt;'Données projet'!$A$192,$EG$205^A21,IF(A21='Données projet'!$A$192,'Données projet'!$B$192,EJ20+EI21-ER20)))</f>
        <v>85.746808132075927</v>
      </c>
      <c r="EK21" s="17">
        <f>EJ21*VLOOKUP('Données projet'!$B$15,Paramètres!$A$1:$I$89,3,0)*VLOOKUP('Données projet'!$B$15,Paramètres!$A$1:$I$89,5,0)</f>
        <v>37.900089194377564</v>
      </c>
      <c r="EL21" s="13">
        <f t="shared" si="45"/>
        <v>11.44033057688663</v>
      </c>
      <c r="EM21" s="20">
        <f t="shared" si="19"/>
        <v>85.93456443495181</v>
      </c>
      <c r="EN21" s="59">
        <f t="shared" si="20"/>
        <v>379.26789776828514</v>
      </c>
      <c r="EO21" s="59">
        <f ca="1">AVERAGE(OFFSET($EN$3,0,0,'Données projet'!$E$15+1,1))-AVERAGE(OFFSET($H$3,0,0,'Données projet'!$E$15+1,1))</f>
        <v>188.61152573050066</v>
      </c>
      <c r="EP21" s="59">
        <f t="shared" si="46"/>
        <v>172.37050503841624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>
        <f>FE21*VLOOKUP('Données projet'!$B$16,Paramètres!$A$1:$I$89,3,0)*VLOOKUP('Données projet'!$B$16,Paramètres!$A$1:$I$89,5,0)</f>
        <v>0</v>
      </c>
      <c r="FG21" s="13" t="e">
        <f t="shared" si="47"/>
        <v>#NUM!</v>
      </c>
      <c r="FH21" s="20" t="e">
        <f t="shared" si="22"/>
        <v>#NUM!</v>
      </c>
      <c r="FI21" s="59" t="e">
        <f t="shared" si="23"/>
        <v>#NUM!</v>
      </c>
      <c r="FJ21" s="59">
        <f ca="1">AVERAGE(OFFSET($FI$3,0,0,'Données projet'!$E$16+1,1))-AVERAGE(OFFSET($H$3,0,0,'Données projet'!$E$16+1,1))</f>
        <v>0</v>
      </c>
      <c r="FK21" s="59">
        <f t="shared" si="48"/>
        <v>0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197.78572767493569</v>
      </c>
      <c r="T22" s="59">
        <f t="shared" si="34"/>
        <v>288.66487031729008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11.6</v>
      </c>
      <c r="AI22" s="13">
        <f>IF('Données projet'!$A$62&gt;35,AI21+AH22-AQ21,IF(A22&lt;'Données projet'!$A$62,$AF$205^A22,IF(A22='Données projet'!$A$62,'Données projet'!$B$62,AI21+AH22-AQ21)))</f>
        <v>68.400000000000006</v>
      </c>
      <c r="AJ22" s="13">
        <f>AI22*VLOOKUP('Données projet'!$B$10,Paramètres!$A$1:$I$89,3,0)*VLOOKUP('Données projet'!$B$10,Paramètres!$A$1:$I$89,5,0)</f>
        <v>54.419040000000003</v>
      </c>
      <c r="AK22" s="13">
        <f t="shared" si="35"/>
        <v>15.749310274925152</v>
      </c>
      <c r="AL22" s="20">
        <f t="shared" si="4"/>
        <v>122.20987672882796</v>
      </c>
      <c r="AM22" s="59">
        <f t="shared" si="5"/>
        <v>415.54321006216128</v>
      </c>
      <c r="AN22" s="59">
        <f ca="1">AVERAGE(OFFSET($AM$3,0,0,'Données projet'!$E$10+1,1))-AVERAGE(OFFSET($H$3,0,0,'Données projet'!$E$10+1,1))</f>
        <v>219.43439115440339</v>
      </c>
      <c r="AO22" s="59">
        <f t="shared" si="36"/>
        <v>217.8880462742099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6.2</v>
      </c>
      <c r="BD22" s="12">
        <f>IF('Données projet'!$A$88&gt;35,BD21+BC22-BL21,IF(A22&lt;'Données projet'!$A$88,$BA$205^A22,IF(A22='Données projet'!$A$88,'Données projet'!$B$88,BD21+BC22-BL21)))</f>
        <v>60.800000000000018</v>
      </c>
      <c r="BE22" s="13">
        <f>BD22*VLOOKUP('Données projet'!$B$11,Paramètres!$A$1:$I$89,3,0)*VLOOKUP('Données projet'!$B$11,Paramètres!$A$1:$I$89,5,0)</f>
        <v>53.114880000000028</v>
      </c>
      <c r="BF22" s="13">
        <f t="shared" si="37"/>
        <v>15.415339834492784</v>
      </c>
      <c r="BG22" s="20">
        <f t="shared" si="7"/>
        <v>119.35679954507498</v>
      </c>
      <c r="BH22" s="59">
        <f t="shared" si="8"/>
        <v>412.69013287840829</v>
      </c>
      <c r="BI22" s="59">
        <f ca="1">AVERAGE(OFFSET($BH$3,0,0,'Données projet'!$E$11+1,1))-AVERAGE(OFFSET($H$3,0,0,'Données projet'!$E$11+1,1))</f>
        <v>175.73188403662408</v>
      </c>
      <c r="BJ22" s="59">
        <f t="shared" si="38"/>
        <v>152.02195399869032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2.9235042735042733</v>
      </c>
      <c r="BY22" s="12">
        <f>IF('Données projet'!$A$114&gt;35,BY21+BX22-CG21,IF(A22&lt;'Données projet'!$A$114,$BV$205^A22,IF(A22='Données projet'!$A$114,'Données projet'!$B$114,BY21+BX22-CG21)))</f>
        <v>17.005229294461625</v>
      </c>
      <c r="BZ22" s="13">
        <f>BY22*VLOOKUP('Données projet'!$B$12,Paramètres!$A$1:$I$89,3,0)*VLOOKUP('Données projet'!$B$12,Paramètres!$A$1:$I$89,5,0)</f>
        <v>15.386331465628878</v>
      </c>
      <c r="CA22" s="13">
        <f t="shared" si="39"/>
        <v>5.1582765859259734</v>
      </c>
      <c r="CB22" s="20">
        <f t="shared" si="10"/>
        <v>35.781859023124703</v>
      </c>
      <c r="CC22" s="59">
        <f t="shared" si="11"/>
        <v>329.11519235645801</v>
      </c>
      <c r="CD22" s="59">
        <f ca="1">AVERAGE(OFFSET($CC$3,0,0,'Données projet'!$E$12+1,1))-AVERAGE(OFFSET($H$3,0,0,'Données projet'!$E$12+1,1))</f>
        <v>213.54857791046686</v>
      </c>
      <c r="CE22" s="59">
        <f t="shared" si="40"/>
        <v>138.46877538074244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37.711440000000003</v>
      </c>
      <c r="CV22" s="13">
        <f t="shared" si="41"/>
        <v>11.389999638070119</v>
      </c>
      <c r="CW22" s="20">
        <f t="shared" si="13"/>
        <v>85.518340702972125</v>
      </c>
      <c r="CX22" s="59">
        <f t="shared" si="14"/>
        <v>378.85167403630544</v>
      </c>
      <c r="CY22" s="59">
        <f ca="1">AVERAGE(OFFSET($CX$3,0,0,'Données projet'!$E$13+1,1))-AVERAGE(OFFSET($H$3,0,0,'Données projet'!$E$13+1,1))</f>
        <v>161.87883827031436</v>
      </c>
      <c r="CZ22" s="59">
        <f t="shared" si="42"/>
        <v>163.02076389611869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1.9</v>
      </c>
      <c r="DO22" s="12">
        <f>IF('Données projet'!$A$166&gt;35,DO21+DN22-DW21,IF(A22&lt;'Données projet'!$A$166,$DL$205^A22,IF(A22='Données projet'!$A$166,'Données projet'!$B$166,DO21+DN22-DW21)))</f>
        <v>31.680674309445219</v>
      </c>
      <c r="DP22" s="17">
        <f>DO22*VLOOKUP('Données projet'!$B$14,Paramètres!$A$1:$I$89,3,0)*VLOOKUP('Données projet'!$B$14,Paramètres!$A$1:$I$89,5,0)</f>
        <v>25.699362999821965</v>
      </c>
      <c r="DQ22" s="13">
        <f t="shared" si="43"/>
        <v>8.1163255985381628</v>
      </c>
      <c r="DR22" s="20">
        <f t="shared" si="16"/>
        <v>58.895657642143874</v>
      </c>
      <c r="DS22" s="59">
        <f t="shared" si="17"/>
        <v>352.22899097547719</v>
      </c>
      <c r="DT22" s="59">
        <f ca="1">AVERAGE(OFFSET($DS$3,0,0,'Données projet'!$E$14+1,1))-AVERAGE(OFFSET($H$3,0,0,'Données projet'!$E$14+1,1))</f>
        <v>96.611230241682733</v>
      </c>
      <c r="DU22" s="59">
        <f t="shared" si="44"/>
        <v>78.711045514042041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8.5743589743589741</v>
      </c>
      <c r="EJ22" s="12">
        <f>IF('Données projet'!$A$192&gt;35,EJ21+EI22-ER21,IF(A22&lt;'Données projet'!$A$192,$EG$205^A22,IF(A22='Données projet'!$A$192,'Données projet'!$B$192,EJ21+EI22-ER21)))</f>
        <v>109.80420214051502</v>
      </c>
      <c r="EK22" s="17">
        <f>EJ22*VLOOKUP('Données projet'!$B$15,Paramètres!$A$1:$I$89,3,0)*VLOOKUP('Données projet'!$B$15,Paramètres!$A$1:$I$89,5,0)</f>
        <v>48.533457346107639</v>
      </c>
      <c r="EL22" s="13">
        <f t="shared" si="45"/>
        <v>14.234364927354532</v>
      </c>
      <c r="EM22" s="20">
        <f t="shared" si="19"/>
        <v>109.32062379294662</v>
      </c>
      <c r="EN22" s="59">
        <f t="shared" si="20"/>
        <v>402.65395712627992</v>
      </c>
      <c r="EO22" s="59">
        <f ca="1">AVERAGE(OFFSET($EN$3,0,0,'Données projet'!$E$15+1,1))-AVERAGE(OFFSET($H$3,0,0,'Données projet'!$E$15+1,1))</f>
        <v>188.61152573050066</v>
      </c>
      <c r="EP22" s="59">
        <f t="shared" si="46"/>
        <v>172.37050503841624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>
        <f>FE22*VLOOKUP('Données projet'!$B$16,Paramètres!$A$1:$I$89,3,0)*VLOOKUP('Données projet'!$B$16,Paramètres!$A$1:$I$89,5,0)</f>
        <v>0</v>
      </c>
      <c r="FG22" s="13" t="e">
        <f t="shared" si="47"/>
        <v>#NUM!</v>
      </c>
      <c r="FH22" s="20" t="e">
        <f t="shared" si="22"/>
        <v>#NUM!</v>
      </c>
      <c r="FI22" s="59" t="e">
        <f t="shared" si="23"/>
        <v>#NUM!</v>
      </c>
      <c r="FJ22" s="59">
        <f ca="1">AVERAGE(OFFSET($FI$3,0,0,'Données projet'!$E$16+1,1))-AVERAGE(OFFSET($H$3,0,0,'Données projet'!$E$16+1,1))</f>
        <v>0</v>
      </c>
      <c r="FK22" s="59">
        <f t="shared" si="48"/>
        <v>0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197.78572767493569</v>
      </c>
      <c r="T23" s="59">
        <f t="shared" si="34"/>
        <v>288.66487031729008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80</v>
      </c>
      <c r="AG23" s="12">
        <f>VLOOKUP(A23,'Données projet'!$A$61:$I$81,9,0)</f>
        <v>11.6</v>
      </c>
      <c r="AH23" s="12">
        <f t="array" ref="AH23">INDEX(AG:AG,MIN(IF(ISNUMBER(AG23:AG219),ROW(AG23:AG219),"")))</f>
        <v>11.6</v>
      </c>
      <c r="AI23" s="13">
        <f>IF('Données projet'!$A$62&gt;35,AI22+AH23-AQ22,IF(A23&lt;'Données projet'!$A$62,$AF$205^A23,IF(A23='Données projet'!$A$62,'Données projet'!$B$62,AI22+AH23-AQ22)))</f>
        <v>80</v>
      </c>
      <c r="AJ23" s="13">
        <f>AI23*VLOOKUP('Données projet'!$B$10,Paramètres!$A$1:$I$89,3,0)*VLOOKUP('Données projet'!$B$10,Paramètres!$A$1:$I$89,5,0)</f>
        <v>63.647999999999996</v>
      </c>
      <c r="AK23" s="13">
        <f t="shared" si="35"/>
        <v>18.087405707268363</v>
      </c>
      <c r="AL23" s="20">
        <f t="shared" si="4"/>
        <v>142.35583160682572</v>
      </c>
      <c r="AM23" s="59">
        <f t="shared" si="5"/>
        <v>435.689164940159</v>
      </c>
      <c r="AN23" s="59">
        <f ca="1">AVERAGE(OFFSET($AM$3,0,0,'Données projet'!$E$10+1,1))-AVERAGE(OFFSET($H$3,0,0,'Données projet'!$E$10+1,1))</f>
        <v>219.43439115440339</v>
      </c>
      <c r="AO23" s="59">
        <f t="shared" si="36"/>
        <v>217.8880462742099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28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67</v>
      </c>
      <c r="BB23" s="12">
        <f>VLOOKUP(A23,'Données projet'!$A$87:$I$107,9,0)</f>
        <v>6.2</v>
      </c>
      <c r="BC23" s="12">
        <f t="array" ref="BC23">INDEX(BB:BB,MIN(IF(ISNUMBER(BB23:BB219),ROW(BB23:BB219),"")))</f>
        <v>6.2</v>
      </c>
      <c r="BD23" s="12">
        <f>IF('Données projet'!$A$88&gt;35,BD22+BC23-BL22,IF(A23&lt;'Données projet'!$A$88,$BA$205^A23,IF(A23='Données projet'!$A$88,'Données projet'!$B$88,BD22+BC23-BL22)))</f>
        <v>67.000000000000014</v>
      </c>
      <c r="BE23" s="13">
        <f>BD23*VLOOKUP('Données projet'!$B$11,Paramètres!$A$1:$I$89,3,0)*VLOOKUP('Données projet'!$B$11,Paramètres!$A$1:$I$89,5,0)</f>
        <v>58.53120000000002</v>
      </c>
      <c r="BF23" s="13">
        <f t="shared" si="37"/>
        <v>16.796376317470752</v>
      </c>
      <c r="BG23" s="20">
        <f t="shared" si="7"/>
        <v>131.19552875292825</v>
      </c>
      <c r="BH23" s="59">
        <f t="shared" si="8"/>
        <v>424.5288620862616</v>
      </c>
      <c r="BI23" s="59">
        <f ca="1">AVERAGE(OFFSET($BH$3,0,0,'Données projet'!$E$11+1,1))-AVERAGE(OFFSET($H$3,0,0,'Données projet'!$E$11+1,1))</f>
        <v>175.73188403662408</v>
      </c>
      <c r="BJ23" s="59">
        <f t="shared" si="38"/>
        <v>152.02195399869032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2.9235042735042733</v>
      </c>
      <c r="BY23" s="12">
        <f>IF('Données projet'!$A$114&gt;35,BY22+BX23-CG22,IF(A23&lt;'Données projet'!$A$114,$BV$205^A23,IF(A23='Données projet'!$A$114,'Données projet'!$B$114,BY22+BX23-CG22)))</f>
        <v>19.740129245617538</v>
      </c>
      <c r="BZ23" s="13">
        <f>BY23*VLOOKUP('Données projet'!$B$12,Paramètres!$A$1:$I$89,3,0)*VLOOKUP('Données projet'!$B$12,Paramètres!$A$1:$I$89,5,0)</f>
        <v>17.860868941434749</v>
      </c>
      <c r="CA23" s="13">
        <f t="shared" si="39"/>
        <v>5.8848200585320249</v>
      </c>
      <c r="CB23" s="20">
        <f t="shared" si="10"/>
        <v>41.357075008275459</v>
      </c>
      <c r="CC23" s="59">
        <f t="shared" si="11"/>
        <v>334.69040834160876</v>
      </c>
      <c r="CD23" s="59">
        <f ca="1">AVERAGE(OFFSET($CC$3,0,0,'Données projet'!$E$12+1,1))-AVERAGE(OFFSET($H$3,0,0,'Données projet'!$E$12+1,1))</f>
        <v>213.54857791046686</v>
      </c>
      <c r="CE23" s="59">
        <f t="shared" si="40"/>
        <v>138.46877538074244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45.34920000000001</v>
      </c>
      <c r="CV23" s="13">
        <f t="shared" si="41"/>
        <v>13.405931317559235</v>
      </c>
      <c r="CW23" s="20">
        <f t="shared" si="13"/>
        <v>102.33185371141569</v>
      </c>
      <c r="CX23" s="59">
        <f t="shared" si="14"/>
        <v>395.66518704474902</v>
      </c>
      <c r="CY23" s="59">
        <f ca="1">AVERAGE(OFFSET($CX$3,0,0,'Données projet'!$E$13+1,1))-AVERAGE(OFFSET($H$3,0,0,'Données projet'!$E$13+1,1))</f>
        <v>161.87883827031436</v>
      </c>
      <c r="CZ23" s="59">
        <f t="shared" si="42"/>
        <v>163.02076389611869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38</v>
      </c>
      <c r="DM23" s="12">
        <f>VLOOKUP(A23,'Données projet'!$A$165:$I$185,9,0)</f>
        <v>1.9</v>
      </c>
      <c r="DN23" s="12">
        <f t="array" ref="DN23">INDEX(DM:DM,MIN(IF(ISNUMBER(DM23:DM219),ROW(DM23:DM219),"")))</f>
        <v>1.9</v>
      </c>
      <c r="DO23" s="12">
        <f>IF('Données projet'!$A$166&gt;35,DO22+DN23-DW22,IF(A23&lt;'Données projet'!$A$166,$DL$205^A23,IF(A23='Données projet'!$A$166,'Données projet'!$B$166,DO22+DN23-DW22)))</f>
        <v>38</v>
      </c>
      <c r="DP23" s="17">
        <f>DO23*VLOOKUP('Données projet'!$B$14,Paramètres!$A$1:$I$89,3,0)*VLOOKUP('Données projet'!$B$14,Paramètres!$A$1:$I$89,5,0)</f>
        <v>30.825600000000005</v>
      </c>
      <c r="DQ23" s="13">
        <f t="shared" si="43"/>
        <v>9.5313474288652582</v>
      </c>
      <c r="DR23" s="20">
        <f t="shared" si="16"/>
        <v>70.288350105273665</v>
      </c>
      <c r="DS23" s="59">
        <f t="shared" si="17"/>
        <v>363.62168343860696</v>
      </c>
      <c r="DT23" s="59">
        <f ca="1">AVERAGE(OFFSET($DS$3,0,0,'Données projet'!$E$14+1,1))-AVERAGE(OFFSET($H$3,0,0,'Données projet'!$E$14+1,1))</f>
        <v>96.611230241682733</v>
      </c>
      <c r="DU23" s="59">
        <f t="shared" si="44"/>
        <v>78.711045514042041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8.5743589743589741</v>
      </c>
      <c r="EJ23" s="12">
        <f>IF('Données projet'!$A$192&gt;35,EJ22+EI23-ER22,IF(A23&lt;'Données projet'!$A$192,$EG$205^A23,IF(A23='Données projet'!$A$192,'Données projet'!$B$192,EJ22+EI23-ER22)))</f>
        <v>140.61121422903264</v>
      </c>
      <c r="EK23" s="17">
        <f>EJ23*VLOOKUP('Données projet'!$B$15,Paramètres!$A$1:$I$89,3,0)*VLOOKUP('Données projet'!$B$15,Paramètres!$A$1:$I$89,5,0)</f>
        <v>62.150156689232439</v>
      </c>
      <c r="EL23" s="13">
        <f t="shared" si="45"/>
        <v>17.710777107652529</v>
      </c>
      <c r="EM23" s="20">
        <f t="shared" si="19"/>
        <v>139.09112636290797</v>
      </c>
      <c r="EN23" s="59">
        <f t="shared" si="20"/>
        <v>432.42445969624129</v>
      </c>
      <c r="EO23" s="59">
        <f ca="1">AVERAGE(OFFSET($EN$3,0,0,'Données projet'!$E$15+1,1))-AVERAGE(OFFSET($H$3,0,0,'Données projet'!$E$15+1,1))</f>
        <v>188.61152573050066</v>
      </c>
      <c r="EP23" s="59">
        <f t="shared" si="46"/>
        <v>172.37050503841624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>
        <f>FE23*VLOOKUP('Données projet'!$B$16,Paramètres!$A$1:$I$89,3,0)*VLOOKUP('Données projet'!$B$16,Paramètres!$A$1:$I$89,5,0)</f>
        <v>0</v>
      </c>
      <c r="FG23" s="13" t="e">
        <f t="shared" si="47"/>
        <v>#NUM!</v>
      </c>
      <c r="FH23" s="20" t="e">
        <f t="shared" si="22"/>
        <v>#NUM!</v>
      </c>
      <c r="FI23" s="59" t="e">
        <f t="shared" si="23"/>
        <v>#NUM!</v>
      </c>
      <c r="FJ23" s="59">
        <f ca="1">AVERAGE(OFFSET($FI$3,0,0,'Données projet'!$E$16+1,1))-AVERAGE(OFFSET($H$3,0,0,'Données projet'!$E$16+1,1))</f>
        <v>0</v>
      </c>
      <c r="FK23" s="59">
        <f t="shared" si="48"/>
        <v>0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197.78572767493569</v>
      </c>
      <c r="T24" s="59">
        <f t="shared" si="34"/>
        <v>288.66487031729008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12.6</v>
      </c>
      <c r="AI24" s="13">
        <f>IF('Données projet'!$A$62&gt;35,AI23+AH24-AQ23,IF(A24&lt;'Données projet'!$A$62,$AF$205^A24,IF(A24='Données projet'!$A$62,'Données projet'!$B$62,AI23+AH24-AQ23)))</f>
        <v>64.599999999999994</v>
      </c>
      <c r="AJ24" s="13">
        <f>AI24*VLOOKUP('Données projet'!$B$10,Paramètres!$A$1:$I$89,3,0)*VLOOKUP('Données projet'!$B$10,Paramètres!$A$1:$I$89,5,0)</f>
        <v>51.395759999999996</v>
      </c>
      <c r="AK24" s="13">
        <f t="shared" si="35"/>
        <v>14.973641136922506</v>
      </c>
      <c r="AL24" s="20">
        <f t="shared" si="4"/>
        <v>115.59337364680668</v>
      </c>
      <c r="AM24" s="59">
        <f t="shared" si="5"/>
        <v>408.92670698014001</v>
      </c>
      <c r="AN24" s="59">
        <f ca="1">AVERAGE(OFFSET($AM$3,0,0,'Données projet'!$E$10+1,1))-AVERAGE(OFFSET($H$3,0,0,'Données projet'!$E$10+1,1))</f>
        <v>219.43439115440339</v>
      </c>
      <c r="AO24" s="59">
        <f t="shared" si="36"/>
        <v>217.8880462742099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</v>
      </c>
      <c r="BD24" s="12">
        <f>IF('Données projet'!$A$88&gt;35,BD23+BC24-BL23,IF(A24&lt;'Données projet'!$A$88,$BA$205^A24,IF(A24='Données projet'!$A$88,'Données projet'!$B$88,BD23+BC24-BL23)))</f>
        <v>74.200000000000017</v>
      </c>
      <c r="BE24" s="13">
        <f>BD24*VLOOKUP('Données projet'!$B$11,Paramètres!$A$1:$I$89,3,0)*VLOOKUP('Données projet'!$B$11,Paramètres!$A$1:$I$89,5,0)</f>
        <v>64.821120000000022</v>
      </c>
      <c r="BF24" s="13">
        <f t="shared" si="37"/>
        <v>18.381662645939866</v>
      </c>
      <c r="BG24" s="20">
        <f t="shared" si="7"/>
        <v>144.9115131083453</v>
      </c>
      <c r="BH24" s="59">
        <f t="shared" si="8"/>
        <v>438.24484644167865</v>
      </c>
      <c r="BI24" s="59">
        <f ca="1">AVERAGE(OFFSET($BH$3,0,0,'Données projet'!$E$11+1,1))-AVERAGE(OFFSET($H$3,0,0,'Données projet'!$E$11+1,1))</f>
        <v>175.73188403662408</v>
      </c>
      <c r="BJ24" s="59">
        <f t="shared" si="38"/>
        <v>152.02195399869032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2.9235042735042733</v>
      </c>
      <c r="BY24" s="12">
        <f>IF('Données projet'!$A$114&gt;35,BY23+BX24-CG23,IF(A24&lt;'Données projet'!$A$114,$BV$205^A24,IF(A24='Données projet'!$A$114,'Données projet'!$B$114,BY23+BX24-CG23)))</f>
        <v>22.91487494147438</v>
      </c>
      <c r="BZ24" s="13">
        <f>BY24*VLOOKUP('Données projet'!$B$12,Paramètres!$A$1:$I$89,3,0)*VLOOKUP('Données projet'!$B$12,Paramètres!$A$1:$I$89,5,0)</f>
        <v>20.733378847046019</v>
      </c>
      <c r="CA24" s="13">
        <f t="shared" si="39"/>
        <v>6.713697209604776</v>
      </c>
      <c r="CB24" s="20">
        <f t="shared" si="10"/>
        <v>47.803657465333458</v>
      </c>
      <c r="CC24" s="59">
        <f t="shared" si="11"/>
        <v>341.13699079866677</v>
      </c>
      <c r="CD24" s="59">
        <f ca="1">AVERAGE(OFFSET($CC$3,0,0,'Données projet'!$E$12+1,1))-AVERAGE(OFFSET($H$3,0,0,'Données projet'!$E$12+1,1))</f>
        <v>213.54857791046686</v>
      </c>
      <c r="CE24" s="59">
        <f t="shared" si="40"/>
        <v>138.46877538074244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36.5976</v>
      </c>
      <c r="CV24" s="13">
        <f t="shared" si="41"/>
        <v>11.092227993821965</v>
      </c>
      <c r="CW24" s="20">
        <f t="shared" si="13"/>
        <v>83.059783755906594</v>
      </c>
      <c r="CX24" s="59">
        <f t="shared" si="14"/>
        <v>376.39311708923992</v>
      </c>
      <c r="CY24" s="59">
        <f ca="1">AVERAGE(OFFSET($CX$3,0,0,'Données projet'!$E$13+1,1))-AVERAGE(OFFSET($H$3,0,0,'Données projet'!$E$13+1,1))</f>
        <v>161.87883827031436</v>
      </c>
      <c r="CZ24" s="59">
        <f t="shared" si="42"/>
        <v>163.02076389611869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3.8</v>
      </c>
      <c r="DO24" s="12">
        <f>IF('Données projet'!$A$166&gt;35,DO23+DN24-DW23,IF(A24&lt;'Données projet'!$A$166,$DL$205^A24,IF(A24='Données projet'!$A$166,'Données projet'!$B$166,DO23+DN24-DW23)))</f>
        <v>41.8</v>
      </c>
      <c r="DP24" s="17">
        <f>DO24*VLOOKUP('Données projet'!$B$14,Paramètres!$A$1:$I$89,3,0)*VLOOKUP('Données projet'!$B$14,Paramètres!$A$1:$I$89,5,0)</f>
        <v>33.908160000000002</v>
      </c>
      <c r="DQ24" s="13">
        <f t="shared" si="43"/>
        <v>10.368809057652532</v>
      </c>
      <c r="DR24" s="20">
        <f t="shared" si="16"/>
        <v>77.115721108744836</v>
      </c>
      <c r="DS24" s="59">
        <f t="shared" si="17"/>
        <v>370.44905444207814</v>
      </c>
      <c r="DT24" s="59">
        <f ca="1">AVERAGE(OFFSET($DS$3,0,0,'Données projet'!$E$14+1,1))-AVERAGE(OFFSET($H$3,0,0,'Données projet'!$E$14+1,1))</f>
        <v>96.611230241682733</v>
      </c>
      <c r="DU24" s="59">
        <f t="shared" si="44"/>
        <v>78.711045514042041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>
        <f>VLOOKUP(A24,'Données projet'!$A$191:$I$211,2,0)</f>
        <v>180.06153846153845</v>
      </c>
      <c r="EH24" s="12">
        <f>VLOOKUP(A24,'Données projet'!$A$191:$I$211,9,0)</f>
        <v>8.5743589743589741</v>
      </c>
      <c r="EI24" s="12">
        <f t="array" ref="EI24">INDEX(EH:EH,MIN(IF(ISNUMBER(EH24:EH220),ROW(EH24:EH220),"")))</f>
        <v>8.5743589743589741</v>
      </c>
      <c r="EJ24" s="12">
        <f>IF('Données projet'!$A$192&gt;35,EJ23+EI24-ER23,IF(A24&lt;'Données projet'!$A$192,$EG$205^A24,IF(A24='Données projet'!$A$192,'Données projet'!$B$192,EJ23+EI24-ER23)))</f>
        <v>180.06153846153845</v>
      </c>
      <c r="EK24" s="17">
        <f>EJ24*VLOOKUP('Données projet'!$B$15,Paramètres!$A$1:$I$89,3,0)*VLOOKUP('Données projet'!$B$15,Paramètres!$A$1:$I$89,5,0)</f>
        <v>79.58720000000001</v>
      </c>
      <c r="EL24" s="13">
        <f t="shared" si="45"/>
        <v>22.036222013260158</v>
      </c>
      <c r="EM24" s="20">
        <f t="shared" si="19"/>
        <v>176.9941266730948</v>
      </c>
      <c r="EN24" s="59">
        <f t="shared" si="20"/>
        <v>470.32746000642811</v>
      </c>
      <c r="EO24" s="59">
        <f ca="1">AVERAGE(OFFSET($EN$3,0,0,'Données projet'!$E$15+1,1))-AVERAGE(OFFSET($H$3,0,0,'Données projet'!$E$15+1,1))</f>
        <v>188.61152573050066</v>
      </c>
      <c r="EP24" s="59">
        <f t="shared" si="46"/>
        <v>172.37050503841624</v>
      </c>
      <c r="EQ24" s="15">
        <f>IF(ISNA(VLOOKUP(A24,'Données projet'!$A$191:$I$211,3,0)),0,VLOOKUP(A24,'Données projet'!$A$191:$I$211,3,0))</f>
        <v>1</v>
      </c>
      <c r="ER24" s="15">
        <f>IF(ISNA(VLOOKUP(A24,'Données projet'!$A$191:$I$211,4,0)),0,VLOOKUP(A24,'Données projet'!$A$191:$I$211,4,0))</f>
        <v>61.169230769230765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0.30800000000000005</v>
      </c>
      <c r="EU24" s="16">
        <f>IF(ISNA(VLOOKUP(A24,'Données projet'!$A$191:$I$211,7,0)),0%,VLOOKUP(A24,'Données projet'!$A$191:$I$211,7,0))</f>
        <v>0.44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11.003250576151293</v>
      </c>
      <c r="EX24" s="21">
        <f>EXP(-LN(2)/2)*EX23+(1-EXP(-LN(2)/2))/(LN(2)/2)*ER24*EU24*VLOOKUP('Données projet'!$B$15,Paramètres!$A$1:$I$89,3,0)*0.475*44/12</f>
        <v>13.469252799975962</v>
      </c>
      <c r="EY24" s="22">
        <f t="shared" si="21"/>
        <v>24.472503376127257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>
        <f>FE24*VLOOKUP('Données projet'!$B$16,Paramètres!$A$1:$I$89,3,0)*VLOOKUP('Données projet'!$B$16,Paramètres!$A$1:$I$89,5,0)</f>
        <v>0</v>
      </c>
      <c r="FG24" s="13" t="e">
        <f t="shared" si="47"/>
        <v>#NUM!</v>
      </c>
      <c r="FH24" s="20" t="e">
        <f t="shared" si="22"/>
        <v>#NUM!</v>
      </c>
      <c r="FI24" s="59" t="e">
        <f t="shared" si="23"/>
        <v>#NUM!</v>
      </c>
      <c r="FJ24" s="59">
        <f ca="1">AVERAGE(OFFSET($FI$3,0,0,'Données projet'!$E$16+1,1))-AVERAGE(OFFSET($H$3,0,0,'Données projet'!$E$16+1,1))</f>
        <v>0</v>
      </c>
      <c r="FK24" s="59">
        <f t="shared" si="48"/>
        <v>0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197.78572767493569</v>
      </c>
      <c r="T25" s="59">
        <f t="shared" si="34"/>
        <v>288.66487031729008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12.6</v>
      </c>
      <c r="AI25" s="13">
        <f>IF('Données projet'!$A$62&gt;35,AI24+AH25-AQ24,IF(A25&lt;'Données projet'!$A$62,$AF$205^A25,IF(A25='Données projet'!$A$62,'Données projet'!$B$62,AI24+AH25-AQ24)))</f>
        <v>77.199999999999989</v>
      </c>
      <c r="AJ25" s="13">
        <f>AI25*VLOOKUP('Données projet'!$B$10,Paramètres!$A$1:$I$89,3,0)*VLOOKUP('Données projet'!$B$10,Paramètres!$A$1:$I$89,5,0)</f>
        <v>61.42031999999999</v>
      </c>
      <c r="AK25" s="13">
        <f t="shared" si="35"/>
        <v>17.526880037631354</v>
      </c>
      <c r="AL25" s="20">
        <f t="shared" si="4"/>
        <v>137.4997067322079</v>
      </c>
      <c r="AM25" s="59">
        <f t="shared" si="5"/>
        <v>430.83304006554124</v>
      </c>
      <c r="AN25" s="59">
        <f ca="1">AVERAGE(OFFSET($AM$3,0,0,'Données projet'!$E$10+1,1))-AVERAGE(OFFSET($H$3,0,0,'Données projet'!$E$10+1,1))</f>
        <v>219.43439115440339</v>
      </c>
      <c r="AO25" s="59">
        <f t="shared" si="36"/>
        <v>217.8880462742099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</v>
      </c>
      <c r="BD25" s="12">
        <f>IF('Données projet'!$A$88&gt;35,BD24+BC25-BL24,IF(A25&lt;'Données projet'!$A$88,$BA$205^A25,IF(A25='Données projet'!$A$88,'Données projet'!$B$88,BD24+BC25-BL24)))</f>
        <v>81.40000000000002</v>
      </c>
      <c r="BE25" s="13">
        <f>BD25*VLOOKUP('Données projet'!$B$11,Paramètres!$A$1:$I$89,3,0)*VLOOKUP('Données projet'!$B$11,Paramètres!$A$1:$I$89,5,0)</f>
        <v>71.111040000000031</v>
      </c>
      <c r="BF25" s="13">
        <f t="shared" si="37"/>
        <v>19.949114581902013</v>
      </c>
      <c r="BG25" s="20">
        <f t="shared" si="7"/>
        <v>158.59643589681272</v>
      </c>
      <c r="BH25" s="59">
        <f t="shared" si="8"/>
        <v>451.92976923014601</v>
      </c>
      <c r="BI25" s="59">
        <f ca="1">AVERAGE(OFFSET($BH$3,0,0,'Données projet'!$E$11+1,1))-AVERAGE(OFFSET($H$3,0,0,'Données projet'!$E$11+1,1))</f>
        <v>175.73188403662408</v>
      </c>
      <c r="BJ25" s="59">
        <f t="shared" si="38"/>
        <v>152.02195399869032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2.9235042735042733</v>
      </c>
      <c r="BY25" s="12">
        <f>IF('Données projet'!$A$114&gt;35,BY24+BX25-CG24,IF(A25&lt;'Données projet'!$A$114,$BV$205^A25,IF(A25='Données projet'!$A$114,'Données projet'!$B$114,BY24+BX25-CG24)))</f>
        <v>26.600205452048144</v>
      </c>
      <c r="BZ25" s="13">
        <f>BY25*VLOOKUP('Données projet'!$B$12,Paramètres!$A$1:$I$89,3,0)*VLOOKUP('Données projet'!$B$12,Paramètres!$A$1:$I$89,5,0)</f>
        <v>24.06786589301316</v>
      </c>
      <c r="CA25" s="13">
        <f t="shared" si="39"/>
        <v>7.6593217420310804</v>
      </c>
      <c r="CB25" s="20">
        <f t="shared" si="10"/>
        <v>55.258185131035383</v>
      </c>
      <c r="CC25" s="59">
        <f t="shared" si="11"/>
        <v>348.59151846436868</v>
      </c>
      <c r="CD25" s="59">
        <f ca="1">AVERAGE(OFFSET($CC$3,0,0,'Données projet'!$E$12+1,1))-AVERAGE(OFFSET($H$3,0,0,'Données projet'!$E$12+1,1))</f>
        <v>213.54857791046686</v>
      </c>
      <c r="CE25" s="59">
        <f t="shared" si="40"/>
        <v>138.46877538074244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44.553600000000003</v>
      </c>
      <c r="CV25" s="13">
        <f t="shared" si="41"/>
        <v>13.197902274122358</v>
      </c>
      <c r="CW25" s="20">
        <f t="shared" si="13"/>
        <v>100.5838664607631</v>
      </c>
      <c r="CX25" s="59">
        <f t="shared" si="14"/>
        <v>393.9171997940964</v>
      </c>
      <c r="CY25" s="59">
        <f ca="1">AVERAGE(OFFSET($CX$3,0,0,'Données projet'!$E$13+1,1))-AVERAGE(OFFSET($H$3,0,0,'Données projet'!$E$13+1,1))</f>
        <v>161.87883827031436</v>
      </c>
      <c r="CZ25" s="59">
        <f t="shared" si="42"/>
        <v>163.02076389611869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3.8</v>
      </c>
      <c r="DO25" s="12">
        <f>IF('Données projet'!$A$166&gt;35,DO24+DN25-DW24,IF(A25&lt;'Données projet'!$A$166,$DL$205^A25,IF(A25='Données projet'!$A$166,'Données projet'!$B$166,DO24+DN25-DW24)))</f>
        <v>45.599999999999994</v>
      </c>
      <c r="DP25" s="17">
        <f>DO25*VLOOKUP('Données projet'!$B$14,Paramètres!$A$1:$I$89,3,0)*VLOOKUP('Données projet'!$B$14,Paramètres!$A$1:$I$89,5,0)</f>
        <v>36.990719999999996</v>
      </c>
      <c r="DQ25" s="13">
        <f t="shared" si="43"/>
        <v>11.197442716918179</v>
      </c>
      <c r="DR25" s="20">
        <f t="shared" si="16"/>
        <v>83.927716731965816</v>
      </c>
      <c r="DS25" s="59">
        <f t="shared" si="17"/>
        <v>377.26105006529912</v>
      </c>
      <c r="DT25" s="59">
        <f ca="1">AVERAGE(OFFSET($DS$3,0,0,'Données projet'!$E$14+1,1))-AVERAGE(OFFSET($H$3,0,0,'Données projet'!$E$14+1,1))</f>
        <v>96.611230241682733</v>
      </c>
      <c r="DU25" s="59">
        <f t="shared" si="44"/>
        <v>78.711045514042041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16.687912087912089</v>
      </c>
      <c r="EJ25" s="12">
        <f>IF('Données projet'!$A$192&gt;35,EJ24+EI25-ER24,IF(A25&lt;'Données projet'!$A$192,$EG$205^A25,IF(A25='Données projet'!$A$192,'Données projet'!$B$192,EJ24+EI25-ER24)))</f>
        <v>135.58021978021975</v>
      </c>
      <c r="EK25" s="17">
        <f>EJ25*VLOOKUP('Données projet'!$B$15,Paramètres!$A$1:$I$89,3,0)*VLOOKUP('Données projet'!$B$15,Paramètres!$A$1:$I$89,5,0)</f>
        <v>59.926457142857132</v>
      </c>
      <c r="EL25" s="13">
        <f t="shared" si="45"/>
        <v>17.149673743771672</v>
      </c>
      <c r="EM25" s="20">
        <f t="shared" si="19"/>
        <v>134.24092796087848</v>
      </c>
      <c r="EN25" s="59">
        <f t="shared" si="20"/>
        <v>427.57426129421179</v>
      </c>
      <c r="EO25" s="59">
        <f ca="1">AVERAGE(OFFSET($EN$3,0,0,'Données projet'!$E$15+1,1))-AVERAGE(OFFSET($H$3,0,0,'Données projet'!$E$15+1,1))</f>
        <v>188.61152573050066</v>
      </c>
      <c r="EP25" s="59">
        <f t="shared" si="46"/>
        <v>172.37050503841624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10.702366110510637</v>
      </c>
      <c r="EX25" s="21">
        <f>EXP(-LN(2)/2)*EX24+(1-EXP(-LN(2)/2))/(LN(2)/2)*ER25*EU25*VLOOKUP('Données projet'!$B$15,Paramètres!$A$1:$I$89,3,0)*0.475*44/12</f>
        <v>9.5241999923788949</v>
      </c>
      <c r="EY25" s="22">
        <f t="shared" si="21"/>
        <v>20.226566102889532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>
        <f>FE25*VLOOKUP('Données projet'!$B$16,Paramètres!$A$1:$I$89,3,0)*VLOOKUP('Données projet'!$B$16,Paramètres!$A$1:$I$89,5,0)</f>
        <v>0</v>
      </c>
      <c r="FG25" s="13" t="e">
        <f t="shared" si="47"/>
        <v>#NUM!</v>
      </c>
      <c r="FH25" s="20" t="e">
        <f t="shared" si="22"/>
        <v>#NUM!</v>
      </c>
      <c r="FI25" s="59" t="e">
        <f t="shared" si="23"/>
        <v>#NUM!</v>
      </c>
      <c r="FJ25" s="59">
        <f ca="1">AVERAGE(OFFSET($FI$3,0,0,'Données projet'!$E$16+1,1))-AVERAGE(OFFSET($H$3,0,0,'Données projet'!$E$16+1,1))</f>
        <v>0</v>
      </c>
      <c r="FK25" s="59">
        <f t="shared" si="48"/>
        <v>0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197.78572767493569</v>
      </c>
      <c r="T26" s="59">
        <f t="shared" si="34"/>
        <v>288.66487031729008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12.6</v>
      </c>
      <c r="AI26" s="13">
        <f>IF('Données projet'!$A$62&gt;35,AI25+AH26-AQ25,IF(A26&lt;'Données projet'!$A$62,$AF$205^A26,IF(A26='Données projet'!$A$62,'Données projet'!$B$62,AI25+AH26-AQ25)))</f>
        <v>89.799999999999983</v>
      </c>
      <c r="AJ26" s="13">
        <f>AI26*VLOOKUP('Données projet'!$B$10,Paramètres!$A$1:$I$89,3,0)*VLOOKUP('Données projet'!$B$10,Paramètres!$A$1:$I$89,5,0)</f>
        <v>71.444879999999998</v>
      </c>
      <c r="AK26" s="13">
        <f t="shared" si="35"/>
        <v>20.03184442542841</v>
      </c>
      <c r="AL26" s="20">
        <f t="shared" si="4"/>
        <v>159.32196170762117</v>
      </c>
      <c r="AM26" s="59">
        <f t="shared" si="5"/>
        <v>452.65529504095446</v>
      </c>
      <c r="AN26" s="59">
        <f ca="1">AVERAGE(OFFSET($AM$3,0,0,'Données projet'!$E$10+1,1))-AVERAGE(OFFSET($H$3,0,0,'Données projet'!$E$10+1,1))</f>
        <v>219.43439115440339</v>
      </c>
      <c r="AO26" s="59">
        <f t="shared" si="36"/>
        <v>217.8880462742099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</v>
      </c>
      <c r="BD26" s="12">
        <f>IF('Données projet'!$A$88&gt;35,BD25+BC26-BL25,IF(A26&lt;'Données projet'!$A$88,$BA$205^A26,IF(A26='Données projet'!$A$88,'Données projet'!$B$88,BD25+BC26-BL25)))</f>
        <v>88.600000000000023</v>
      </c>
      <c r="BE26" s="13">
        <f>BD26*VLOOKUP('Données projet'!$B$11,Paramètres!$A$1:$I$89,3,0)*VLOOKUP('Données projet'!$B$11,Paramètres!$A$1:$I$89,5,0)</f>
        <v>77.40096000000004</v>
      </c>
      <c r="BF26" s="13">
        <f t="shared" si="37"/>
        <v>21.500488991081735</v>
      </c>
      <c r="BG26" s="20">
        <f t="shared" si="7"/>
        <v>172.25335699280075</v>
      </c>
      <c r="BH26" s="59">
        <f t="shared" si="8"/>
        <v>465.58669032613409</v>
      </c>
      <c r="BI26" s="59">
        <f ca="1">AVERAGE(OFFSET($BH$3,0,0,'Données projet'!$E$11+1,1))-AVERAGE(OFFSET($H$3,0,0,'Données projet'!$E$11+1,1))</f>
        <v>175.73188403662408</v>
      </c>
      <c r="BJ26" s="59">
        <f t="shared" si="38"/>
        <v>152.02195399869032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2.9235042735042733</v>
      </c>
      <c r="BY26" s="12">
        <f>IF('Données projet'!$A$114&gt;35,BY25+BX26-CG25,IF(A26&lt;'Données projet'!$A$114,$BV$205^A26,IF(A26='Données projet'!$A$114,'Données projet'!$B$114,BY25+BX26-CG25)))</f>
        <v>30.878236599516239</v>
      </c>
      <c r="BZ26" s="13">
        <f>BY26*VLOOKUP('Données projet'!$B$12,Paramètres!$A$1:$I$89,3,0)*VLOOKUP('Données projet'!$B$12,Paramètres!$A$1:$I$89,5,0)</f>
        <v>27.938628475242293</v>
      </c>
      <c r="CA26" s="13">
        <f t="shared" si="39"/>
        <v>8.7381375293515138</v>
      </c>
      <c r="CB26" s="20">
        <f t="shared" si="10"/>
        <v>63.878700791334211</v>
      </c>
      <c r="CC26" s="59">
        <f t="shared" si="11"/>
        <v>357.21203412466753</v>
      </c>
      <c r="CD26" s="59">
        <f ca="1">AVERAGE(OFFSET($CC$3,0,0,'Données projet'!$E$12+1,1))-AVERAGE(OFFSET($H$3,0,0,'Données projet'!$E$12+1,1))</f>
        <v>213.54857791046686</v>
      </c>
      <c r="CE26" s="59">
        <f t="shared" si="40"/>
        <v>138.46877538074244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52.509600000000006</v>
      </c>
      <c r="CV26" s="13">
        <f t="shared" si="41"/>
        <v>15.260016001659478</v>
      </c>
      <c r="CW26" s="20">
        <f t="shared" si="13"/>
        <v>118.03208120289027</v>
      </c>
      <c r="CX26" s="59">
        <f t="shared" si="14"/>
        <v>411.36541453622357</v>
      </c>
      <c r="CY26" s="59">
        <f ca="1">AVERAGE(OFFSET($CX$3,0,0,'Données projet'!$E$13+1,1))-AVERAGE(OFFSET($H$3,0,0,'Données projet'!$E$13+1,1))</f>
        <v>161.87883827031436</v>
      </c>
      <c r="CZ26" s="59">
        <f t="shared" si="42"/>
        <v>163.02076389611869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3.8</v>
      </c>
      <c r="DO26" s="12">
        <f>IF('Données projet'!$A$166&gt;35,DO25+DN26-DW25,IF(A26&lt;'Données projet'!$A$166,$DL$205^A26,IF(A26='Données projet'!$A$166,'Données projet'!$B$166,DO25+DN26-DW25)))</f>
        <v>49.399999999999991</v>
      </c>
      <c r="DP26" s="17">
        <f>DO26*VLOOKUP('Données projet'!$B$14,Paramètres!$A$1:$I$89,3,0)*VLOOKUP('Données projet'!$B$14,Paramètres!$A$1:$I$89,5,0)</f>
        <v>40.073279999999997</v>
      </c>
      <c r="DQ26" s="13">
        <f t="shared" si="43"/>
        <v>12.018067709266933</v>
      </c>
      <c r="DR26" s="20">
        <f t="shared" si="16"/>
        <v>90.725763926973229</v>
      </c>
      <c r="DS26" s="59">
        <f t="shared" si="17"/>
        <v>384.05909726030654</v>
      </c>
      <c r="DT26" s="59">
        <f ca="1">AVERAGE(OFFSET($DS$3,0,0,'Données projet'!$E$14+1,1))-AVERAGE(OFFSET($H$3,0,0,'Données projet'!$E$14+1,1))</f>
        <v>96.611230241682733</v>
      </c>
      <c r="DU26" s="59">
        <f t="shared" si="44"/>
        <v>78.711045514042041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16.687912087912089</v>
      </c>
      <c r="EJ26" s="12">
        <f>IF('Données projet'!$A$192&gt;35,EJ25+EI26-ER25,IF(A26&lt;'Données projet'!$A$192,$EG$205^A26,IF(A26='Données projet'!$A$192,'Données projet'!$B$192,EJ25+EI26-ER25)))</f>
        <v>152.26813186813183</v>
      </c>
      <c r="EK26" s="17">
        <f>EJ26*VLOOKUP('Données projet'!$B$15,Paramètres!$A$1:$I$89,3,0)*VLOOKUP('Données projet'!$B$15,Paramètres!$A$1:$I$89,5,0)</f>
        <v>67.302514285714281</v>
      </c>
      <c r="EL26" s="13">
        <f t="shared" si="45"/>
        <v>19.002052416028782</v>
      </c>
      <c r="EM26" s="20">
        <f t="shared" si="19"/>
        <v>150.31378700553583</v>
      </c>
      <c r="EN26" s="59">
        <f t="shared" si="20"/>
        <v>443.64712033886917</v>
      </c>
      <c r="EO26" s="59">
        <f ca="1">AVERAGE(OFFSET($EN$3,0,0,'Données projet'!$E$15+1,1))-AVERAGE(OFFSET($H$3,0,0,'Données projet'!$E$15+1,1))</f>
        <v>188.61152573050066</v>
      </c>
      <c r="EP26" s="59">
        <f t="shared" si="46"/>
        <v>172.37050503841624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10.40970934640575</v>
      </c>
      <c r="EX26" s="21">
        <f>EXP(-LN(2)/2)*EX25+(1-EXP(-LN(2)/2))/(LN(2)/2)*ER26*EU26*VLOOKUP('Données projet'!$B$15,Paramètres!$A$1:$I$89,3,0)*0.475*44/12</f>
        <v>6.734626399987981</v>
      </c>
      <c r="EY26" s="22">
        <f t="shared" si="21"/>
        <v>17.144335746393729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>
        <f>FE26*VLOOKUP('Données projet'!$B$16,Paramètres!$A$1:$I$89,3,0)*VLOOKUP('Données projet'!$B$16,Paramètres!$A$1:$I$89,5,0)</f>
        <v>0</v>
      </c>
      <c r="FG26" s="13" t="e">
        <f t="shared" si="47"/>
        <v>#NUM!</v>
      </c>
      <c r="FH26" s="20" t="e">
        <f t="shared" si="22"/>
        <v>#NUM!</v>
      </c>
      <c r="FI26" s="59" t="e">
        <f t="shared" si="23"/>
        <v>#NUM!</v>
      </c>
      <c r="FJ26" s="59">
        <f ca="1">AVERAGE(OFFSET($FI$3,0,0,'Données projet'!$E$16+1,1))-AVERAGE(OFFSET($H$3,0,0,'Données projet'!$E$16+1,1))</f>
        <v>0</v>
      </c>
      <c r="FK26" s="59">
        <f t="shared" si="48"/>
        <v>0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197.78572767493569</v>
      </c>
      <c r="T27" s="59">
        <f t="shared" si="34"/>
        <v>288.66487031729008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12.6</v>
      </c>
      <c r="AI27" s="13">
        <f>IF('Données projet'!$A$62&gt;35,AI26+AH27-AQ26,IF(A27&lt;'Données projet'!$A$62,$AF$205^A27,IF(A27='Données projet'!$A$62,'Données projet'!$B$62,AI26+AH27-AQ26)))</f>
        <v>102.39999999999998</v>
      </c>
      <c r="AJ27" s="13">
        <f>AI27*VLOOKUP('Données projet'!$B$10,Paramètres!$A$1:$I$89,3,0)*VLOOKUP('Données projet'!$B$10,Paramètres!$A$1:$I$89,5,0)</f>
        <v>81.469439999999992</v>
      </c>
      <c r="AK27" s="13">
        <f t="shared" si="35"/>
        <v>22.496088365195678</v>
      </c>
      <c r="AL27" s="20">
        <f t="shared" si="4"/>
        <v>181.07329523604912</v>
      </c>
      <c r="AM27" s="59">
        <f t="shared" si="5"/>
        <v>474.40662856938241</v>
      </c>
      <c r="AN27" s="59">
        <f ca="1">AVERAGE(OFFSET($AM$3,0,0,'Données projet'!$E$10+1,1))-AVERAGE(OFFSET($H$3,0,0,'Données projet'!$E$10+1,1))</f>
        <v>219.43439115440339</v>
      </c>
      <c r="AO27" s="59">
        <f t="shared" si="36"/>
        <v>217.8880462742099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</v>
      </c>
      <c r="BD27" s="12">
        <f>IF('Données projet'!$A$88&gt;35,BD26+BC27-BL26,IF(A27&lt;'Données projet'!$A$88,$BA$205^A27,IF(A27='Données projet'!$A$88,'Données projet'!$B$88,BD26+BC27-BL26)))</f>
        <v>95.800000000000026</v>
      </c>
      <c r="BE27" s="13">
        <f>BD27*VLOOKUP('Données projet'!$B$11,Paramètres!$A$1:$I$89,3,0)*VLOOKUP('Données projet'!$B$11,Paramètres!$A$1:$I$89,5,0)</f>
        <v>83.690880000000035</v>
      </c>
      <c r="BF27" s="13">
        <f t="shared" si="37"/>
        <v>23.037240938104041</v>
      </c>
      <c r="BG27" s="20">
        <f t="shared" si="7"/>
        <v>185.88481063386459</v>
      </c>
      <c r="BH27" s="59">
        <f t="shared" si="8"/>
        <v>479.21814396719788</v>
      </c>
      <c r="BI27" s="59">
        <f ca="1">AVERAGE(OFFSET($BH$3,0,0,'Données projet'!$E$11+1,1))-AVERAGE(OFFSET($H$3,0,0,'Données projet'!$E$11+1,1))</f>
        <v>175.73188403662408</v>
      </c>
      <c r="BJ27" s="59">
        <f t="shared" si="38"/>
        <v>152.02195399869032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2.9235042735042733</v>
      </c>
      <c r="BY27" s="12">
        <f>IF('Données projet'!$A$114&gt;35,BY26+BX27-CG26,IF(A27&lt;'Données projet'!$A$114,$BV$205^A27,IF(A27='Données projet'!$A$114,'Données projet'!$B$114,BY26+BX27-CG26)))</f>
        <v>35.844290647096855</v>
      </c>
      <c r="BZ27" s="13">
        <f>BY27*VLOOKUP('Données projet'!$B$12,Paramètres!$A$1:$I$89,3,0)*VLOOKUP('Données projet'!$B$12,Paramètres!$A$1:$I$89,5,0)</f>
        <v>32.431914177493233</v>
      </c>
      <c r="CA27" s="13">
        <f t="shared" si="39"/>
        <v>9.9689045653817558</v>
      </c>
      <c r="CB27" s="20">
        <f t="shared" si="10"/>
        <v>73.848092643840616</v>
      </c>
      <c r="CC27" s="59">
        <f t="shared" si="11"/>
        <v>367.18142597717394</v>
      </c>
      <c r="CD27" s="59">
        <f ca="1">AVERAGE(OFFSET($CC$3,0,0,'Données projet'!$E$12+1,1))-AVERAGE(OFFSET($H$3,0,0,'Données projet'!$E$12+1,1))</f>
        <v>213.54857791046686</v>
      </c>
      <c r="CE27" s="59">
        <f t="shared" si="40"/>
        <v>138.46877538074244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60.465600000000002</v>
      </c>
      <c r="CV27" s="13">
        <f t="shared" si="41"/>
        <v>17.28593428824821</v>
      </c>
      <c r="CW27" s="20">
        <f t="shared" si="13"/>
        <v>135.41725555203229</v>
      </c>
      <c r="CX27" s="59">
        <f t="shared" si="14"/>
        <v>428.75058888536557</v>
      </c>
      <c r="CY27" s="59">
        <f ca="1">AVERAGE(OFFSET($CX$3,0,0,'Données projet'!$E$13+1,1))-AVERAGE(OFFSET($H$3,0,0,'Données projet'!$E$13+1,1))</f>
        <v>161.87883827031436</v>
      </c>
      <c r="CZ27" s="59">
        <f t="shared" si="42"/>
        <v>163.02076389611869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3.8</v>
      </c>
      <c r="DO27" s="12">
        <f>IF('Données projet'!$A$166&gt;35,DO26+DN27-DW26,IF(A27&lt;'Données projet'!$A$166,$DL$205^A27,IF(A27='Données projet'!$A$166,'Données projet'!$B$166,DO26+DN27-DW26)))</f>
        <v>53.199999999999989</v>
      </c>
      <c r="DP27" s="17">
        <f>DO27*VLOOKUP('Données projet'!$B$14,Paramètres!$A$1:$I$89,3,0)*VLOOKUP('Données projet'!$B$14,Paramètres!$A$1:$I$89,5,0)</f>
        <v>43.155839999999991</v>
      </c>
      <c r="DQ27" s="13">
        <f t="shared" si="43"/>
        <v>12.831370130493596</v>
      </c>
      <c r="DR27" s="20">
        <f t="shared" si="16"/>
        <v>97.511057643942991</v>
      </c>
      <c r="DS27" s="59">
        <f t="shared" si="17"/>
        <v>390.8443909772763</v>
      </c>
      <c r="DT27" s="59">
        <f ca="1">AVERAGE(OFFSET($DS$3,0,0,'Données projet'!$E$14+1,1))-AVERAGE(OFFSET($H$3,0,0,'Données projet'!$E$14+1,1))</f>
        <v>96.611230241682733</v>
      </c>
      <c r="DU27" s="59">
        <f t="shared" si="44"/>
        <v>78.711045514042041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16.687912087912089</v>
      </c>
      <c r="EJ27" s="12">
        <f>IF('Données projet'!$A$192&gt;35,EJ26+EI27-ER26,IF(A27&lt;'Données projet'!$A$192,$EG$205^A27,IF(A27='Données projet'!$A$192,'Données projet'!$B$192,EJ26+EI27-ER26)))</f>
        <v>168.95604395604391</v>
      </c>
      <c r="EK27" s="17">
        <f>EJ27*VLOOKUP('Données projet'!$B$15,Paramètres!$A$1:$I$89,3,0)*VLOOKUP('Données projet'!$B$15,Paramètres!$A$1:$I$89,5,0)</f>
        <v>74.678571428571416</v>
      </c>
      <c r="EL27" s="13">
        <f t="shared" si="45"/>
        <v>20.83090084931197</v>
      </c>
      <c r="EM27" s="20">
        <f t="shared" si="19"/>
        <v>166.34566421731355</v>
      </c>
      <c r="EN27" s="59">
        <f t="shared" si="20"/>
        <v>459.67899755064684</v>
      </c>
      <c r="EO27" s="59">
        <f ca="1">AVERAGE(OFFSET($EN$3,0,0,'Données projet'!$E$15+1,1))-AVERAGE(OFFSET($H$3,0,0,'Données projet'!$E$15+1,1))</f>
        <v>188.61152573050066</v>
      </c>
      <c r="EP27" s="59">
        <f t="shared" si="46"/>
        <v>172.37050503841624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10.125055296905462</v>
      </c>
      <c r="EX27" s="21">
        <f>EXP(-LN(2)/2)*EX26+(1-EXP(-LN(2)/2))/(LN(2)/2)*ER27*EU27*VLOOKUP('Données projet'!$B$15,Paramètres!$A$1:$I$89,3,0)*0.475*44/12</f>
        <v>4.7620999961894475</v>
      </c>
      <c r="EY27" s="22">
        <f t="shared" si="21"/>
        <v>14.88715529309491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>
        <f>FE27*VLOOKUP('Données projet'!$B$16,Paramètres!$A$1:$I$89,3,0)*VLOOKUP('Données projet'!$B$16,Paramètres!$A$1:$I$89,5,0)</f>
        <v>0</v>
      </c>
      <c r="FG27" s="13" t="e">
        <f t="shared" si="47"/>
        <v>#NUM!</v>
      </c>
      <c r="FH27" s="20" t="e">
        <f t="shared" si="22"/>
        <v>#NUM!</v>
      </c>
      <c r="FI27" s="59" t="e">
        <f t="shared" si="23"/>
        <v>#NUM!</v>
      </c>
      <c r="FJ27" s="59">
        <f ca="1">AVERAGE(OFFSET($FI$3,0,0,'Données projet'!$E$16+1,1))-AVERAGE(OFFSET($H$3,0,0,'Données projet'!$E$16+1,1))</f>
        <v>0</v>
      </c>
      <c r="FK27" s="59">
        <f t="shared" si="48"/>
        <v>0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197.78572767493569</v>
      </c>
      <c r="T28" s="59">
        <f t="shared" si="34"/>
        <v>288.66487031729008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115</v>
      </c>
      <c r="AG28" s="12">
        <f>VLOOKUP(A28,'Données projet'!$A$61:$I$81,9,0)</f>
        <v>12.6</v>
      </c>
      <c r="AH28" s="12">
        <f t="array" ref="AH28">INDEX(AG:AG,MIN(IF(ISNUMBER(AG28:AG224),ROW(AG28:AG224),"")))</f>
        <v>12.6</v>
      </c>
      <c r="AI28" s="13">
        <f>IF('Données projet'!$A$62&gt;35,AI27+AH28-AQ27,IF(A28&lt;'Données projet'!$A$62,$AF$205^A28,IF(A28='Données projet'!$A$62,'Données projet'!$B$62,AI27+AH28-AQ27)))</f>
        <v>114.99999999999997</v>
      </c>
      <c r="AJ28" s="13">
        <f>AI28*VLOOKUP('Données projet'!$B$10,Paramètres!$A$1:$I$89,3,0)*VLOOKUP('Données projet'!$B$10,Paramètres!$A$1:$I$89,5,0)</f>
        <v>91.493999999999986</v>
      </c>
      <c r="AK28" s="13">
        <f t="shared" si="35"/>
        <v>24.925195840896517</v>
      </c>
      <c r="AL28" s="20">
        <f t="shared" si="4"/>
        <v>202.76343275622807</v>
      </c>
      <c r="AM28" s="59">
        <f t="shared" si="5"/>
        <v>496.09676608956136</v>
      </c>
      <c r="AN28" s="59">
        <f ca="1">AVERAGE(OFFSET($AM$3,0,0,'Données projet'!$E$10+1,1))-AVERAGE(OFFSET($H$3,0,0,'Données projet'!$E$10+1,1))</f>
        <v>219.43439115440339</v>
      </c>
      <c r="AO28" s="59">
        <f t="shared" si="36"/>
        <v>217.8880462742099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3.7100000000000008E-2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0.91003997042672546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0.91003997042672546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103</v>
      </c>
      <c r="BB28" s="12">
        <f>VLOOKUP(A28,'Données projet'!$A$87:$I$107,9,0)</f>
        <v>7.2</v>
      </c>
      <c r="BC28" s="12">
        <f t="array" ref="BC28">INDEX(BB:BB,MIN(IF(ISNUMBER(BB28:BB224),ROW(BB28:BB224),"")))</f>
        <v>7.2</v>
      </c>
      <c r="BD28" s="12">
        <f>IF('Données projet'!$A$88&gt;35,BD27+BC28-BL27,IF(A28&lt;'Données projet'!$A$88,$BA$205^A28,IF(A28='Données projet'!$A$88,'Données projet'!$B$88,BD27+BC28-BL27)))</f>
        <v>103.00000000000003</v>
      </c>
      <c r="BE28" s="13">
        <f>BD28*VLOOKUP('Données projet'!$B$11,Paramètres!$A$1:$I$89,3,0)*VLOOKUP('Données projet'!$B$11,Paramètres!$A$1:$I$89,5,0)</f>
        <v>89.980800000000031</v>
      </c>
      <c r="BF28" s="13">
        <f t="shared" si="37"/>
        <v>24.560594358746648</v>
      </c>
      <c r="BG28" s="20">
        <f t="shared" si="7"/>
        <v>199.49292850815047</v>
      </c>
      <c r="BH28" s="59">
        <f t="shared" si="8"/>
        <v>492.82626184148376</v>
      </c>
      <c r="BI28" s="59">
        <f ca="1">AVERAGE(OFFSET($BH$3,0,0,'Données projet'!$E$11+1,1))-AVERAGE(OFFSET($H$3,0,0,'Données projet'!$E$11+1,1))</f>
        <v>175.73188403662408</v>
      </c>
      <c r="BJ28" s="59">
        <f t="shared" si="38"/>
        <v>152.02195399869032</v>
      </c>
      <c r="BK28" s="15">
        <f>IF(ISNA(VLOOKUP(A28,'Données projet'!$A$87:$I$107,3,0)),0,VLOOKUP(A28,'Données projet'!$A$87:$I$107,3,0))</f>
        <v>1</v>
      </c>
      <c r="BL28" s="15" t="str">
        <f>IF(ISNA(VLOOKUP(A28,'Données projet'!$A$87:$I$107,4,0)),0,VLOOKUP(A28,'Données projet'!$A$87:$I$107,4,0))</f>
        <v>38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2.9235042735042733</v>
      </c>
      <c r="BY28" s="12">
        <f>IF('Données projet'!$A$114&gt;35,BY27+BX28-CG27,IF(A28&lt;'Données projet'!$A$114,$BV$205^A28,IF(A28='Données projet'!$A$114,'Données projet'!$B$114,BY27+BX28-CG27)))</f>
        <v>41.609020251295185</v>
      </c>
      <c r="BZ28" s="13">
        <f>BY28*VLOOKUP('Données projet'!$B$12,Paramètres!$A$1:$I$89,3,0)*VLOOKUP('Données projet'!$B$12,Paramètres!$A$1:$I$89,5,0)</f>
        <v>37.647841523371881</v>
      </c>
      <c r="CA28" s="13">
        <f t="shared" si="39"/>
        <v>11.373025189850091</v>
      </c>
      <c r="CB28" s="20">
        <f t="shared" si="10"/>
        <v>85.37800952552827</v>
      </c>
      <c r="CC28" s="59">
        <f t="shared" si="11"/>
        <v>378.7113428588616</v>
      </c>
      <c r="CD28" s="59">
        <f ca="1">AVERAGE(OFFSET($CC$3,0,0,'Données projet'!$E$12+1,1))-AVERAGE(OFFSET($H$3,0,0,'Données projet'!$E$12+1,1))</f>
        <v>213.54857791046686</v>
      </c>
      <c r="CE28" s="59">
        <f t="shared" si="40"/>
        <v>138.46877538074244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68.421599999999998</v>
      </c>
      <c r="CV28" s="13">
        <f t="shared" si="41"/>
        <v>19.280966457164443</v>
      </c>
      <c r="CW28" s="20">
        <f t="shared" si="13"/>
        <v>152.74863657956141</v>
      </c>
      <c r="CX28" s="59">
        <f t="shared" si="14"/>
        <v>446.08196991289469</v>
      </c>
      <c r="CY28" s="59">
        <f ca="1">AVERAGE(OFFSET($CX$3,0,0,'Données projet'!$E$13+1,1))-AVERAGE(OFFSET($H$3,0,0,'Données projet'!$E$13+1,1))</f>
        <v>161.87883827031436</v>
      </c>
      <c r="CZ28" s="59">
        <f t="shared" si="42"/>
        <v>163.02076389611869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57</v>
      </c>
      <c r="DM28" s="12">
        <f>VLOOKUP(A28,'Données projet'!$A$165:$I$185,9,0)</f>
        <v>3.8</v>
      </c>
      <c r="DN28" s="12">
        <f t="array" ref="DN28">INDEX(DM:DM,MIN(IF(ISNUMBER(DM28:DM224),ROW(DM28:DM224),"")))</f>
        <v>3.8</v>
      </c>
      <c r="DO28" s="12">
        <f>IF('Données projet'!$A$166&gt;35,DO27+DN28-DW27,IF(A28&lt;'Données projet'!$A$166,$DL$205^A28,IF(A28='Données projet'!$A$166,'Données projet'!$B$166,DO27+DN28-DW27)))</f>
        <v>56.999999999999986</v>
      </c>
      <c r="DP28" s="17">
        <f>DO28*VLOOKUP('Données projet'!$B$14,Paramètres!$A$1:$I$89,3,0)*VLOOKUP('Données projet'!$B$14,Paramètres!$A$1:$I$89,5,0)</f>
        <v>46.238399999999992</v>
      </c>
      <c r="DQ28" s="13">
        <f t="shared" si="43"/>
        <v>13.637932508790355</v>
      </c>
      <c r="DR28" s="20">
        <f t="shared" si="16"/>
        <v>104.28461245280984</v>
      </c>
      <c r="DS28" s="59">
        <f t="shared" si="17"/>
        <v>397.61794578614314</v>
      </c>
      <c r="DT28" s="59">
        <f ca="1">AVERAGE(OFFSET($DS$3,0,0,'Données projet'!$E$14+1,1))-AVERAGE(OFFSET($H$3,0,0,'Données projet'!$E$14+1,1))</f>
        <v>96.611230241682733</v>
      </c>
      <c r="DU28" s="59">
        <f t="shared" si="44"/>
        <v>78.711045514042041</v>
      </c>
      <c r="DV28" s="15">
        <f>IF(ISNA(VLOOKUP(A28,'Données projet'!$A$165:$I$185,3,0)),0,VLOOKUP(A28,'Données projet'!$A$165:$I$185,3,0))</f>
        <v>1</v>
      </c>
      <c r="DW28" s="15">
        <f>IF(ISNA(VLOOKUP(A28,'Données projet'!$A$165:$I$185,4,0)),0,VLOOKUP(A28,'Données projet'!$A$165:$I$185,4,0))</f>
        <v>11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0.3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2.5257838093220402</v>
      </c>
      <c r="ED28" s="22">
        <f t="shared" si="18"/>
        <v>2.5257838093220402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16.687912087912089</v>
      </c>
      <c r="EJ28" s="12">
        <f>IF('Données projet'!$A$192&gt;35,EJ27+EI28-ER27,IF(A28&lt;'Données projet'!$A$192,$EG$205^A28,IF(A28='Données projet'!$A$192,'Données projet'!$B$192,EJ27+EI28-ER27)))</f>
        <v>185.643956043956</v>
      </c>
      <c r="EK28" s="17">
        <f>EJ28*VLOOKUP('Données projet'!$B$15,Paramètres!$A$1:$I$89,3,0)*VLOOKUP('Données projet'!$B$15,Paramètres!$A$1:$I$89,5,0)</f>
        <v>82.054628571428566</v>
      </c>
      <c r="EL28" s="13">
        <f t="shared" si="45"/>
        <v>22.638807666819357</v>
      </c>
      <c r="EM28" s="20">
        <f t="shared" si="19"/>
        <v>182.34106811494846</v>
      </c>
      <c r="EN28" s="59">
        <f t="shared" si="20"/>
        <v>475.67440144828174</v>
      </c>
      <c r="EO28" s="59">
        <f ca="1">AVERAGE(OFFSET($EN$3,0,0,'Données projet'!$E$15+1,1))-AVERAGE(OFFSET($H$3,0,0,'Données projet'!$E$15+1,1))</f>
        <v>188.61152573050066</v>
      </c>
      <c r="EP28" s="59">
        <f t="shared" si="46"/>
        <v>172.37050503841624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9.8481851273580645</v>
      </c>
      <c r="EX28" s="21">
        <f>EXP(-LN(2)/2)*EX27+(1-EXP(-LN(2)/2))/(LN(2)/2)*ER28*EU28*VLOOKUP('Données projet'!$B$15,Paramètres!$A$1:$I$89,3,0)*0.475*44/12</f>
        <v>3.3673131999939905</v>
      </c>
      <c r="EY28" s="22">
        <f t="shared" si="21"/>
        <v>13.215498327352055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>
        <f>FE28*VLOOKUP('Données projet'!$B$16,Paramètres!$A$1:$I$89,3,0)*VLOOKUP('Données projet'!$B$16,Paramètres!$A$1:$I$89,5,0)</f>
        <v>0</v>
      </c>
      <c r="FG28" s="13" t="e">
        <f t="shared" si="47"/>
        <v>#NUM!</v>
      </c>
      <c r="FH28" s="20" t="e">
        <f t="shared" si="22"/>
        <v>#NUM!</v>
      </c>
      <c r="FI28" s="59" t="e">
        <f t="shared" si="23"/>
        <v>#NUM!</v>
      </c>
      <c r="FJ28" s="59">
        <f ca="1">AVERAGE(OFFSET($FI$3,0,0,'Données projet'!$E$16+1,1))-AVERAGE(OFFSET($H$3,0,0,'Données projet'!$E$16+1,1))</f>
        <v>0</v>
      </c>
      <c r="FK28" s="59">
        <f t="shared" si="48"/>
        <v>0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197.78572767493569</v>
      </c>
      <c r="T29" s="59">
        <f t="shared" si="34"/>
        <v>288.66487031729008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11.8</v>
      </c>
      <c r="AI29" s="13">
        <f>IF('Données projet'!$A$62&gt;35,AI28+AH29-AQ28,IF(A29&lt;'Données projet'!$A$62,$AF$205^A29,IF(A29='Données projet'!$A$62,'Données projet'!$B$62,AI28+AH29-AQ28)))</f>
        <v>98.799999999999969</v>
      </c>
      <c r="AJ29" s="13">
        <f>AI29*VLOOKUP('Données projet'!$B$10,Paramètres!$A$1:$I$89,3,0)*VLOOKUP('Données projet'!$B$10,Paramètres!$A$1:$I$89,5,0)</f>
        <v>78.605279999999979</v>
      </c>
      <c r="AK29" s="13">
        <f t="shared" si="35"/>
        <v>21.795819556945734</v>
      </c>
      <c r="AL29" s="20">
        <f t="shared" si="4"/>
        <v>174.86524839501377</v>
      </c>
      <c r="AM29" s="59">
        <f t="shared" si="5"/>
        <v>468.19858172834711</v>
      </c>
      <c r="AN29" s="59">
        <f ca="1">AVERAGE(OFFSET($AM$3,0,0,'Données projet'!$E$10+1,1))-AVERAGE(OFFSET($H$3,0,0,'Données projet'!$E$10+1,1))</f>
        <v>219.43439115440339</v>
      </c>
      <c r="AO29" s="59">
        <f t="shared" si="36"/>
        <v>217.8880462742099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0.88515487957848449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0.88515487957848449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6.6</v>
      </c>
      <c r="BD29" s="12">
        <f>IF('Données projet'!$A$88&gt;35,BD28+BC29-BL28,IF(A29&lt;'Données projet'!$A$88,$BA$205^A29,IF(A29='Données projet'!$A$88,'Données projet'!$B$88,BD28+BC29-BL28)))</f>
        <v>71.600000000000023</v>
      </c>
      <c r="BE29" s="13">
        <f>BD29*VLOOKUP('Données projet'!$B$11,Paramètres!$A$1:$I$89,3,0)*VLOOKUP('Données projet'!$B$11,Paramètres!$A$1:$I$89,5,0)</f>
        <v>62.549760000000028</v>
      </c>
      <c r="BF29" s="13">
        <f t="shared" si="37"/>
        <v>17.811358586441006</v>
      </c>
      <c r="BG29" s="20">
        <f t="shared" si="7"/>
        <v>139.96228153805146</v>
      </c>
      <c r="BH29" s="59">
        <f t="shared" si="8"/>
        <v>433.29561487138477</v>
      </c>
      <c r="BI29" s="59">
        <f ca="1">AVERAGE(OFFSET($BH$3,0,0,'Données projet'!$E$11+1,1))-AVERAGE(OFFSET($H$3,0,0,'Données projet'!$E$11+1,1))</f>
        <v>175.73188403662408</v>
      </c>
      <c r="BJ29" s="59">
        <f t="shared" si="38"/>
        <v>152.02195399869032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2.9235042735042733</v>
      </c>
      <c r="BY29" s="12">
        <f>IF('Données projet'!$A$114&gt;35,BY28+BX29-CG28,IF(A29&lt;'Données projet'!$A$114,$BV$205^A29,IF(A29='Données projet'!$A$114,'Données projet'!$B$114,BY28+BX29-CG28)))</f>
        <v>48.30087400300993</v>
      </c>
      <c r="BZ29" s="13">
        <f>BY29*VLOOKUP('Données projet'!$B$12,Paramètres!$A$1:$I$89,3,0)*VLOOKUP('Données projet'!$B$12,Paramètres!$A$1:$I$89,5,0)</f>
        <v>43.702630797923383</v>
      </c>
      <c r="CA29" s="13">
        <f t="shared" si="39"/>
        <v>12.974916262929579</v>
      </c>
      <c r="CB29" s="20">
        <f t="shared" si="10"/>
        <v>98.71339446431891</v>
      </c>
      <c r="CC29" s="59">
        <f t="shared" si="11"/>
        <v>392.04672779765224</v>
      </c>
      <c r="CD29" s="59">
        <f ca="1">AVERAGE(OFFSET($CC$3,0,0,'Données projet'!$E$12+1,1))-AVERAGE(OFFSET($H$3,0,0,'Données projet'!$E$12+1,1))</f>
        <v>213.54857791046686</v>
      </c>
      <c r="CE29" s="59">
        <f t="shared" si="40"/>
        <v>138.46877538074244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59.510879999999993</v>
      </c>
      <c r="CV29" s="13">
        <f t="shared" si="41"/>
        <v>17.044545279241799</v>
      </c>
      <c r="CW29" s="20">
        <f t="shared" si="13"/>
        <v>133.33403236134612</v>
      </c>
      <c r="CX29" s="59">
        <f t="shared" si="14"/>
        <v>426.66736569467946</v>
      </c>
      <c r="CY29" s="59">
        <f ca="1">AVERAGE(OFFSET($CX$3,0,0,'Données projet'!$E$13+1,1))-AVERAGE(OFFSET($H$3,0,0,'Données projet'!$E$13+1,1))</f>
        <v>161.87883827031436</v>
      </c>
      <c r="CZ29" s="59">
        <f t="shared" si="42"/>
        <v>163.02076389611869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3.6</v>
      </c>
      <c r="DO29" s="12">
        <f>IF('Données projet'!$A$166&gt;35,DO28+DN29-DW28,IF(A29&lt;'Données projet'!$A$166,$DL$205^A29,IF(A29='Données projet'!$A$166,'Données projet'!$B$166,DO28+DN29-DW28)))</f>
        <v>49.599999999999987</v>
      </c>
      <c r="DP29" s="17">
        <f>DO29*VLOOKUP('Données projet'!$B$14,Paramètres!$A$1:$I$89,3,0)*VLOOKUP('Données projet'!$B$14,Paramètres!$A$1:$I$89,5,0)</f>
        <v>40.235519999999994</v>
      </c>
      <c r="DQ29" s="13">
        <f t="shared" si="43"/>
        <v>12.061050163607481</v>
      </c>
      <c r="DR29" s="20">
        <f t="shared" si="16"/>
        <v>91.083193034949701</v>
      </c>
      <c r="DS29" s="59">
        <f t="shared" si="17"/>
        <v>384.41652636828303</v>
      </c>
      <c r="DT29" s="59">
        <f ca="1">AVERAGE(OFFSET($DS$3,0,0,'Données projet'!$E$14+1,1))-AVERAGE(OFFSET($H$3,0,0,'Données projet'!$E$14+1,1))</f>
        <v>96.611230241682733</v>
      </c>
      <c r="DU29" s="59">
        <f t="shared" si="44"/>
        <v>78.711045514042041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1.7859988593828044</v>
      </c>
      <c r="ED29" s="22">
        <f t="shared" si="18"/>
        <v>1.7859988593828044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16.687912087912089</v>
      </c>
      <c r="EJ29" s="12">
        <f>IF('Données projet'!$A$192&gt;35,EJ28+EI29-ER28,IF(A29&lt;'Données projet'!$A$192,$EG$205^A29,IF(A29='Données projet'!$A$192,'Données projet'!$B$192,EJ28+EI29-ER28)))</f>
        <v>202.33186813186808</v>
      </c>
      <c r="EK29" s="17">
        <f>EJ29*VLOOKUP('Données projet'!$B$15,Paramètres!$A$1:$I$89,3,0)*VLOOKUP('Données projet'!$B$15,Paramètres!$A$1:$I$89,5,0)</f>
        <v>89.430685714285701</v>
      </c>
      <c r="EL29" s="13">
        <f t="shared" si="45"/>
        <v>24.427869428159632</v>
      </c>
      <c r="EM29" s="20">
        <f t="shared" si="19"/>
        <v>198.3036502064256</v>
      </c>
      <c r="EN29" s="59">
        <f t="shared" si="20"/>
        <v>491.63698353975894</v>
      </c>
      <c r="EO29" s="59">
        <f ca="1">AVERAGE(OFFSET($EN$3,0,0,'Données projet'!$E$15+1,1))-AVERAGE(OFFSET($H$3,0,0,'Données projet'!$E$15+1,1))</f>
        <v>188.61152573050066</v>
      </c>
      <c r="EP29" s="59">
        <f t="shared" si="46"/>
        <v>172.37050503841624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9.5788859871569105</v>
      </c>
      <c r="EX29" s="21">
        <f>EXP(-LN(2)/2)*EX28+(1-EXP(-LN(2)/2))/(LN(2)/2)*ER29*EU29*VLOOKUP('Données projet'!$B$15,Paramètres!$A$1:$I$89,3,0)*0.475*44/12</f>
        <v>2.3810499980947237</v>
      </c>
      <c r="EY29" s="22">
        <f t="shared" si="21"/>
        <v>11.959935985251635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>
        <f>FE29*VLOOKUP('Données projet'!$B$16,Paramètres!$A$1:$I$89,3,0)*VLOOKUP('Données projet'!$B$16,Paramètres!$A$1:$I$89,5,0)</f>
        <v>0</v>
      </c>
      <c r="FG29" s="13" t="e">
        <f t="shared" si="47"/>
        <v>#NUM!</v>
      </c>
      <c r="FH29" s="20" t="e">
        <f t="shared" si="22"/>
        <v>#NUM!</v>
      </c>
      <c r="FI29" s="59" t="e">
        <f t="shared" si="23"/>
        <v>#NUM!</v>
      </c>
      <c r="FJ29" s="59">
        <f ca="1">AVERAGE(OFFSET($FI$3,0,0,'Données projet'!$E$16+1,1))-AVERAGE(OFFSET($H$3,0,0,'Données projet'!$E$16+1,1))</f>
        <v>0</v>
      </c>
      <c r="FK29" s="59">
        <f t="shared" si="48"/>
        <v>0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197.78572767493569</v>
      </c>
      <c r="T30" s="59">
        <f t="shared" si="34"/>
        <v>288.66487031729008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11.8</v>
      </c>
      <c r="AI30" s="13">
        <f>IF('Données projet'!$A$62&gt;35,AI29+AH30-AQ29,IF(A30&lt;'Données projet'!$A$62,$AF$205^A30,IF(A30='Données projet'!$A$62,'Données projet'!$B$62,AI29+AH30-AQ29)))</f>
        <v>110.59999999999997</v>
      </c>
      <c r="AJ30" s="13">
        <f>AI30*VLOOKUP('Données projet'!$B$10,Paramètres!$A$1:$I$89,3,0)*VLOOKUP('Données projet'!$B$10,Paramètres!$A$1:$I$89,5,0)</f>
        <v>87.993359999999981</v>
      </c>
      <c r="AK30" s="13">
        <f t="shared" si="35"/>
        <v>24.080638481970816</v>
      </c>
      <c r="AL30" s="20">
        <f t="shared" si="4"/>
        <v>195.19554735609913</v>
      </c>
      <c r="AM30" s="59">
        <f t="shared" si="5"/>
        <v>488.52888068943241</v>
      </c>
      <c r="AN30" s="59">
        <f ca="1">AVERAGE(OFFSET($AM$3,0,0,'Données projet'!$E$10+1,1))-AVERAGE(OFFSET($H$3,0,0,'Données projet'!$E$10+1,1))</f>
        <v>219.43439115440339</v>
      </c>
      <c r="AO30" s="59">
        <f t="shared" si="36"/>
        <v>217.8880462742099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0.86095027284813874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0.86095027284813874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6.6</v>
      </c>
      <c r="BD30" s="12">
        <f>IF('Données projet'!$A$88&gt;35,BD29+BC30-BL29,IF(A30&lt;'Données projet'!$A$88,$BA$205^A30,IF(A30='Données projet'!$A$88,'Données projet'!$B$88,BD29+BC30-BL29)))</f>
        <v>78.200000000000017</v>
      </c>
      <c r="BE30" s="13">
        <f>BD30*VLOOKUP('Données projet'!$B$11,Paramètres!$A$1:$I$89,3,0)*VLOOKUP('Données projet'!$B$11,Paramètres!$A$1:$I$89,5,0)</f>
        <v>68.315520000000021</v>
      </c>
      <c r="BF30" s="13">
        <f t="shared" si="37"/>
        <v>19.254550643039188</v>
      </c>
      <c r="BG30" s="20">
        <f t="shared" si="7"/>
        <v>152.51787303662658</v>
      </c>
      <c r="BH30" s="59">
        <f t="shared" si="8"/>
        <v>445.85120636995987</v>
      </c>
      <c r="BI30" s="59">
        <f ca="1">AVERAGE(OFFSET($BH$3,0,0,'Données projet'!$E$11+1,1))-AVERAGE(OFFSET($H$3,0,0,'Données projet'!$E$11+1,1))</f>
        <v>175.73188403662408</v>
      </c>
      <c r="BJ30" s="59">
        <f t="shared" si="38"/>
        <v>152.02195399869032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2.9235042735042733</v>
      </c>
      <c r="BY30" s="12">
        <f>IF('Données projet'!$A$114&gt;35,BY29+BX30-CG29,IF(A30&lt;'Données projet'!$A$114,$BV$205^A30,IF(A30='Données projet'!$A$114,'Données projet'!$B$114,BY29+BX30-CG29)))</f>
        <v>56.068958494210662</v>
      </c>
      <c r="BZ30" s="13">
        <f>BY30*VLOOKUP('Données projet'!$B$12,Paramètres!$A$1:$I$89,3,0)*VLOOKUP('Données projet'!$B$12,Paramètres!$A$1:$I$89,5,0)</f>
        <v>50.731193645561802</v>
      </c>
      <c r="CA30" s="13">
        <f t="shared" si="39"/>
        <v>14.802433760568636</v>
      </c>
      <c r="CB30" s="20">
        <f t="shared" si="10"/>
        <v>114.13773439901051</v>
      </c>
      <c r="CC30" s="59">
        <f t="shared" si="11"/>
        <v>407.47106773234384</v>
      </c>
      <c r="CD30" s="59">
        <f ca="1">AVERAGE(OFFSET($CC$3,0,0,'Données projet'!$E$12+1,1))-AVERAGE(OFFSET($H$3,0,0,'Données projet'!$E$12+1,1))</f>
        <v>213.54857791046686</v>
      </c>
      <c r="CE30" s="59">
        <f t="shared" si="40"/>
        <v>138.46877538074244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67.307760000000002</v>
      </c>
      <c r="CV30" s="13">
        <f t="shared" si="41"/>
        <v>19.003361078332173</v>
      </c>
      <c r="CW30" s="20">
        <f t="shared" si="13"/>
        <v>150.32520254476188</v>
      </c>
      <c r="CX30" s="59">
        <f t="shared" si="14"/>
        <v>443.65853587809522</v>
      </c>
      <c r="CY30" s="59">
        <f ca="1">AVERAGE(OFFSET($CX$3,0,0,'Données projet'!$E$13+1,1))-AVERAGE(OFFSET($H$3,0,0,'Données projet'!$E$13+1,1))</f>
        <v>161.87883827031436</v>
      </c>
      <c r="CZ30" s="59">
        <f t="shared" si="42"/>
        <v>163.02076389611869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3.6</v>
      </c>
      <c r="DO30" s="12">
        <f>IF('Données projet'!$A$166&gt;35,DO29+DN30-DW29,IF(A30&lt;'Données projet'!$A$166,$DL$205^A30,IF(A30='Données projet'!$A$166,'Données projet'!$B$166,DO29+DN30-DW29)))</f>
        <v>53.199999999999989</v>
      </c>
      <c r="DP30" s="17">
        <f>DO30*VLOOKUP('Données projet'!$B$14,Paramètres!$A$1:$I$89,3,0)*VLOOKUP('Données projet'!$B$14,Paramètres!$A$1:$I$89,5,0)</f>
        <v>43.155839999999991</v>
      </c>
      <c r="DQ30" s="13">
        <f t="shared" si="43"/>
        <v>12.831370130493596</v>
      </c>
      <c r="DR30" s="20">
        <f t="shared" si="16"/>
        <v>97.511057643942991</v>
      </c>
      <c r="DS30" s="59">
        <f t="shared" si="17"/>
        <v>390.8443909772763</v>
      </c>
      <c r="DT30" s="59">
        <f ca="1">AVERAGE(OFFSET($DS$3,0,0,'Données projet'!$E$14+1,1))-AVERAGE(OFFSET($H$3,0,0,'Données projet'!$E$14+1,1))</f>
        <v>96.611230241682733</v>
      </c>
      <c r="DU30" s="59">
        <f t="shared" si="44"/>
        <v>78.711045514042041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1.2628919046610203</v>
      </c>
      <c r="ED30" s="22">
        <f t="shared" si="18"/>
        <v>1.2628919046610203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16.687912087912089</v>
      </c>
      <c r="EJ30" s="12">
        <f>IF('Données projet'!$A$192&gt;35,EJ29+EI30-ER29,IF(A30&lt;'Données projet'!$A$192,$EG$205^A30,IF(A30='Données projet'!$A$192,'Données projet'!$B$192,EJ29+EI30-ER29)))</f>
        <v>219.01978021978016</v>
      </c>
      <c r="EK30" s="17">
        <f>EJ30*VLOOKUP('Données projet'!$B$15,Paramètres!$A$1:$I$89,3,0)*VLOOKUP('Données projet'!$B$15,Paramètres!$A$1:$I$89,5,0)</f>
        <v>96.806742857142851</v>
      </c>
      <c r="EL30" s="13">
        <f t="shared" si="45"/>
        <v>26.199817143138237</v>
      </c>
      <c r="EM30" s="20">
        <f t="shared" si="19"/>
        <v>214.23642533382289</v>
      </c>
      <c r="EN30" s="59">
        <f t="shared" si="20"/>
        <v>507.56975866715618</v>
      </c>
      <c r="EO30" s="59">
        <f ca="1">AVERAGE(OFFSET($EN$3,0,0,'Données projet'!$E$15+1,1))-AVERAGE(OFFSET($H$3,0,0,'Données projet'!$E$15+1,1))</f>
        <v>188.61152573050066</v>
      </c>
      <c r="EP30" s="59">
        <f t="shared" si="46"/>
        <v>172.37050503841624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9.3169508461063835</v>
      </c>
      <c r="EX30" s="21">
        <f>EXP(-LN(2)/2)*EX29+(1-EXP(-LN(2)/2))/(LN(2)/2)*ER30*EU30*VLOOKUP('Données projet'!$B$15,Paramètres!$A$1:$I$89,3,0)*0.475*44/12</f>
        <v>1.6836565999969952</v>
      </c>
      <c r="EY30" s="22">
        <f t="shared" si="21"/>
        <v>11.000607446103379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>
        <f>FE30*VLOOKUP('Données projet'!$B$16,Paramètres!$A$1:$I$89,3,0)*VLOOKUP('Données projet'!$B$16,Paramètres!$A$1:$I$89,5,0)</f>
        <v>0</v>
      </c>
      <c r="FG30" s="13" t="e">
        <f t="shared" si="47"/>
        <v>#NUM!</v>
      </c>
      <c r="FH30" s="20" t="e">
        <f t="shared" si="22"/>
        <v>#NUM!</v>
      </c>
      <c r="FI30" s="59" t="e">
        <f t="shared" si="23"/>
        <v>#NUM!</v>
      </c>
      <c r="FJ30" s="59">
        <f ca="1">AVERAGE(OFFSET($FI$3,0,0,'Données projet'!$E$16+1,1))-AVERAGE(OFFSET($H$3,0,0,'Données projet'!$E$16+1,1))</f>
        <v>0</v>
      </c>
      <c r="FK30" s="59">
        <f t="shared" si="48"/>
        <v>0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197.78572767493569</v>
      </c>
      <c r="T31" s="59">
        <f t="shared" si="34"/>
        <v>288.66487031729008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11.8</v>
      </c>
      <c r="AI31" s="13">
        <f>IF('Données projet'!$A$62&gt;35,AI30+AH31-AQ30,IF(A31&lt;'Données projet'!$A$62,$AF$205^A31,IF(A31='Données projet'!$A$62,'Données projet'!$B$62,AI30+AH31-AQ30)))</f>
        <v>122.39999999999996</v>
      </c>
      <c r="AJ31" s="13">
        <f>AI31*VLOOKUP('Données projet'!$B$10,Paramètres!$A$1:$I$89,3,0)*VLOOKUP('Données projet'!$B$10,Paramètres!$A$1:$I$89,5,0)</f>
        <v>97.381439999999984</v>
      </c>
      <c r="AK31" s="13">
        <f t="shared" si="35"/>
        <v>26.337201615555198</v>
      </c>
      <c r="AL31" s="20">
        <f t="shared" si="4"/>
        <v>215.47663414709197</v>
      </c>
      <c r="AM31" s="59">
        <f t="shared" si="5"/>
        <v>508.80996748042526</v>
      </c>
      <c r="AN31" s="59">
        <f ca="1">AVERAGE(OFFSET($AM$3,0,0,'Données projet'!$E$10+1,1))-AVERAGE(OFFSET($H$3,0,0,'Données projet'!$E$10+1,1))</f>
        <v>219.43439115440339</v>
      </c>
      <c r="AO31" s="59">
        <f t="shared" si="36"/>
        <v>217.8880462742099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0.83740754236169923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0.83740754236169923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6.6</v>
      </c>
      <c r="BD31" s="12">
        <f>IF('Données projet'!$A$88&gt;35,BD30+BC31-BL30,IF(A31&lt;'Données projet'!$A$88,$BA$205^A31,IF(A31='Données projet'!$A$88,'Données projet'!$B$88,BD30+BC31-BL30)))</f>
        <v>84.800000000000011</v>
      </c>
      <c r="BE31" s="13">
        <f>BD31*VLOOKUP('Données projet'!$B$11,Paramètres!$A$1:$I$89,3,0)*VLOOKUP('Données projet'!$B$11,Paramètres!$A$1:$I$89,5,0)</f>
        <v>74.081280000000021</v>
      </c>
      <c r="BF31" s="13">
        <f t="shared" si="37"/>
        <v>20.683616446561601</v>
      </c>
      <c r="BG31" s="20">
        <f t="shared" si="7"/>
        <v>165.04886131109481</v>
      </c>
      <c r="BH31" s="59">
        <f t="shared" si="8"/>
        <v>458.38219464442813</v>
      </c>
      <c r="BI31" s="59">
        <f ca="1">AVERAGE(OFFSET($BH$3,0,0,'Données projet'!$E$11+1,1))-AVERAGE(OFFSET($H$3,0,0,'Données projet'!$E$11+1,1))</f>
        <v>175.73188403662408</v>
      </c>
      <c r="BJ31" s="59">
        <f t="shared" si="38"/>
        <v>152.02195399869032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2.9235042735042733</v>
      </c>
      <c r="BY31" s="12">
        <f>IF('Données projet'!$A$114&gt;35,BY30+BX31-CG30,IF(A31&lt;'Données projet'!$A$114,$BV$205^A31,IF(A31='Données projet'!$A$114,'Données projet'!$B$114,BY30+BX31-CG30)))</f>
        <v>65.086360682202411</v>
      </c>
      <c r="BZ31" s="13">
        <f>BY31*VLOOKUP('Données projet'!$B$12,Paramètres!$A$1:$I$89,3,0)*VLOOKUP('Données projet'!$B$12,Paramètres!$A$1:$I$89,5,0)</f>
        <v>58.89013914525674</v>
      </c>
      <c r="CA31" s="13">
        <f t="shared" si="39"/>
        <v>16.887357174091651</v>
      </c>
      <c r="CB31" s="20">
        <f t="shared" si="10"/>
        <v>131.9791394228651</v>
      </c>
      <c r="CC31" s="59">
        <f t="shared" si="11"/>
        <v>425.31247275619842</v>
      </c>
      <c r="CD31" s="59">
        <f ca="1">AVERAGE(OFFSET($CC$3,0,0,'Données projet'!$E$12+1,1))-AVERAGE(OFFSET($H$3,0,0,'Données projet'!$E$12+1,1))</f>
        <v>213.54857791046686</v>
      </c>
      <c r="CE31" s="59">
        <f t="shared" si="40"/>
        <v>138.46877538074244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75.104640000000003</v>
      </c>
      <c r="CV31" s="13">
        <f t="shared" si="41"/>
        <v>20.935880066615336</v>
      </c>
      <c r="CW31" s="20">
        <f t="shared" si="13"/>
        <v>167.27057244935506</v>
      </c>
      <c r="CX31" s="59">
        <f t="shared" si="14"/>
        <v>460.60390578268834</v>
      </c>
      <c r="CY31" s="59">
        <f ca="1">AVERAGE(OFFSET($CX$3,0,0,'Données projet'!$E$13+1,1))-AVERAGE(OFFSET($H$3,0,0,'Données projet'!$E$13+1,1))</f>
        <v>161.87883827031436</v>
      </c>
      <c r="CZ31" s="59">
        <f t="shared" si="42"/>
        <v>163.02076389611869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3.6</v>
      </c>
      <c r="DO31" s="12">
        <f>IF('Données projet'!$A$166&gt;35,DO30+DN31-DW30,IF(A31&lt;'Données projet'!$A$166,$DL$205^A31,IF(A31='Données projet'!$A$166,'Données projet'!$B$166,DO30+DN31-DW30)))</f>
        <v>56.79999999999999</v>
      </c>
      <c r="DP31" s="17">
        <f>DO31*VLOOKUP('Données projet'!$B$14,Paramètres!$A$1:$I$89,3,0)*VLOOKUP('Données projet'!$B$14,Paramètres!$A$1:$I$89,5,0)</f>
        <v>46.076159999999994</v>
      </c>
      <c r="DQ31" s="13">
        <f t="shared" si="43"/>
        <v>13.595641486972051</v>
      </c>
      <c r="DR31" s="20">
        <f t="shared" si="16"/>
        <v>103.92838758980963</v>
      </c>
      <c r="DS31" s="59">
        <f t="shared" si="17"/>
        <v>397.26172092314295</v>
      </c>
      <c r="DT31" s="59">
        <f ca="1">AVERAGE(OFFSET($DS$3,0,0,'Données projet'!$E$14+1,1))-AVERAGE(OFFSET($H$3,0,0,'Données projet'!$E$14+1,1))</f>
        <v>96.611230241682733</v>
      </c>
      <c r="DU31" s="59">
        <f t="shared" si="44"/>
        <v>78.711045514042041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0.89299942969140234</v>
      </c>
      <c r="ED31" s="22">
        <f t="shared" si="18"/>
        <v>0.89299942969140234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>
        <f>VLOOKUP(A31,'Données projet'!$A$191:$I$211,2,0)</f>
        <v>235.7076923076923</v>
      </c>
      <c r="EH31" s="12">
        <f>VLOOKUP(A31,'Données projet'!$A$191:$I$211,9,0)</f>
        <v>16.687912087912089</v>
      </c>
      <c r="EI31" s="12">
        <f t="array" ref="EI31">INDEX(EH:EH,MIN(IF(ISNUMBER(EH31:EH227),ROW(EH31:EH227),"")))</f>
        <v>16.687912087912089</v>
      </c>
      <c r="EJ31" s="12">
        <f>IF('Données projet'!$A$192&gt;35,EJ30+EI31-ER30,IF(A31&lt;'Données projet'!$A$192,$EG$205^A31,IF(A31='Données projet'!$A$192,'Données projet'!$B$192,EJ30+EI31-ER30)))</f>
        <v>235.70769230769224</v>
      </c>
      <c r="EK31" s="17">
        <f>EJ31*VLOOKUP('Données projet'!$B$15,Paramètres!$A$1:$I$89,3,0)*VLOOKUP('Données projet'!$B$15,Paramètres!$A$1:$I$89,5,0)</f>
        <v>104.18279999999999</v>
      </c>
      <c r="EL31" s="13">
        <f t="shared" si="45"/>
        <v>27.956103058685983</v>
      </c>
      <c r="EM31" s="20">
        <f t="shared" si="19"/>
        <v>230.14192282721137</v>
      </c>
      <c r="EN31" s="59">
        <f t="shared" si="20"/>
        <v>523.47525616054463</v>
      </c>
      <c r="EO31" s="59">
        <f ca="1">AVERAGE(OFFSET($EN$3,0,0,'Données projet'!$E$15+1,1))-AVERAGE(OFFSET($H$3,0,0,'Données projet'!$E$15+1,1))</f>
        <v>188.61152573050066</v>
      </c>
      <c r="EP31" s="59">
        <f t="shared" si="46"/>
        <v>172.37050503841624</v>
      </c>
      <c r="EQ31" s="15">
        <f>IF(ISNA(VLOOKUP(A31,'Données projet'!$A$191:$I$211,3,0)),0,VLOOKUP(A31,'Données projet'!$A$191:$I$211,3,0))</f>
        <v>2</v>
      </c>
      <c r="ER31" s="15">
        <f>IF(ISNA(VLOOKUP(A31,'Données projet'!$A$191:$I$211,4,0)),0,VLOOKUP(A31,'Données projet'!$A$191:$I$211,4,0))</f>
        <v>56.91538461538461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0.30800000000000005</v>
      </c>
      <c r="EU31" s="16">
        <f>IF(ISNA(VLOOKUP(A31,'Données projet'!$A$191:$I$211,7,0)),0%,VLOOKUP(A31,'Données projet'!$A$191:$I$211,7,0))</f>
        <v>0.44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19.300238070290547</v>
      </c>
      <c r="EX31" s="21">
        <f>EXP(-LN(2)/2)*EX30+(1-EXP(-LN(2)/2))/(LN(2)/2)*ER31*EU31*VLOOKUP('Données projet'!$B$15,Paramètres!$A$1:$I$89,3,0)*0.475*44/12</f>
        <v>13.723095606067247</v>
      </c>
      <c r="EY31" s="22">
        <f t="shared" si="21"/>
        <v>33.023333676357794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>
        <f>FE31*VLOOKUP('Données projet'!$B$16,Paramètres!$A$1:$I$89,3,0)*VLOOKUP('Données projet'!$B$16,Paramètres!$A$1:$I$89,5,0)</f>
        <v>0</v>
      </c>
      <c r="FG31" s="13" t="e">
        <f t="shared" si="47"/>
        <v>#NUM!</v>
      </c>
      <c r="FH31" s="20" t="e">
        <f t="shared" si="22"/>
        <v>#NUM!</v>
      </c>
      <c r="FI31" s="59" t="e">
        <f t="shared" si="23"/>
        <v>#NUM!</v>
      </c>
      <c r="FJ31" s="59">
        <f ca="1">AVERAGE(OFFSET($FI$3,0,0,'Données projet'!$E$16+1,1))-AVERAGE(OFFSET($H$3,0,0,'Données projet'!$E$16+1,1))</f>
        <v>0</v>
      </c>
      <c r="FK31" s="59">
        <f t="shared" si="48"/>
        <v>0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197.78572767493569</v>
      </c>
      <c r="T32" s="59">
        <f t="shared" si="34"/>
        <v>288.66487031729008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11.8</v>
      </c>
      <c r="AI32" s="13">
        <f>IF('Données projet'!$A$62&gt;35,AI31+AH32-AQ31,IF(A32&lt;'Données projet'!$A$62,$AF$205^A32,IF(A32='Données projet'!$A$62,'Données projet'!$B$62,AI31+AH32-AQ31)))</f>
        <v>134.19999999999996</v>
      </c>
      <c r="AJ32" s="13">
        <f>AI32*VLOOKUP('Données projet'!$B$10,Paramètres!$A$1:$I$89,3,0)*VLOOKUP('Données projet'!$B$10,Paramètres!$A$1:$I$89,5,0)</f>
        <v>106.76951999999997</v>
      </c>
      <c r="AK32" s="13">
        <f t="shared" si="35"/>
        <v>28.568542914630683</v>
      </c>
      <c r="AL32" s="20">
        <f t="shared" si="4"/>
        <v>235.71379290964839</v>
      </c>
      <c r="AM32" s="59">
        <f t="shared" si="5"/>
        <v>529.04712624298168</v>
      </c>
      <c r="AN32" s="59">
        <f ca="1">AVERAGE(OFFSET($AM$3,0,0,'Données projet'!$E$10+1,1))-AVERAGE(OFFSET($H$3,0,0,'Données projet'!$E$10+1,1))</f>
        <v>219.43439115440339</v>
      </c>
      <c r="AO32" s="59">
        <f t="shared" si="36"/>
        <v>217.8880462742099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0.81450858907846979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0.81450858907846979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6.6</v>
      </c>
      <c r="BD32" s="12">
        <f>IF('Données projet'!$A$88&gt;35,BD31+BC32-BL31,IF(A32&lt;'Données projet'!$A$88,$BA$205^A32,IF(A32='Données projet'!$A$88,'Données projet'!$B$88,BD31+BC32-BL31)))</f>
        <v>91.4</v>
      </c>
      <c r="BE32" s="13">
        <f>BD32*VLOOKUP('Données projet'!$B$11,Paramètres!$A$1:$I$89,3,0)*VLOOKUP('Données projet'!$B$11,Paramètres!$A$1:$I$89,5,0)</f>
        <v>79.847040000000007</v>
      </c>
      <c r="BF32" s="13">
        <f t="shared" si="37"/>
        <v>22.099780448745648</v>
      </c>
      <c r="BG32" s="20">
        <f t="shared" si="7"/>
        <v>177.55737894823199</v>
      </c>
      <c r="BH32" s="59">
        <f t="shared" si="8"/>
        <v>470.8907122815653</v>
      </c>
      <c r="BI32" s="59">
        <f ca="1">AVERAGE(OFFSET($BH$3,0,0,'Données projet'!$E$11+1,1))-AVERAGE(OFFSET($H$3,0,0,'Données projet'!$E$11+1,1))</f>
        <v>175.73188403662408</v>
      </c>
      <c r="BJ32" s="59">
        <f t="shared" si="38"/>
        <v>152.02195399869032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2.9235042735042733</v>
      </c>
      <c r="BY32" s="12">
        <f>IF('Données projet'!$A$114&gt;35,BY31+BX32-CG31,IF(A32&lt;'Données projet'!$A$114,$BV$205^A32,IF(A32='Données projet'!$A$114,'Données projet'!$B$114,BY31+BX32-CG31)))</f>
        <v>75.55400457975604</v>
      </c>
      <c r="BZ32" s="13">
        <f>BY32*VLOOKUP('Données projet'!$B$12,Paramètres!$A$1:$I$89,3,0)*VLOOKUP('Données projet'!$B$12,Paramètres!$A$1:$I$89,5,0)</f>
        <v>68.36126334376327</v>
      </c>
      <c r="CA32" s="13">
        <f t="shared" si="39"/>
        <v>19.265942137503561</v>
      </c>
      <c r="CB32" s="20">
        <f t="shared" si="10"/>
        <v>152.61738287987308</v>
      </c>
      <c r="CC32" s="59">
        <f t="shared" si="11"/>
        <v>445.95071621320642</v>
      </c>
      <c r="CD32" s="59">
        <f ca="1">AVERAGE(OFFSET($CC$3,0,0,'Données projet'!$E$12+1,1))-AVERAGE(OFFSET($H$3,0,0,'Données projet'!$E$12+1,1))</f>
        <v>213.54857791046686</v>
      </c>
      <c r="CE32" s="59">
        <f t="shared" si="40"/>
        <v>138.46877538074244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82.901519999999991</v>
      </c>
      <c r="CV32" s="13">
        <f t="shared" si="41"/>
        <v>22.845143166728683</v>
      </c>
      <c r="CW32" s="20">
        <f t="shared" si="13"/>
        <v>184.1754383487191</v>
      </c>
      <c r="CX32" s="59">
        <f t="shared" si="14"/>
        <v>477.50877168205238</v>
      </c>
      <c r="CY32" s="59">
        <f ca="1">AVERAGE(OFFSET($CX$3,0,0,'Données projet'!$E$13+1,1))-AVERAGE(OFFSET($H$3,0,0,'Données projet'!$E$13+1,1))</f>
        <v>161.87883827031436</v>
      </c>
      <c r="CZ32" s="59">
        <f t="shared" si="42"/>
        <v>163.02076389611869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3.6</v>
      </c>
      <c r="DO32" s="12">
        <f>IF('Données projet'!$A$166&gt;35,DO31+DN32-DW31,IF(A32&lt;'Données projet'!$A$166,$DL$205^A32,IF(A32='Données projet'!$A$166,'Données projet'!$B$166,DO31+DN32-DW31)))</f>
        <v>60.399999999999991</v>
      </c>
      <c r="DP32" s="17">
        <f>DO32*VLOOKUP('Données projet'!$B$14,Paramètres!$A$1:$I$89,3,0)*VLOOKUP('Données projet'!$B$14,Paramètres!$A$1:$I$89,5,0)</f>
        <v>48.996479999999998</v>
      </c>
      <c r="DQ32" s="13">
        <f t="shared" si="43"/>
        <v>14.354291233899691</v>
      </c>
      <c r="DR32" s="20">
        <f t="shared" si="16"/>
        <v>110.33592656570862</v>
      </c>
      <c r="DS32" s="59">
        <f t="shared" si="17"/>
        <v>403.66925989904195</v>
      </c>
      <c r="DT32" s="59">
        <f ca="1">AVERAGE(OFFSET($DS$3,0,0,'Données projet'!$E$14+1,1))-AVERAGE(OFFSET($H$3,0,0,'Données projet'!$E$14+1,1))</f>
        <v>96.611230241682733</v>
      </c>
      <c r="DU32" s="59">
        <f t="shared" si="44"/>
        <v>78.711045514042041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0.63144595233051015</v>
      </c>
      <c r="ED32" s="22">
        <f t="shared" si="18"/>
        <v>0.63144595233051015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18.099999999999994</v>
      </c>
      <c r="EJ32" s="12">
        <f>IF('Données projet'!$A$192&gt;35,EJ31+EI32-ER31,IF(A32&lt;'Données projet'!$A$192,$EG$205^A32,IF(A32='Données projet'!$A$192,'Données projet'!$B$192,EJ31+EI32-ER31)))</f>
        <v>196.89230769230761</v>
      </c>
      <c r="EK32" s="17">
        <f>EJ32*VLOOKUP('Données projet'!$B$15,Paramètres!$A$1:$I$89,3,0)*VLOOKUP('Données projet'!$B$15,Paramètres!$A$1:$I$89,5,0)</f>
        <v>87.026399999999967</v>
      </c>
      <c r="EL32" s="13">
        <f t="shared" si="45"/>
        <v>23.846667971172021</v>
      </c>
      <c r="EM32" s="20">
        <f t="shared" si="19"/>
        <v>193.10392671645786</v>
      </c>
      <c r="EN32" s="59">
        <f t="shared" si="20"/>
        <v>486.43726004979118</v>
      </c>
      <c r="EO32" s="59">
        <f ca="1">AVERAGE(OFFSET($EN$3,0,0,'Données projet'!$E$15+1,1))-AVERAGE(OFFSET($H$3,0,0,'Données projet'!$E$15+1,1))</f>
        <v>188.61152573050066</v>
      </c>
      <c r="EP32" s="59">
        <f t="shared" si="46"/>
        <v>172.37050503841624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18.772472045303044</v>
      </c>
      <c r="EX32" s="21">
        <f>EXP(-LN(2)/2)*EX31+(1-EXP(-LN(2)/2))/(LN(2)/2)*ER32*EU32*VLOOKUP('Données projet'!$B$15,Paramètres!$A$1:$I$89,3,0)*0.475*44/12</f>
        <v>9.7036939619214646</v>
      </c>
      <c r="EY32" s="22">
        <f t="shared" si="21"/>
        <v>28.476166007224506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>
        <f>FE32*VLOOKUP('Données projet'!$B$16,Paramètres!$A$1:$I$89,3,0)*VLOOKUP('Données projet'!$B$16,Paramètres!$A$1:$I$89,5,0)</f>
        <v>0</v>
      </c>
      <c r="FG32" s="13" t="e">
        <f t="shared" si="47"/>
        <v>#NUM!</v>
      </c>
      <c r="FH32" s="20" t="e">
        <f t="shared" si="22"/>
        <v>#NUM!</v>
      </c>
      <c r="FI32" s="59" t="e">
        <f t="shared" si="23"/>
        <v>#NUM!</v>
      </c>
      <c r="FJ32" s="59">
        <f ca="1">AVERAGE(OFFSET($FI$3,0,0,'Données projet'!$E$16+1,1))-AVERAGE(OFFSET($H$3,0,0,'Données projet'!$E$16+1,1))</f>
        <v>0</v>
      </c>
      <c r="FK32" s="59">
        <f t="shared" si="48"/>
        <v>0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197.78572767493569</v>
      </c>
      <c r="T33" s="59">
        <f t="shared" si="34"/>
        <v>288.66487031729008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146</v>
      </c>
      <c r="AG33" s="12">
        <f>VLOOKUP(A33,'Données projet'!$A$61:$I$81,9,0)</f>
        <v>11.8</v>
      </c>
      <c r="AH33" s="12">
        <f t="array" ref="AH33">INDEX(AG:AG,MIN(IF(ISNUMBER(AG33:AG229),ROW(AG33:AG229),"")))</f>
        <v>11.8</v>
      </c>
      <c r="AI33" s="13">
        <f>IF('Données projet'!$A$62&gt;35,AI32+AH33-AQ32,IF(A33&lt;'Données projet'!$A$62,$AF$205^A33,IF(A33='Données projet'!$A$62,'Données projet'!$B$62,AI32+AH33-AQ32)))</f>
        <v>145.99999999999997</v>
      </c>
      <c r="AJ33" s="13">
        <f>AI33*VLOOKUP('Données projet'!$B$10,Paramètres!$A$1:$I$89,3,0)*VLOOKUP('Données projet'!$B$10,Paramètres!$A$1:$I$89,5,0)</f>
        <v>116.15759999999999</v>
      </c>
      <c r="AK33" s="13">
        <f t="shared" si="35"/>
        <v>30.777132266613055</v>
      </c>
      <c r="AL33" s="20">
        <f t="shared" si="4"/>
        <v>255.91132536435109</v>
      </c>
      <c r="AM33" s="59">
        <f t="shared" si="5"/>
        <v>549.24465869768437</v>
      </c>
      <c r="AN33" s="59">
        <f ca="1">AVERAGE(OFFSET($AM$3,0,0,'Données projet'!$E$10+1,1))-AVERAGE(OFFSET($H$3,0,0,'Données projet'!$E$10+1,1))</f>
        <v>219.43439115440339</v>
      </c>
      <c r="AO33" s="59">
        <f t="shared" si="36"/>
        <v>217.8880462742099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2.12E-2</v>
      </c>
      <c r="AS33" s="16">
        <f>IF(ISNA(VLOOKUP(A33,'Données projet'!$A$61:$I$81,6,0)),0%,VLOOKUP(A33,'Données projet'!$A$61:$I$81,6,0)*VLOOKUP('Données projet'!$B$10,Paramètres!$A$1:$I$89,7,0))</f>
        <v>0.1537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0.52207846207652797</v>
      </c>
      <c r="AV33" s="21">
        <f>EXP(-LN(2)/25)*AV32+(1-EXP(-LN(2)/25))/(LN(2)/25)*Calculateur!AQ33*Calculateur!AS33*VLOOKUP('Données projet'!$B$10,Paramètres!$A$1:$I$89,3,0)*0.475*44/12</f>
        <v>4.5624014006448359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5.0844798627213637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98</v>
      </c>
      <c r="BB33" s="12">
        <f>VLOOKUP(A33,'Données projet'!$A$87:$I$107,9,0)</f>
        <v>6.6</v>
      </c>
      <c r="BC33" s="12">
        <f t="array" ref="BC33">INDEX(BB:BB,MIN(IF(ISNUMBER(BB33:BB229),ROW(BB33:BB229),"")))</f>
        <v>6.6</v>
      </c>
      <c r="BD33" s="12">
        <f>IF('Données projet'!$A$88&gt;35,BD32+BC33-BL32,IF(A33&lt;'Données projet'!$A$88,$BA$205^A33,IF(A33='Données projet'!$A$88,'Données projet'!$B$88,BD32+BC33-BL32)))</f>
        <v>98</v>
      </c>
      <c r="BE33" s="13">
        <f>BD33*VLOOKUP('Données projet'!$B$11,Paramètres!$A$1:$I$89,3,0)*VLOOKUP('Données projet'!$B$11,Paramètres!$A$1:$I$89,5,0)</f>
        <v>85.612800000000007</v>
      </c>
      <c r="BF33" s="13">
        <f t="shared" si="37"/>
        <v>23.504080242391282</v>
      </c>
      <c r="BG33" s="20">
        <f t="shared" si="7"/>
        <v>190.04523308883151</v>
      </c>
      <c r="BH33" s="59">
        <f t="shared" si="8"/>
        <v>483.37856642216479</v>
      </c>
      <c r="BI33" s="59">
        <f ca="1">AVERAGE(OFFSET($BH$3,0,0,'Données projet'!$E$11+1,1))-AVERAGE(OFFSET($H$3,0,0,'Données projet'!$E$11+1,1))</f>
        <v>175.73188403662408</v>
      </c>
      <c r="BJ33" s="59">
        <f t="shared" si="38"/>
        <v>152.02195399869032</v>
      </c>
      <c r="BK33" s="15">
        <f>IF(ISNA(VLOOKUP(A33,'Données projet'!$A$87:$I$107,3,0)),0,VLOOKUP(A33,'Données projet'!$A$87:$I$107,3,0))</f>
        <v>2</v>
      </c>
      <c r="BL33" s="15" t="str">
        <f>IF(ISNA(VLOOKUP(A33,'Données projet'!$A$87:$I$107,4,0)),0,VLOOKUP(A33,'Données projet'!$A$87:$I$107,4,0))</f>
        <v>16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87.705128205128204</v>
      </c>
      <c r="BW33" s="12">
        <f>VLOOKUP(A33,'Données projet'!$A$113:$I$133,9,0)</f>
        <v>2.9235042735042733</v>
      </c>
      <c r="BX33" s="12">
        <f t="array" ref="BX33">INDEX(BW:BW,MIN(IF(ISNUMBER(BW33:BW229),ROW(BW33:BW229),"")))</f>
        <v>2.9235042735042733</v>
      </c>
      <c r="BY33" s="12">
        <f>IF('Données projet'!$A$114&gt;35,BY32+BX33-CG32,IF(A33&lt;'Données projet'!$A$114,$BV$205^A33,IF(A33='Données projet'!$A$114,'Données projet'!$B$114,BY32+BX33-CG32)))</f>
        <v>87.705128205128204</v>
      </c>
      <c r="BZ33" s="13">
        <f>BY33*VLOOKUP('Données projet'!$B$12,Paramètres!$A$1:$I$89,3,0)*VLOOKUP('Données projet'!$B$12,Paramètres!$A$1:$I$89,5,0)</f>
        <v>79.355599999999995</v>
      </c>
      <c r="CA33" s="13">
        <f t="shared" si="39"/>
        <v>21.979550892373382</v>
      </c>
      <c r="CB33" s="20">
        <f t="shared" si="10"/>
        <v>176.49205447088363</v>
      </c>
      <c r="CC33" s="59">
        <f t="shared" si="11"/>
        <v>469.82538780421692</v>
      </c>
      <c r="CD33" s="59">
        <f ca="1">AVERAGE(OFFSET($CC$3,0,0,'Données projet'!$E$12+1,1))-AVERAGE(OFFSET($H$3,0,0,'Données projet'!$E$12+1,1))</f>
        <v>213.54857791046686</v>
      </c>
      <c r="CE33" s="59">
        <f t="shared" si="40"/>
        <v>138.46877538074244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90.698399999999992</v>
      </c>
      <c r="CV33" s="13">
        <f t="shared" si="41"/>
        <v>24.733586403594185</v>
      </c>
      <c r="CW33" s="20">
        <f t="shared" si="13"/>
        <v>201.04404298625983</v>
      </c>
      <c r="CX33" s="59">
        <f t="shared" si="14"/>
        <v>494.37737631959317</v>
      </c>
      <c r="CY33" s="59">
        <f ca="1">AVERAGE(OFFSET($CX$3,0,0,'Données projet'!$E$13+1,1))-AVERAGE(OFFSET($H$3,0,0,'Données projet'!$E$13+1,1))</f>
        <v>161.87883827031436</v>
      </c>
      <c r="CZ33" s="59">
        <f t="shared" si="42"/>
        <v>163.02076389611869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2.6500000000000003E-2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0.48752141272860278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0.48752141272860278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64</v>
      </c>
      <c r="DM33" s="12">
        <f>VLOOKUP(A33,'Données projet'!$A$165:$I$185,9,0)</f>
        <v>3.6</v>
      </c>
      <c r="DN33" s="12">
        <f t="array" ref="DN33">INDEX(DM:DM,MIN(IF(ISNUMBER(DM33:DM229),ROW(DM33:DM229),"")))</f>
        <v>3.6</v>
      </c>
      <c r="DO33" s="12">
        <f>IF('Données projet'!$A$166&gt;35,DO32+DN33-DW32,IF(A33&lt;'Données projet'!$A$166,$DL$205^A33,IF(A33='Données projet'!$A$166,'Données projet'!$B$166,DO32+DN33-DW32)))</f>
        <v>63.999999999999993</v>
      </c>
      <c r="DP33" s="17">
        <f>DO33*VLOOKUP('Données projet'!$B$14,Paramètres!$A$1:$I$89,3,0)*VLOOKUP('Données projet'!$B$14,Paramètres!$A$1:$I$89,5,0)</f>
        <v>51.916799999999995</v>
      </c>
      <c r="DQ33" s="13">
        <f t="shared" si="43"/>
        <v>15.107692595703275</v>
      </c>
      <c r="DR33" s="20">
        <f t="shared" si="16"/>
        <v>116.73432460418319</v>
      </c>
      <c r="DS33" s="59">
        <f t="shared" si="17"/>
        <v>410.06765793751651</v>
      </c>
      <c r="DT33" s="59">
        <f ca="1">AVERAGE(OFFSET($DS$3,0,0,'Données projet'!$E$14+1,1))-AVERAGE(OFFSET($H$3,0,0,'Données projet'!$E$14+1,1))</f>
        <v>96.611230241682733</v>
      </c>
      <c r="DU33" s="59">
        <f t="shared" si="44"/>
        <v>78.711045514042041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0.3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2.0538166844142722</v>
      </c>
      <c r="ED33" s="22">
        <f t="shared" si="18"/>
        <v>2.0538166844142722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214.99230769230769</v>
      </c>
      <c r="EH33" s="12">
        <f>VLOOKUP(A33,'Données projet'!$A$191:$I$211,9,0)</f>
        <v>18.099999999999994</v>
      </c>
      <c r="EI33" s="12">
        <f t="array" ref="EI33">INDEX(EH:EH,MIN(IF(ISNUMBER(EH33:EH229),ROW(EH33:EH229),"")))</f>
        <v>18.099999999999994</v>
      </c>
      <c r="EJ33" s="12">
        <f>IF('Données projet'!$A$192&gt;35,EJ32+EI33-ER32,IF(A33&lt;'Données projet'!$A$192,$EG$205^A33,IF(A33='Données projet'!$A$192,'Données projet'!$B$192,EJ32+EI33-ER32)))</f>
        <v>214.99230769230761</v>
      </c>
      <c r="EK33" s="17">
        <f>EJ33*VLOOKUP('Données projet'!$B$15,Paramètres!$A$1:$I$89,3,0)*VLOOKUP('Données projet'!$B$15,Paramètres!$A$1:$I$89,5,0)</f>
        <v>95.026599999999959</v>
      </c>
      <c r="EL33" s="13">
        <f t="shared" si="45"/>
        <v>25.773658829793771</v>
      </c>
      <c r="EM33" s="20">
        <f t="shared" si="19"/>
        <v>210.3937841285574</v>
      </c>
      <c r="EN33" s="59">
        <f t="shared" si="20"/>
        <v>503.72711746189071</v>
      </c>
      <c r="EO33" s="59">
        <f ca="1">AVERAGE(OFFSET($EN$3,0,0,'Données projet'!$E$15+1,1))-AVERAGE(OFFSET($H$3,0,0,'Données projet'!$E$15+1,1))</f>
        <v>188.61152573050066</v>
      </c>
      <c r="EP33" s="59">
        <f t="shared" si="46"/>
        <v>172.37050503841624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18.259137810022832</v>
      </c>
      <c r="EX33" s="21">
        <f>EXP(-LN(2)/2)*EX32+(1-EXP(-LN(2)/2))/(LN(2)/2)*ER33*EU33*VLOOKUP('Données projet'!$B$15,Paramètres!$A$1:$I$89,3,0)*0.475*44/12</f>
        <v>6.8615478030336243</v>
      </c>
      <c r="EY33" s="22">
        <f t="shared" si="21"/>
        <v>25.120685613056455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>
        <f>FE33*VLOOKUP('Données projet'!$B$16,Paramètres!$A$1:$I$89,3,0)*VLOOKUP('Données projet'!$B$16,Paramètres!$A$1:$I$89,5,0)</f>
        <v>0</v>
      </c>
      <c r="FG33" s="13" t="e">
        <f t="shared" si="47"/>
        <v>#NUM!</v>
      </c>
      <c r="FH33" s="20" t="e">
        <f t="shared" si="22"/>
        <v>#NUM!</v>
      </c>
      <c r="FI33" s="59" t="e">
        <f t="shared" si="23"/>
        <v>#NUM!</v>
      </c>
      <c r="FJ33" s="59">
        <f ca="1">AVERAGE(OFFSET($FI$3,0,0,'Données projet'!$E$16+1,1))-AVERAGE(OFFSET($H$3,0,0,'Données projet'!$E$16+1,1))</f>
        <v>0</v>
      </c>
      <c r="FK33" s="59">
        <f t="shared" si="48"/>
        <v>0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197.78572767493569</v>
      </c>
      <c r="T34" s="59">
        <f t="shared" si="34"/>
        <v>288.66487031729008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128.79999999999998</v>
      </c>
      <c r="AJ34" s="13">
        <f>AI34*VLOOKUP('Données projet'!$B$10,Paramètres!$A$1:$I$89,3,0)*VLOOKUP('Données projet'!$B$10,Paramètres!$A$1:$I$89,5,0)</f>
        <v>102.47327999999999</v>
      </c>
      <c r="AK34" s="13">
        <f t="shared" si="35"/>
        <v>27.550381949314474</v>
      </c>
      <c r="AL34" s="20">
        <f t="shared" si="4"/>
        <v>226.45787789505599</v>
      </c>
      <c r="AM34" s="59">
        <f t="shared" si="5"/>
        <v>519.79121122838933</v>
      </c>
      <c r="AN34" s="59">
        <f ca="1">AVERAGE(OFFSET($AM$3,0,0,'Données projet'!$E$10+1,1))-AVERAGE(OFFSET($H$3,0,0,'Données projet'!$E$10+1,1))</f>
        <v>219.43439115440339</v>
      </c>
      <c r="AO34" s="59">
        <f t="shared" si="36"/>
        <v>217.8880462742099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0.51184082187162616</v>
      </c>
      <c r="AV34" s="21">
        <f>EXP(-LN(2)/25)*AV33+(1-EXP(-LN(2)/25))/(LN(2)/25)*Calculateur!AQ34*Calculateur!AS34*VLOOKUP('Données projet'!$B$10,Paramètres!$A$1:$I$89,3,0)*0.475*44/12</f>
        <v>4.437642294417941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4.9494831162895672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6.4</v>
      </c>
      <c r="BD34" s="12">
        <f>IF('Données projet'!$A$88&gt;35,BD33+BC34-BL33,IF(A34&lt;'Données projet'!$A$88,$BA$205^A34,IF(A34='Données projet'!$A$88,'Données projet'!$B$88,BD33+BC34-BL33)))</f>
        <v>88.4</v>
      </c>
      <c r="BE34" s="13">
        <f>BD34*VLOOKUP('Données projet'!$B$11,Paramètres!$A$1:$I$89,3,0)*VLOOKUP('Données projet'!$B$11,Paramètres!$A$1:$I$89,5,0)</f>
        <v>77.226240000000004</v>
      </c>
      <c r="BF34" s="13">
        <f t="shared" si="37"/>
        <v>21.457598855530147</v>
      </c>
      <c r="BG34" s="20">
        <f t="shared" si="7"/>
        <v>171.87435267338171</v>
      </c>
      <c r="BH34" s="59">
        <f t="shared" si="8"/>
        <v>465.20768600671499</v>
      </c>
      <c r="BI34" s="59">
        <f ca="1">AVERAGE(OFFSET($BH$3,0,0,'Données projet'!$E$11+1,1))-AVERAGE(OFFSET($H$3,0,0,'Données projet'!$E$11+1,1))</f>
        <v>175.73188403662408</v>
      </c>
      <c r="BJ34" s="59">
        <f t="shared" si="38"/>
        <v>152.02195399869032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5.3369963369963358</v>
      </c>
      <c r="BY34" s="12">
        <f>IF('Données projet'!$A$114&gt;35,BY33+BX34-CG33,IF(A34&lt;'Données projet'!$A$114,$BV$205^A34,IF(A34='Données projet'!$A$114,'Données projet'!$B$114,BY33+BX34-CG33)))</f>
        <v>93.04212454212454</v>
      </c>
      <c r="BZ34" s="13">
        <f>BY34*VLOOKUP('Données projet'!$B$12,Paramètres!$A$1:$I$89,3,0)*VLOOKUP('Données projet'!$B$12,Paramètres!$A$1:$I$89,5,0)</f>
        <v>84.184514285714286</v>
      </c>
      <c r="CA34" s="13">
        <f t="shared" si="39"/>
        <v>23.157263963315572</v>
      </c>
      <c r="CB34" s="20">
        <f t="shared" si="10"/>
        <v>186.95359711706033</v>
      </c>
      <c r="CC34" s="59">
        <f t="shared" si="11"/>
        <v>480.28693045039364</v>
      </c>
      <c r="CD34" s="59">
        <f ca="1">AVERAGE(OFFSET($CC$3,0,0,'Données projet'!$E$12+1,1))-AVERAGE(OFFSET($H$3,0,0,'Données projet'!$E$12+1,1))</f>
        <v>213.54857791046686</v>
      </c>
      <c r="CE34" s="59">
        <f t="shared" si="40"/>
        <v>138.46877538074244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80.832959999999986</v>
      </c>
      <c r="CV34" s="13">
        <f t="shared" si="41"/>
        <v>22.340724239136428</v>
      </c>
      <c r="CW34" s="20">
        <f t="shared" si="13"/>
        <v>179.69416671649591</v>
      </c>
      <c r="CX34" s="59">
        <f t="shared" si="14"/>
        <v>473.0275000498292</v>
      </c>
      <c r="CY34" s="59">
        <f ca="1">AVERAGE(OFFSET($CX$3,0,0,'Données projet'!$E$13+1,1))-AVERAGE(OFFSET($H$3,0,0,'Données projet'!$E$13+1,1))</f>
        <v>161.87883827031436</v>
      </c>
      <c r="CZ34" s="59">
        <f t="shared" si="42"/>
        <v>163.02076389611869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0.4741901140599023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0.4741901140599023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3.6</v>
      </c>
      <c r="DO34" s="12">
        <f>IF('Données projet'!$A$166&gt;35,DO33+DN34-DW33,IF(A34&lt;'Données projet'!$A$166,$DL$205^A34,IF(A34='Données projet'!$A$166,'Données projet'!$B$166,DO33+DN34-DW33)))</f>
        <v>60.599999999999994</v>
      </c>
      <c r="DP34" s="17">
        <f>DO34*VLOOKUP('Données projet'!$B$14,Paramètres!$A$1:$I$89,3,0)*VLOOKUP('Données projet'!$B$14,Paramètres!$A$1:$I$89,5,0)</f>
        <v>49.158719999999995</v>
      </c>
      <c r="DQ34" s="13">
        <f t="shared" si="43"/>
        <v>14.396281334716242</v>
      </c>
      <c r="DR34" s="20">
        <f t="shared" si="16"/>
        <v>110.69162732463077</v>
      </c>
      <c r="DS34" s="59">
        <f t="shared" si="17"/>
        <v>404.02496065796407</v>
      </c>
      <c r="DT34" s="59">
        <f ca="1">AVERAGE(OFFSET($DS$3,0,0,'Données projet'!$E$14+1,1))-AVERAGE(OFFSET($H$3,0,0,'Données projet'!$E$14+1,1))</f>
        <v>96.611230241682733</v>
      </c>
      <c r="DU34" s="59">
        <f t="shared" si="44"/>
        <v>78.711045514042041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1.4522677048634034</v>
      </c>
      <c r="ED34" s="22">
        <f t="shared" si="18"/>
        <v>1.4522677048634034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18.100000000000001</v>
      </c>
      <c r="EJ34" s="12">
        <f>IF('Données projet'!$A$192&gt;35,EJ33+EI34-ER33,IF(A34&lt;'Données projet'!$A$192,$EG$205^A34,IF(A34='Données projet'!$A$192,'Données projet'!$B$192,EJ33+EI34-ER33)))</f>
        <v>233.0923076923076</v>
      </c>
      <c r="EK34" s="17">
        <f>EJ34*VLOOKUP('Données projet'!$B$15,Paramètres!$A$1:$I$89,3,0)*VLOOKUP('Données projet'!$B$15,Paramètres!$A$1:$I$89,5,0)</f>
        <v>103.02679999999998</v>
      </c>
      <c r="EL34" s="13">
        <f t="shared" si="45"/>
        <v>27.681834716611117</v>
      </c>
      <c r="EM34" s="20">
        <f t="shared" si="19"/>
        <v>227.65087213143102</v>
      </c>
      <c r="EN34" s="59">
        <f t="shared" si="20"/>
        <v>520.98420546476427</v>
      </c>
      <c r="EO34" s="59">
        <f ca="1">AVERAGE(OFFSET($EN$3,0,0,'Données projet'!$E$15+1,1))-AVERAGE(OFFSET($H$3,0,0,'Données projet'!$E$15+1,1))</f>
        <v>188.61152573050066</v>
      </c>
      <c r="EP34" s="59">
        <f t="shared" si="46"/>
        <v>172.37050503841624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17.759840726401432</v>
      </c>
      <c r="EX34" s="21">
        <f>EXP(-LN(2)/2)*EX33+(1-EXP(-LN(2)/2))/(LN(2)/2)*ER34*EU34*VLOOKUP('Données projet'!$B$15,Paramètres!$A$1:$I$89,3,0)*0.475*44/12</f>
        <v>4.8518469809607332</v>
      </c>
      <c r="EY34" s="22">
        <f t="shared" si="21"/>
        <v>22.611687707362165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>
        <f>FE34*VLOOKUP('Données projet'!$B$16,Paramètres!$A$1:$I$89,3,0)*VLOOKUP('Données projet'!$B$16,Paramètres!$A$1:$I$89,5,0)</f>
        <v>0</v>
      </c>
      <c r="FG34" s="13" t="e">
        <f t="shared" si="47"/>
        <v>#NUM!</v>
      </c>
      <c r="FH34" s="20" t="e">
        <f t="shared" si="22"/>
        <v>#NUM!</v>
      </c>
      <c r="FI34" s="59" t="e">
        <f t="shared" si="23"/>
        <v>#NUM!</v>
      </c>
      <c r="FJ34" s="59">
        <f ca="1">AVERAGE(OFFSET($FI$3,0,0,'Données projet'!$E$16+1,1))-AVERAGE(OFFSET($H$3,0,0,'Données projet'!$E$16+1,1))</f>
        <v>0</v>
      </c>
      <c r="FK34" s="59">
        <f t="shared" si="48"/>
        <v>0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197.78572767493569</v>
      </c>
      <c r="T35" s="59">
        <f t="shared" si="34"/>
        <v>288.66487031729008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139.6</v>
      </c>
      <c r="AJ35" s="13">
        <f>AI35*VLOOKUP('Données projet'!$B$10,Paramètres!$A$1:$I$89,3,0)*VLOOKUP('Données projet'!$B$10,Paramètres!$A$1:$I$89,5,0)</f>
        <v>111.06576</v>
      </c>
      <c r="AK35" s="13">
        <f t="shared" si="35"/>
        <v>29.581944857062648</v>
      </c>
      <c r="AL35" s="20">
        <f t="shared" si="4"/>
        <v>244.96141929271744</v>
      </c>
      <c r="AM35" s="59">
        <f t="shared" si="5"/>
        <v>538.29475262605069</v>
      </c>
      <c r="AN35" s="59">
        <f ca="1">AVERAGE(OFFSET($AM$3,0,0,'Données projet'!$E$10+1,1))-AVERAGE(OFFSET($H$3,0,0,'Données projet'!$E$10+1,1))</f>
        <v>219.43439115440339</v>
      </c>
      <c r="AO35" s="59">
        <f t="shared" si="36"/>
        <v>217.8880462742099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0.50180393554679847</v>
      </c>
      <c r="AV35" s="21">
        <f>EXP(-LN(2)/25)*AV34+(1-EXP(-LN(2)/25))/(LN(2)/25)*Calculateur!AQ35*Calculateur!AS35*VLOOKUP('Données projet'!$B$10,Paramètres!$A$1:$I$89,3,0)*0.475*44/12</f>
        <v>4.3162947325116168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4.8180986680584148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6.4</v>
      </c>
      <c r="BD35" s="12">
        <f>IF('Données projet'!$A$88&gt;35,BD34+BC35-BL34,IF(A35&lt;'Données projet'!$A$88,$BA$205^A35,IF(A35='Données projet'!$A$88,'Données projet'!$B$88,BD34+BC35-BL34)))</f>
        <v>94.800000000000011</v>
      </c>
      <c r="BE35" s="13">
        <f>BD35*VLOOKUP('Données projet'!$B$11,Paramètres!$A$1:$I$89,3,0)*VLOOKUP('Données projet'!$B$11,Paramètres!$A$1:$I$89,5,0)</f>
        <v>82.817280000000011</v>
      </c>
      <c r="BF35" s="13">
        <f t="shared" si="37"/>
        <v>22.824630073728041</v>
      </c>
      <c r="BG35" s="20">
        <f t="shared" si="7"/>
        <v>183.99299337840969</v>
      </c>
      <c r="BH35" s="59">
        <f t="shared" si="8"/>
        <v>477.32632671174304</v>
      </c>
      <c r="BI35" s="59">
        <f ca="1">AVERAGE(OFFSET($BH$3,0,0,'Données projet'!$E$11+1,1))-AVERAGE(OFFSET($H$3,0,0,'Données projet'!$E$11+1,1))</f>
        <v>175.73188403662408</v>
      </c>
      <c r="BJ35" s="59">
        <f t="shared" si="38"/>
        <v>152.02195399869032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5.3369963369963358</v>
      </c>
      <c r="BY35" s="12">
        <f>IF('Données projet'!$A$114&gt;35,BY34+BX35-CG34,IF(A35&lt;'Données projet'!$A$114,$BV$205^A35,IF(A35='Données projet'!$A$114,'Données projet'!$B$114,BY34+BX35-CG34)))</f>
        <v>98.379120879120876</v>
      </c>
      <c r="BZ35" s="13">
        <f>BY35*VLOOKUP('Données projet'!$B$12,Paramètres!$A$1:$I$89,3,0)*VLOOKUP('Données projet'!$B$12,Paramètres!$A$1:$I$89,5,0)</f>
        <v>89.013428571428562</v>
      </c>
      <c r="CA35" s="13">
        <f t="shared" si="39"/>
        <v>24.327135299174682</v>
      </c>
      <c r="CB35" s="20">
        <f t="shared" si="10"/>
        <v>197.40148207463395</v>
      </c>
      <c r="CC35" s="59">
        <f t="shared" si="11"/>
        <v>490.73481540796729</v>
      </c>
      <c r="CD35" s="59">
        <f ca="1">AVERAGE(OFFSET($CC$3,0,0,'Données projet'!$E$12+1,1))-AVERAGE(OFFSET($H$3,0,0,'Données projet'!$E$12+1,1))</f>
        <v>213.54857791046686</v>
      </c>
      <c r="CE35" s="59">
        <f t="shared" si="40"/>
        <v>138.46877538074244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87.675119999999993</v>
      </c>
      <c r="CV35" s="13">
        <f t="shared" si="41"/>
        <v>24.003668728272238</v>
      </c>
      <c r="CW35" s="20">
        <f t="shared" si="13"/>
        <v>194.5072237017408</v>
      </c>
      <c r="CX35" s="59">
        <f t="shared" si="14"/>
        <v>487.84055703507408</v>
      </c>
      <c r="CY35" s="59">
        <f ca="1">AVERAGE(OFFSET($CX$3,0,0,'Données projet'!$E$13+1,1))-AVERAGE(OFFSET($H$3,0,0,'Données projet'!$E$13+1,1))</f>
        <v>161.87883827031436</v>
      </c>
      <c r="CZ35" s="59">
        <f t="shared" si="42"/>
        <v>163.02076389611869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0.46122336045435997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0.46122336045435997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3.6</v>
      </c>
      <c r="DO35" s="12">
        <f>IF('Données projet'!$A$166&gt;35,DO34+DN35-DW34,IF(A35&lt;'Données projet'!$A$166,$DL$205^A35,IF(A35='Données projet'!$A$166,'Données projet'!$B$166,DO34+DN35-DW34)))</f>
        <v>64.199999999999989</v>
      </c>
      <c r="DP35" s="17">
        <f>DO35*VLOOKUP('Données projet'!$B$14,Paramètres!$A$1:$I$89,3,0)*VLOOKUP('Données projet'!$B$14,Paramètres!$A$1:$I$89,5,0)</f>
        <v>52.079039999999992</v>
      </c>
      <c r="DQ35" s="13">
        <f t="shared" si="43"/>
        <v>15.149401133573162</v>
      </c>
      <c r="DR35" s="20">
        <f t="shared" si="16"/>
        <v>117.08953497430657</v>
      </c>
      <c r="DS35" s="59">
        <f t="shared" si="17"/>
        <v>410.42286830763987</v>
      </c>
      <c r="DT35" s="59">
        <f ca="1">AVERAGE(OFFSET($DS$3,0,0,'Données projet'!$E$14+1,1))-AVERAGE(OFFSET($H$3,0,0,'Données projet'!$E$14+1,1))</f>
        <v>96.611230241682733</v>
      </c>
      <c r="DU35" s="59">
        <f t="shared" si="44"/>
        <v>78.711045514042041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1.0269083422071363</v>
      </c>
      <c r="ED35" s="22">
        <f t="shared" si="18"/>
        <v>1.0269083422071363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18.100000000000001</v>
      </c>
      <c r="EJ35" s="12">
        <f>IF('Données projet'!$A$192&gt;35,EJ34+EI35-ER34,IF(A35&lt;'Données projet'!$A$192,$EG$205^A35,IF(A35='Données projet'!$A$192,'Données projet'!$B$192,EJ34+EI35-ER34)))</f>
        <v>251.19230769230759</v>
      </c>
      <c r="EK35" s="17">
        <f>EJ35*VLOOKUP('Données projet'!$B$15,Paramètres!$A$1:$I$89,3,0)*VLOOKUP('Données projet'!$B$15,Paramètres!$A$1:$I$89,5,0)</f>
        <v>111.02699999999997</v>
      </c>
      <c r="EL35" s="13">
        <f t="shared" si="45"/>
        <v>29.572822757081695</v>
      </c>
      <c r="EM35" s="20">
        <f t="shared" si="19"/>
        <v>244.87802463525054</v>
      </c>
      <c r="EN35" s="59">
        <f t="shared" si="20"/>
        <v>538.2113579685838</v>
      </c>
      <c r="EO35" s="59">
        <f ca="1">AVERAGE(OFFSET($EN$3,0,0,'Données projet'!$E$15+1,1))-AVERAGE(OFFSET($H$3,0,0,'Données projet'!$E$15+1,1))</f>
        <v>188.61152573050066</v>
      </c>
      <c r="EP35" s="59">
        <f t="shared" si="46"/>
        <v>172.37050503841624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17.274196947788553</v>
      </c>
      <c r="EX35" s="21">
        <f>EXP(-LN(2)/2)*EX34+(1-EXP(-LN(2)/2))/(LN(2)/2)*ER35*EU35*VLOOKUP('Données projet'!$B$15,Paramètres!$A$1:$I$89,3,0)*0.475*44/12</f>
        <v>3.4307739015168126</v>
      </c>
      <c r="EY35" s="22">
        <f t="shared" si="21"/>
        <v>20.704970849305365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>
        <f>FE35*VLOOKUP('Données projet'!$B$16,Paramètres!$A$1:$I$89,3,0)*VLOOKUP('Données projet'!$B$16,Paramètres!$A$1:$I$89,5,0)</f>
        <v>0</v>
      </c>
      <c r="FG35" s="13" t="e">
        <f t="shared" si="47"/>
        <v>#NUM!</v>
      </c>
      <c r="FH35" s="20" t="e">
        <f t="shared" si="22"/>
        <v>#NUM!</v>
      </c>
      <c r="FI35" s="59" t="e">
        <f t="shared" si="23"/>
        <v>#NUM!</v>
      </c>
      <c r="FJ35" s="59">
        <f ca="1">AVERAGE(OFFSET($FI$3,0,0,'Données projet'!$E$16+1,1))-AVERAGE(OFFSET($H$3,0,0,'Données projet'!$E$16+1,1))</f>
        <v>0</v>
      </c>
      <c r="FK35" s="59">
        <f t="shared" si="48"/>
        <v>0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197.78572767493569</v>
      </c>
      <c r="T36" s="59">
        <f t="shared" si="34"/>
        <v>288.66487031729008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150.4</v>
      </c>
      <c r="AJ36" s="13">
        <f>AI36*VLOOKUP('Données projet'!$B$10,Paramètres!$A$1:$I$89,3,0)*VLOOKUP('Données projet'!$B$10,Paramètres!$A$1:$I$89,5,0)</f>
        <v>119.65824000000002</v>
      </c>
      <c r="AK36" s="13">
        <f t="shared" si="35"/>
        <v>31.595276160231336</v>
      </c>
      <c r="AL36" s="20">
        <f t="shared" si="4"/>
        <v>263.43320731240294</v>
      </c>
      <c r="AM36" s="59">
        <f t="shared" si="5"/>
        <v>556.76654064573631</v>
      </c>
      <c r="AN36" s="59">
        <f ca="1">AVERAGE(OFFSET($AM$3,0,0,'Données projet'!$E$10+1,1))-AVERAGE(OFFSET($H$3,0,0,'Données projet'!$E$10+1,1))</f>
        <v>219.43439115440339</v>
      </c>
      <c r="AO36" s="59">
        <f t="shared" si="36"/>
        <v>217.8880462742099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0.49196386644090451</v>
      </c>
      <c r="AV36" s="21">
        <f>EXP(-LN(2)/25)*AV35+(1-EXP(-LN(2)/25))/(LN(2)/25)*Calculateur!AQ36*Calculateur!AS36*VLOOKUP('Données projet'!$B$10,Paramètres!$A$1:$I$89,3,0)*0.475*44/12</f>
        <v>4.198265426067012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4.690229292507917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6.4</v>
      </c>
      <c r="BD36" s="12">
        <f>IF('Données projet'!$A$88&gt;35,BD35+BC36-BL35,IF(A36&lt;'Données projet'!$A$88,$BA$205^A36,IF(A36='Données projet'!$A$88,'Données projet'!$B$88,BD35+BC36-BL35)))</f>
        <v>101.20000000000002</v>
      </c>
      <c r="BE36" s="13">
        <f>BD36*VLOOKUP('Données projet'!$B$11,Paramètres!$A$1:$I$89,3,0)*VLOOKUP('Données projet'!$B$11,Paramètres!$A$1:$I$89,5,0)</f>
        <v>88.408320000000032</v>
      </c>
      <c r="BF36" s="13">
        <f t="shared" si="37"/>
        <v>24.180952363290441</v>
      </c>
      <c r="BG36" s="20">
        <f t="shared" si="7"/>
        <v>196.09298269939757</v>
      </c>
      <c r="BH36" s="59">
        <f t="shared" si="8"/>
        <v>489.42631603273088</v>
      </c>
      <c r="BI36" s="59">
        <f ca="1">AVERAGE(OFFSET($BH$3,0,0,'Données projet'!$E$11+1,1))-AVERAGE(OFFSET($H$3,0,0,'Données projet'!$E$11+1,1))</f>
        <v>175.73188403662408</v>
      </c>
      <c r="BJ36" s="59">
        <f t="shared" si="38"/>
        <v>152.02195399869032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5.3369963369963358</v>
      </c>
      <c r="BY36" s="12">
        <f>IF('Données projet'!$A$114&gt;35,BY35+BX36-CG35,IF(A36&lt;'Données projet'!$A$114,$BV$205^A36,IF(A36='Données projet'!$A$114,'Données projet'!$B$114,BY35+BX36-CG35)))</f>
        <v>103.71611721611721</v>
      </c>
      <c r="BZ36" s="13">
        <f>BY36*VLOOKUP('Données projet'!$B$12,Paramètres!$A$1:$I$89,3,0)*VLOOKUP('Données projet'!$B$12,Paramètres!$A$1:$I$89,5,0)</f>
        <v>93.842342857142853</v>
      </c>
      <c r="CA36" s="13">
        <f t="shared" si="39"/>
        <v>25.489638806781517</v>
      </c>
      <c r="CB36" s="20">
        <f t="shared" si="10"/>
        <v>207.83653473133492</v>
      </c>
      <c r="CC36" s="59">
        <f t="shared" si="11"/>
        <v>501.16986806466821</v>
      </c>
      <c r="CD36" s="59">
        <f ca="1">AVERAGE(OFFSET($CC$3,0,0,'Données projet'!$E$12+1,1))-AVERAGE(OFFSET($H$3,0,0,'Données projet'!$E$12+1,1))</f>
        <v>213.54857791046686</v>
      </c>
      <c r="CE36" s="59">
        <f t="shared" si="40"/>
        <v>138.46877538074244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94.517279999999985</v>
      </c>
      <c r="CV36" s="13">
        <f t="shared" si="41"/>
        <v>25.651559566077335</v>
      </c>
      <c r="CW36" s="20">
        <f t="shared" si="13"/>
        <v>209.29406224425134</v>
      </c>
      <c r="CX36" s="59">
        <f t="shared" si="14"/>
        <v>502.62739557758465</v>
      </c>
      <c r="CY36" s="59">
        <f ca="1">AVERAGE(OFFSET($CX$3,0,0,'Données projet'!$E$13+1,1))-AVERAGE(OFFSET($H$3,0,0,'Données projet'!$E$13+1,1))</f>
        <v>161.87883827031436</v>
      </c>
      <c r="CZ36" s="59">
        <f t="shared" si="42"/>
        <v>163.02076389611869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0.44861118340805312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0.44861118340805312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3.6</v>
      </c>
      <c r="DO36" s="12">
        <f>IF('Données projet'!$A$166&gt;35,DO35+DN36-DW35,IF(A36&lt;'Données projet'!$A$166,$DL$205^A36,IF(A36='Données projet'!$A$166,'Données projet'!$B$166,DO35+DN36-DW35)))</f>
        <v>67.799999999999983</v>
      </c>
      <c r="DP36" s="17">
        <f>DO36*VLOOKUP('Données projet'!$B$14,Paramètres!$A$1:$I$89,3,0)*VLOOKUP('Données projet'!$B$14,Paramètres!$A$1:$I$89,5,0)</f>
        <v>54.999359999999989</v>
      </c>
      <c r="DQ36" s="13">
        <f t="shared" si="43"/>
        <v>15.897618537944966</v>
      </c>
      <c r="DR36" s="20">
        <f t="shared" si="16"/>
        <v>123.47890428692081</v>
      </c>
      <c r="DS36" s="59">
        <f t="shared" si="17"/>
        <v>416.81223762025411</v>
      </c>
      <c r="DT36" s="59">
        <f ca="1">AVERAGE(OFFSET($DS$3,0,0,'Données projet'!$E$14+1,1))-AVERAGE(OFFSET($H$3,0,0,'Données projet'!$E$14+1,1))</f>
        <v>96.611230241682733</v>
      </c>
      <c r="DU36" s="59">
        <f t="shared" si="44"/>
        <v>78.711045514042041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0.72613385243170192</v>
      </c>
      <c r="ED36" s="22">
        <f t="shared" si="18"/>
        <v>0.72613385243170192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18.100000000000001</v>
      </c>
      <c r="EJ36" s="12">
        <f>IF('Données projet'!$A$192&gt;35,EJ35+EI36-ER35,IF(A36&lt;'Données projet'!$A$192,$EG$205^A36,IF(A36='Données projet'!$A$192,'Données projet'!$B$192,EJ35+EI36-ER35)))</f>
        <v>269.29230769230759</v>
      </c>
      <c r="EK36" s="17">
        <f>EJ36*VLOOKUP('Données projet'!$B$15,Paramètres!$A$1:$I$89,3,0)*VLOOKUP('Données projet'!$B$15,Paramètres!$A$1:$I$89,5,0)</f>
        <v>119.02719999999997</v>
      </c>
      <c r="EL36" s="13">
        <f t="shared" si="45"/>
        <v>31.448002296641057</v>
      </c>
      <c r="EM36" s="20">
        <f t="shared" si="19"/>
        <v>262.07764399998308</v>
      </c>
      <c r="EN36" s="59">
        <f t="shared" si="20"/>
        <v>555.4109773333164</v>
      </c>
      <c r="EO36" s="59">
        <f ca="1">AVERAGE(OFFSET($EN$3,0,0,'Données projet'!$E$15+1,1))-AVERAGE(OFFSET($H$3,0,0,'Données projet'!$E$15+1,1))</f>
        <v>188.61152573050066</v>
      </c>
      <c r="EP36" s="59">
        <f t="shared" si="46"/>
        <v>172.37050503841624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16.801833123840737</v>
      </c>
      <c r="EX36" s="21">
        <f>EXP(-LN(2)/2)*EX35+(1-EXP(-LN(2)/2))/(LN(2)/2)*ER36*EU36*VLOOKUP('Données projet'!$B$15,Paramètres!$A$1:$I$89,3,0)*0.475*44/12</f>
        <v>2.425923490480367</v>
      </c>
      <c r="EY36" s="22">
        <f t="shared" si="21"/>
        <v>19.227756614321105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>
        <f>FE36*VLOOKUP('Données projet'!$B$16,Paramètres!$A$1:$I$89,3,0)*VLOOKUP('Données projet'!$B$16,Paramètres!$A$1:$I$89,5,0)</f>
        <v>0</v>
      </c>
      <c r="FG36" s="13" t="e">
        <f t="shared" si="47"/>
        <v>#NUM!</v>
      </c>
      <c r="FH36" s="20" t="e">
        <f t="shared" si="22"/>
        <v>#NUM!</v>
      </c>
      <c r="FI36" s="59" t="e">
        <f t="shared" si="23"/>
        <v>#NUM!</v>
      </c>
      <c r="FJ36" s="59">
        <f ca="1">AVERAGE(OFFSET($FI$3,0,0,'Données projet'!$E$16+1,1))-AVERAGE(OFFSET($H$3,0,0,'Données projet'!$E$16+1,1))</f>
        <v>0</v>
      </c>
      <c r="FK36" s="59">
        <f t="shared" si="48"/>
        <v>0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197.78572767493569</v>
      </c>
      <c r="T37" s="59">
        <f t="shared" si="34"/>
        <v>288.66487031729008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161.20000000000002</v>
      </c>
      <c r="AJ37" s="13">
        <f>AI37*VLOOKUP('Données projet'!$B$10,Paramètres!$A$1:$I$89,3,0)*VLOOKUP('Données projet'!$B$10,Paramètres!$A$1:$I$89,5,0)</f>
        <v>128.25072</v>
      </c>
      <c r="AK37" s="13">
        <f t="shared" si="35"/>
        <v>33.591833937449593</v>
      </c>
      <c r="AL37" s="20">
        <f t="shared" si="4"/>
        <v>281.875781441058</v>
      </c>
      <c r="AM37" s="59">
        <f t="shared" si="5"/>
        <v>575.20911477439131</v>
      </c>
      <c r="AN37" s="59">
        <f ca="1">AVERAGE(OFFSET($AM$3,0,0,'Données projet'!$E$10+1,1))-AVERAGE(OFFSET($H$3,0,0,'Données projet'!$E$10+1,1))</f>
        <v>219.43439115440339</v>
      </c>
      <c r="AO37" s="59">
        <f t="shared" si="36"/>
        <v>217.8880462742099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0.48231675508832761</v>
      </c>
      <c r="AV37" s="21">
        <f>EXP(-LN(2)/25)*AV36+(1-EXP(-LN(2)/25))/(LN(2)/25)*Calculateur!AQ37*Calculateur!AS37*VLOOKUP('Données projet'!$B$10,Paramètres!$A$1:$I$89,3,0)*0.475*44/12</f>
        <v>4.0834636372140265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4.5657803923023543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6.4</v>
      </c>
      <c r="BD37" s="12">
        <f>IF('Données projet'!$A$88&gt;35,BD36+BC37-BL36,IF(A37&lt;'Données projet'!$A$88,$BA$205^A37,IF(A37='Données projet'!$A$88,'Données projet'!$B$88,BD36+BC37-BL36)))</f>
        <v>107.60000000000002</v>
      </c>
      <c r="BE37" s="13">
        <f>BD37*VLOOKUP('Données projet'!$B$11,Paramètres!$A$1:$I$89,3,0)*VLOOKUP('Données projet'!$B$11,Paramètres!$A$1:$I$89,5,0)</f>
        <v>93.999360000000038</v>
      </c>
      <c r="BF37" s="13">
        <f t="shared" si="37"/>
        <v>25.527320061007046</v>
      </c>
      <c r="BG37" s="20">
        <f t="shared" si="7"/>
        <v>208.17563443958736</v>
      </c>
      <c r="BH37" s="59">
        <f t="shared" si="8"/>
        <v>501.50896777292064</v>
      </c>
      <c r="BI37" s="59">
        <f ca="1">AVERAGE(OFFSET($BH$3,0,0,'Données projet'!$E$11+1,1))-AVERAGE(OFFSET($H$3,0,0,'Données projet'!$E$11+1,1))</f>
        <v>175.73188403662408</v>
      </c>
      <c r="BJ37" s="59">
        <f t="shared" si="38"/>
        <v>152.02195399869032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5.3369963369963358</v>
      </c>
      <c r="BY37" s="12">
        <f>IF('Données projet'!$A$114&gt;35,BY36+BX37-CG36,IF(A37&lt;'Données projet'!$A$114,$BV$205^A37,IF(A37='Données projet'!$A$114,'Données projet'!$B$114,BY36+BX37-CG36)))</f>
        <v>109.05311355311355</v>
      </c>
      <c r="BZ37" s="13">
        <f>BY37*VLOOKUP('Données projet'!$B$12,Paramètres!$A$1:$I$89,3,0)*VLOOKUP('Données projet'!$B$12,Paramètres!$A$1:$I$89,5,0)</f>
        <v>98.671257142857144</v>
      </c>
      <c r="CA37" s="13">
        <f t="shared" si="39"/>
        <v>26.645196865813876</v>
      </c>
      <c r="CB37" s="20">
        <f t="shared" si="10"/>
        <v>218.25949073176866</v>
      </c>
      <c r="CC37" s="59">
        <f t="shared" si="11"/>
        <v>511.59282406510198</v>
      </c>
      <c r="CD37" s="59">
        <f ca="1">AVERAGE(OFFSET($CC$3,0,0,'Données projet'!$E$12+1,1))-AVERAGE(OFFSET($H$3,0,0,'Données projet'!$E$12+1,1))</f>
        <v>213.54857791046686</v>
      </c>
      <c r="CE37" s="59">
        <f t="shared" si="40"/>
        <v>138.46877538074244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101.35943999999996</v>
      </c>
      <c r="CV37" s="13">
        <f t="shared" si="41"/>
        <v>27.285610426884961</v>
      </c>
      <c r="CW37" s="20">
        <f t="shared" si="13"/>
        <v>224.05679616015789</v>
      </c>
      <c r="CX37" s="59">
        <f t="shared" si="14"/>
        <v>517.39012949349126</v>
      </c>
      <c r="CY37" s="59">
        <f ca="1">AVERAGE(OFFSET($CX$3,0,0,'Données projet'!$E$13+1,1))-AVERAGE(OFFSET($H$3,0,0,'Données projet'!$E$13+1,1))</f>
        <v>161.87883827031436</v>
      </c>
      <c r="CZ37" s="59">
        <f t="shared" si="42"/>
        <v>163.02076389611869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0.43634388700632309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0.43634388700632309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3.6</v>
      </c>
      <c r="DO37" s="12">
        <f>IF('Données projet'!$A$166&gt;35,DO36+DN37-DW36,IF(A37&lt;'Données projet'!$A$166,$DL$205^A37,IF(A37='Données projet'!$A$166,'Données projet'!$B$166,DO36+DN37-DW36)))</f>
        <v>71.399999999999977</v>
      </c>
      <c r="DP37" s="17">
        <f>DO37*VLOOKUP('Données projet'!$B$14,Paramètres!$A$1:$I$89,3,0)*VLOOKUP('Données projet'!$B$14,Paramètres!$A$1:$I$89,5,0)</f>
        <v>57.919679999999978</v>
      </c>
      <c r="DQ37" s="13">
        <f t="shared" si="43"/>
        <v>16.641223534705841</v>
      </c>
      <c r="DR37" s="20">
        <f t="shared" si="16"/>
        <v>129.86024032294594</v>
      </c>
      <c r="DS37" s="59">
        <f t="shared" si="17"/>
        <v>423.19357365627923</v>
      </c>
      <c r="DT37" s="59">
        <f ca="1">AVERAGE(OFFSET($DS$3,0,0,'Données projet'!$E$14+1,1))-AVERAGE(OFFSET($H$3,0,0,'Données projet'!$E$14+1,1))</f>
        <v>96.611230241682733</v>
      </c>
      <c r="DU37" s="59">
        <f t="shared" si="44"/>
        <v>78.711045514042041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0.51345417110356828</v>
      </c>
      <c r="ED37" s="22">
        <f t="shared" si="18"/>
        <v>0.51345417110356828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18.100000000000001</v>
      </c>
      <c r="EJ37" s="12">
        <f>IF('Données projet'!$A$192&gt;35,EJ36+EI37-ER36,IF(A37&lt;'Données projet'!$A$192,$EG$205^A37,IF(A37='Données projet'!$A$192,'Données projet'!$B$192,EJ36+EI37-ER36)))</f>
        <v>287.39230769230761</v>
      </c>
      <c r="EK37" s="17">
        <f>EJ37*VLOOKUP('Données projet'!$B$15,Paramètres!$A$1:$I$89,3,0)*VLOOKUP('Données projet'!$B$15,Paramètres!$A$1:$I$89,5,0)</f>
        <v>127.02739999999999</v>
      </c>
      <c r="EL37" s="13">
        <f t="shared" si="45"/>
        <v>33.308556768533201</v>
      </c>
      <c r="EM37" s="20">
        <f t="shared" si="19"/>
        <v>279.25179137186194</v>
      </c>
      <c r="EN37" s="59">
        <f t="shared" si="20"/>
        <v>572.58512470519531</v>
      </c>
      <c r="EO37" s="59">
        <f ca="1">AVERAGE(OFFSET($EN$3,0,0,'Données projet'!$E$15+1,1))-AVERAGE(OFFSET($H$3,0,0,'Données projet'!$E$15+1,1))</f>
        <v>188.61152573050066</v>
      </c>
      <c r="EP37" s="59">
        <f t="shared" si="46"/>
        <v>172.37050503841624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16.342386113499309</v>
      </c>
      <c r="EX37" s="21">
        <f>EXP(-LN(2)/2)*EX36+(1-EXP(-LN(2)/2))/(LN(2)/2)*ER37*EU37*VLOOKUP('Données projet'!$B$15,Paramètres!$A$1:$I$89,3,0)*0.475*44/12</f>
        <v>1.7153869507584065</v>
      </c>
      <c r="EY37" s="22">
        <f t="shared" si="21"/>
        <v>18.057773064257717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>
        <f>FE37*VLOOKUP('Données projet'!$B$16,Paramètres!$A$1:$I$89,3,0)*VLOOKUP('Données projet'!$B$16,Paramètres!$A$1:$I$89,5,0)</f>
        <v>0</v>
      </c>
      <c r="FG37" s="13" t="e">
        <f t="shared" si="47"/>
        <v>#NUM!</v>
      </c>
      <c r="FH37" s="20" t="e">
        <f t="shared" si="22"/>
        <v>#NUM!</v>
      </c>
      <c r="FI37" s="59" t="e">
        <f t="shared" si="23"/>
        <v>#NUM!</v>
      </c>
      <c r="FJ37" s="59">
        <f ca="1">AVERAGE(OFFSET($FI$3,0,0,'Données projet'!$E$16+1,1))-AVERAGE(OFFSET($H$3,0,0,'Données projet'!$E$16+1,1))</f>
        <v>0</v>
      </c>
      <c r="FK37" s="59">
        <f t="shared" si="48"/>
        <v>0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197.78572767493569</v>
      </c>
      <c r="T38" s="59">
        <f t="shared" si="34"/>
        <v>288.66487031729008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172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172.00000000000003</v>
      </c>
      <c r="AJ38" s="13">
        <f>AI38*VLOOKUP('Données projet'!$B$10,Paramètres!$A$1:$I$89,3,0)*VLOOKUP('Données projet'!$B$10,Paramètres!$A$1:$I$89,5,0)</f>
        <v>136.84320000000002</v>
      </c>
      <c r="AK38" s="13">
        <f t="shared" si="35"/>
        <v>35.572869837729648</v>
      </c>
      <c r="AL38" s="20">
        <f t="shared" si="4"/>
        <v>300.2913216340458</v>
      </c>
      <c r="AM38" s="59">
        <f t="shared" si="5"/>
        <v>593.62465496737912</v>
      </c>
      <c r="AN38" s="59">
        <f ca="1">AVERAGE(OFFSET($AM$3,0,0,'Données projet'!$E$10+1,1))-AVERAGE(OFFSET($H$3,0,0,'Données projet'!$E$10+1,1))</f>
        <v>219.43439115440339</v>
      </c>
      <c r="AO38" s="59">
        <f t="shared" si="36"/>
        <v>217.8880462742099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9.5399999999999999E-2</v>
      </c>
      <c r="AS38" s="16">
        <f>IF(ISNA(VLOOKUP(A38,'Données projet'!$A$61:$I$81,6,0)),0%,VLOOKUP(A38,'Données projet'!$A$61:$I$81,6,0)*VLOOKUP('Données projet'!$B$10,Paramètres!$A$1:$I$89,7,0))</f>
        <v>0.22790000000000002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2.822211897049594</v>
      </c>
      <c r="AV38" s="21">
        <f>EXP(-LN(2)/25)*AV37+(1-EXP(-LN(2)/25))/(LN(2)/25)*Calculateur!AQ38*Calculateur!AS38*VLOOKUP('Données projet'!$B$10,Paramètres!$A$1:$I$89,3,0)*0.475*44/12</f>
        <v>9.5620466419357015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12.384258538985296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114</v>
      </c>
      <c r="BB38" s="12">
        <f>VLOOKUP(A38,'Données projet'!$A$87:$I$107,9,0)</f>
        <v>6.4</v>
      </c>
      <c r="BC38" s="12">
        <f t="array" ref="BC38">INDEX(BB:BB,MIN(IF(ISNUMBER(BB38:BB234),ROW(BB38:BB234),"")))</f>
        <v>6.4</v>
      </c>
      <c r="BD38" s="12">
        <f>IF('Données projet'!$A$88&gt;35,BD37+BC38-BL37,IF(A38&lt;'Données projet'!$A$88,$BA$205^A38,IF(A38='Données projet'!$A$88,'Données projet'!$B$88,BD37+BC38-BL37)))</f>
        <v>114.00000000000003</v>
      </c>
      <c r="BE38" s="13">
        <f>BD38*VLOOKUP('Données projet'!$B$11,Paramètres!$A$1:$I$89,3,0)*VLOOKUP('Données projet'!$B$11,Paramètres!$A$1:$I$89,5,0)</f>
        <v>99.590400000000045</v>
      </c>
      <c r="BF38" s="13">
        <f t="shared" si="37"/>
        <v>26.864392698869349</v>
      </c>
      <c r="BG38" s="20">
        <f t="shared" si="7"/>
        <v>220.24209728386418</v>
      </c>
      <c r="BH38" s="59">
        <f t="shared" si="8"/>
        <v>513.57543061719753</v>
      </c>
      <c r="BI38" s="59">
        <f ca="1">AVERAGE(OFFSET($BH$3,0,0,'Données projet'!$E$11+1,1))-AVERAGE(OFFSET($H$3,0,0,'Données projet'!$E$11+1,1))</f>
        <v>175.73188403662408</v>
      </c>
      <c r="BJ38" s="59">
        <f t="shared" si="38"/>
        <v>152.02195399869032</v>
      </c>
      <c r="BK38" s="15">
        <f>IF(ISNA(VLOOKUP(A38,'Données projet'!$A$87:$I$107,3,0)),0,VLOOKUP(A38,'Données projet'!$A$87:$I$107,3,0))</f>
        <v>3</v>
      </c>
      <c r="BL38" s="15" t="str">
        <f>IF(ISNA(VLOOKUP(A38,'Données projet'!$A$87:$I$107,4,0)),0,VLOOKUP(A38,'Données projet'!$A$87:$I$107,4,0))</f>
        <v>16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5.3369963369963358</v>
      </c>
      <c r="BY38" s="12">
        <f>IF('Données projet'!$A$114&gt;35,BY37+BX38-CG37,IF(A38&lt;'Données projet'!$A$114,$BV$205^A38,IF(A38='Données projet'!$A$114,'Données projet'!$B$114,BY37+BX38-CG37)))</f>
        <v>114.39010989010988</v>
      </c>
      <c r="BZ38" s="13">
        <f>BY38*VLOOKUP('Données projet'!$B$12,Paramètres!$A$1:$I$89,3,0)*VLOOKUP('Données projet'!$B$12,Paramètres!$A$1:$I$89,5,0)</f>
        <v>103.50017142857141</v>
      </c>
      <c r="CA38" s="13">
        <f t="shared" si="39"/>
        <v>27.794188178262466</v>
      </c>
      <c r="CB38" s="20">
        <f t="shared" si="10"/>
        <v>228.67100964856897</v>
      </c>
      <c r="CC38" s="59">
        <f t="shared" si="11"/>
        <v>522.00434298190225</v>
      </c>
      <c r="CD38" s="59">
        <f ca="1">AVERAGE(OFFSET($CC$3,0,0,'Données projet'!$E$12+1,1))-AVERAGE(OFFSET($H$3,0,0,'Données projet'!$E$12+1,1))</f>
        <v>213.54857791046686</v>
      </c>
      <c r="CE38" s="59">
        <f t="shared" si="40"/>
        <v>138.46877538074244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108.20159999999998</v>
      </c>
      <c r="CV38" s="13">
        <f t="shared" si="41"/>
        <v>28.90686185716126</v>
      </c>
      <c r="CW38" s="20">
        <f t="shared" si="13"/>
        <v>238.79723773455581</v>
      </c>
      <c r="CX38" s="59">
        <f t="shared" si="14"/>
        <v>532.13057106788915</v>
      </c>
      <c r="CY38" s="59">
        <f ca="1">AVERAGE(OFFSET($CX$3,0,0,'Données projet'!$E$13+1,1))-AVERAGE(OFFSET($H$3,0,0,'Données projet'!$E$13+1,1))</f>
        <v>161.87883827031436</v>
      </c>
      <c r="CZ38" s="59">
        <f t="shared" si="42"/>
        <v>163.02076389611869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0.10070000000000001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2.2769934088384987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2.2769934088384987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75</v>
      </c>
      <c r="DM38" s="12">
        <f>VLOOKUP(A38,'Données projet'!$A$165:$I$185,9,0)</f>
        <v>3.6</v>
      </c>
      <c r="DN38" s="12">
        <f t="array" ref="DN38">INDEX(DM:DM,MIN(IF(ISNUMBER(DM38:DM234),ROW(DM38:DM234),"")))</f>
        <v>3.6</v>
      </c>
      <c r="DO38" s="12">
        <f>IF('Données projet'!$A$166&gt;35,DO37+DN38-DW37,IF(A38&lt;'Données projet'!$A$166,$DL$205^A38,IF(A38='Données projet'!$A$166,'Données projet'!$B$166,DO37+DN38-DW37)))</f>
        <v>74.999999999999972</v>
      </c>
      <c r="DP38" s="17">
        <f>DO38*VLOOKUP('Données projet'!$B$14,Paramètres!$A$1:$I$89,3,0)*VLOOKUP('Données projet'!$B$14,Paramètres!$A$1:$I$89,5,0)</f>
        <v>60.839999999999982</v>
      </c>
      <c r="DQ38" s="13">
        <f t="shared" si="43"/>
        <v>17.38047521653144</v>
      </c>
      <c r="DR38" s="20">
        <f t="shared" si="16"/>
        <v>136.23399433545887</v>
      </c>
      <c r="DS38" s="59">
        <f t="shared" si="17"/>
        <v>429.56732766879219</v>
      </c>
      <c r="DT38" s="59">
        <f ca="1">AVERAGE(OFFSET($DS$3,0,0,'Données projet'!$E$14+1,1))-AVERAGE(OFFSET($H$3,0,0,'Données projet'!$E$14+1,1))</f>
        <v>96.611230241682733</v>
      </c>
      <c r="DU38" s="59">
        <f t="shared" si="44"/>
        <v>78.711045514042041</v>
      </c>
      <c r="DV38" s="15">
        <f>IF(ISNA(VLOOKUP(A38,'Données projet'!$A$165:$I$185,3,0)),0,VLOOKUP(A38,'Données projet'!$A$165:$I$185,3,0))</f>
        <v>3</v>
      </c>
      <c r="DW38" s="15">
        <f>IF(ISNA(VLOOKUP(A38,'Données projet'!$A$165:$I$185,4,0)),0,VLOOKUP(A38,'Données projet'!$A$165:$I$185,4,0))</f>
        <v>7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0.3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1.970383895784422</v>
      </c>
      <c r="ED38" s="22">
        <f t="shared" si="18"/>
        <v>1.970383895784422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305.49230769230769</v>
      </c>
      <c r="EH38" s="12">
        <f>VLOOKUP(A38,'Données projet'!$A$191:$I$211,9,0)</f>
        <v>18.100000000000001</v>
      </c>
      <c r="EI38" s="12">
        <f t="array" ref="EI38">INDEX(EH:EH,MIN(IF(ISNUMBER(EH38:EH234),ROW(EH38:EH234),"")))</f>
        <v>18.100000000000001</v>
      </c>
      <c r="EJ38" s="12">
        <f>IF('Données projet'!$A$192&gt;35,EJ37+EI38-ER37,IF(A38&lt;'Données projet'!$A$192,$EG$205^A38,IF(A38='Données projet'!$A$192,'Données projet'!$B$192,EJ37+EI38-ER37)))</f>
        <v>305.49230769230763</v>
      </c>
      <c r="EK38" s="17">
        <f>EJ38*VLOOKUP('Données projet'!$B$15,Paramètres!$A$1:$I$89,3,0)*VLOOKUP('Données projet'!$B$15,Paramètres!$A$1:$I$89,5,0)</f>
        <v>135.02760000000001</v>
      </c>
      <c r="EL38" s="13">
        <f t="shared" si="45"/>
        <v>35.155512114509101</v>
      </c>
      <c r="EM38" s="20">
        <f t="shared" si="19"/>
        <v>296.40225359943668</v>
      </c>
      <c r="EN38" s="59">
        <f t="shared" si="20"/>
        <v>589.73558693277005</v>
      </c>
      <c r="EO38" s="59">
        <f ca="1">AVERAGE(OFFSET($EN$3,0,0,'Données projet'!$E$15+1,1))-AVERAGE(OFFSET($H$3,0,0,'Données projet'!$E$15+1,1))</f>
        <v>188.61152573050066</v>
      </c>
      <c r="EP38" s="59">
        <f t="shared" si="46"/>
        <v>172.37050503841624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70.5</v>
      </c>
      <c r="ES38" s="16">
        <f>IF(ISNA(VLOOKUP(A38,'Données projet'!$A$191:$I$211,5,0)),0%,VLOOKUP(A38,'Données projet'!$A$191:$I$211,5,0)*VLOOKUP('Données projet'!$B$15,Paramètres!$A$1:$I$89,7,0))</f>
        <v>0.38500000000000001</v>
      </c>
      <c r="ET38" s="16">
        <f>IF(ISNA(VLOOKUP(A38,'Données projet'!$A$191:$I$211,6,0)),0%,VLOOKUP(A38,'Données projet'!$A$191:$I$211,6,0)*VLOOKUP('Données projet'!$B$15,Paramètres!$A$1:$I$89,7,0))</f>
        <v>9.240000000000001E-2</v>
      </c>
      <c r="EU38" s="16">
        <f>IF(ISNA(VLOOKUP(A38,'Données projet'!$A$191:$I$211,7,0)),0%,VLOOKUP(A38,'Données projet'!$A$191:$I$211,7,0))</f>
        <v>0.13200000000000001</v>
      </c>
      <c r="EV38" s="21">
        <f>EXP(-LN(2)/35)*EV37+(1-EXP(-LN(2)/35))/(LN(2)/35)*ER38*ES38*VLOOKUP('Données projet'!$B$15,Paramètres!$A$1:$I$89,3,0)*0.475*44/12</f>
        <v>15.914773873441334</v>
      </c>
      <c r="EW38" s="21">
        <f>EXP(-LN(2)/25)*EW37+(1-EXP(-LN(2)/25))/(LN(2)/25)*Calculateur!ER38*Calculateur!ET38*VLOOKUP('Données projet'!$B$15,Paramètres!$A$1:$I$89,3,0)*0.475*44/12</f>
        <v>19.700009428544298</v>
      </c>
      <c r="EX38" s="21">
        <f>EXP(-LN(2)/2)*EX37+(1-EXP(-LN(2)/2))/(LN(2)/2)*ER38*EU38*VLOOKUP('Données projet'!$B$15,Paramètres!$A$1:$I$89,3,0)*0.475*44/12</f>
        <v>5.8701185075055147</v>
      </c>
      <c r="EY38" s="22">
        <f t="shared" si="21"/>
        <v>41.484901809491149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>
        <f>FE38*VLOOKUP('Données projet'!$B$16,Paramètres!$A$1:$I$89,3,0)*VLOOKUP('Données projet'!$B$16,Paramètres!$A$1:$I$89,5,0)</f>
        <v>0</v>
      </c>
      <c r="FG38" s="13" t="e">
        <f t="shared" si="47"/>
        <v>#NUM!</v>
      </c>
      <c r="FH38" s="20" t="e">
        <f t="shared" si="22"/>
        <v>#NUM!</v>
      </c>
      <c r="FI38" s="59" t="e">
        <f t="shared" si="23"/>
        <v>#NUM!</v>
      </c>
      <c r="FJ38" s="59">
        <f ca="1">AVERAGE(OFFSET($FI$3,0,0,'Données projet'!$E$16+1,1))-AVERAGE(OFFSET($H$3,0,0,'Données projet'!$E$16+1,1))</f>
        <v>0</v>
      </c>
      <c r="FK38" s="59">
        <f t="shared" si="48"/>
        <v>0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197.78572767493569</v>
      </c>
      <c r="T39" s="59">
        <f t="shared" si="34"/>
        <v>288.66487031729008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9.6</v>
      </c>
      <c r="AI39" s="13">
        <f>IF('Données projet'!$A$62&gt;35,AI38+AH39-AQ38,IF(A39&lt;'Données projet'!$A$62,$AF$205^A39,IF(A39='Données projet'!$A$62,'Données projet'!$B$62,AI38+AH39-AQ38)))</f>
        <v>153.60000000000002</v>
      </c>
      <c r="AJ39" s="13">
        <f>AI39*VLOOKUP('Données projet'!$B$10,Paramètres!$A$1:$I$89,3,0)*VLOOKUP('Données projet'!$B$10,Paramètres!$A$1:$I$89,5,0)</f>
        <v>122.20416000000003</v>
      </c>
      <c r="AK39" s="13">
        <f t="shared" si="35"/>
        <v>32.188537573102472</v>
      </c>
      <c r="AL39" s="20">
        <f t="shared" si="4"/>
        <v>268.90061493982017</v>
      </c>
      <c r="AM39" s="59">
        <f t="shared" si="5"/>
        <v>562.23394827315349</v>
      </c>
      <c r="AN39" s="59">
        <f ca="1">AVERAGE(OFFSET($AM$3,0,0,'Données projet'!$E$10+1,1))-AVERAGE(OFFSET($H$3,0,0,'Données projet'!$E$10+1,1))</f>
        <v>219.43439115440339</v>
      </c>
      <c r="AO39" s="59">
        <f t="shared" si="36"/>
        <v>217.8880462742099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2.7668700431277364</v>
      </c>
      <c r="AV39" s="21">
        <f>EXP(-LN(2)/25)*AV38+(1-EXP(-LN(2)/25))/(LN(2)/25)*Calculateur!AQ39*Calculateur!AS39*VLOOKUP('Données projet'!$B$10,Paramètres!$A$1:$I$89,3,0)*0.475*44/12</f>
        <v>9.3005719736657912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12.067442016793528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</v>
      </c>
      <c r="BD39" s="12">
        <f>IF('Données projet'!$A$88&gt;35,BD38+BC39-BL38,IF(A39&lt;'Données projet'!$A$88,$BA$205^A39,IF(A39='Données projet'!$A$88,'Données projet'!$B$88,BD38+BC39-BL38)))</f>
        <v>104.00000000000003</v>
      </c>
      <c r="BE39" s="13">
        <f>BD39*VLOOKUP('Données projet'!$B$11,Paramètres!$A$1:$I$89,3,0)*VLOOKUP('Données projet'!$B$11,Paramètres!$A$1:$I$89,5,0)</f>
        <v>90.854400000000041</v>
      </c>
      <c r="BF39" s="13">
        <f t="shared" si="37"/>
        <v>24.771172249191284</v>
      </c>
      <c r="BG39" s="20">
        <f t="shared" si="7"/>
        <v>201.38120500067487</v>
      </c>
      <c r="BH39" s="59">
        <f t="shared" si="8"/>
        <v>494.71453833400818</v>
      </c>
      <c r="BI39" s="59">
        <f ca="1">AVERAGE(OFFSET($BH$3,0,0,'Données projet'!$E$11+1,1))-AVERAGE(OFFSET($H$3,0,0,'Données projet'!$E$11+1,1))</f>
        <v>175.73188403662408</v>
      </c>
      <c r="BJ39" s="59">
        <f t="shared" si="38"/>
        <v>152.02195399869032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5.3369963369963358</v>
      </c>
      <c r="BY39" s="12">
        <f>IF('Données projet'!$A$114&gt;35,BY38+BX39-CG38,IF(A39&lt;'Données projet'!$A$114,$BV$205^A39,IF(A39='Données projet'!$A$114,'Données projet'!$B$114,BY38+BX39-CG38)))</f>
        <v>119.72710622710622</v>
      </c>
      <c r="BZ39" s="13">
        <f>BY39*VLOOKUP('Données projet'!$B$12,Paramètres!$A$1:$I$89,3,0)*VLOOKUP('Données projet'!$B$12,Paramètres!$A$1:$I$89,5,0)</f>
        <v>108.32908571428571</v>
      </c>
      <c r="CA39" s="13">
        <f t="shared" si="39"/>
        <v>28.936954111534238</v>
      </c>
      <c r="CB39" s="20">
        <f t="shared" si="10"/>
        <v>239.07168602996975</v>
      </c>
      <c r="CC39" s="59">
        <f t="shared" si="11"/>
        <v>532.40501936330304</v>
      </c>
      <c r="CD39" s="59">
        <f ca="1">AVERAGE(OFFSET($CC$3,0,0,'Données projet'!$E$12+1,1))-AVERAGE(OFFSET($H$3,0,0,'Données projet'!$E$12+1,1))</f>
        <v>213.54857791046686</v>
      </c>
      <c r="CE39" s="59">
        <f t="shared" si="40"/>
        <v>138.46877538074244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97.540559999999971</v>
      </c>
      <c r="CV39" s="13">
        <f t="shared" si="41"/>
        <v>26.375223412308674</v>
      </c>
      <c r="CW39" s="20">
        <f t="shared" si="13"/>
        <v>215.81998944310419</v>
      </c>
      <c r="CX39" s="59">
        <f t="shared" si="14"/>
        <v>509.15332277643751</v>
      </c>
      <c r="CY39" s="59">
        <f ca="1">AVERAGE(OFFSET($CX$3,0,0,'Données projet'!$E$13+1,1))-AVERAGE(OFFSET($H$3,0,0,'Données projet'!$E$13+1,1))</f>
        <v>161.87883827031436</v>
      </c>
      <c r="CZ39" s="59">
        <f t="shared" si="42"/>
        <v>163.02076389611869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2.2147289043319307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2.2147289043319307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3.8</v>
      </c>
      <c r="DO39" s="12">
        <f>IF('Données projet'!$A$166&gt;35,DO38+DN39-DW38,IF(A39&lt;'Données projet'!$A$166,$DL$205^A39,IF(A39='Données projet'!$A$166,'Données projet'!$B$166,DO38+DN39-DW38)))</f>
        <v>71.799999999999969</v>
      </c>
      <c r="DP39" s="17">
        <f>DO39*VLOOKUP('Données projet'!$B$14,Paramètres!$A$1:$I$89,3,0)*VLOOKUP('Données projet'!$B$14,Paramètres!$A$1:$I$89,5,0)</f>
        <v>58.24415999999998</v>
      </c>
      <c r="DQ39" s="13">
        <f t="shared" si="43"/>
        <v>16.723573118879969</v>
      </c>
      <c r="DR39" s="20">
        <f t="shared" si="16"/>
        <v>130.56880184871591</v>
      </c>
      <c r="DS39" s="59">
        <f t="shared" si="17"/>
        <v>423.90213518204922</v>
      </c>
      <c r="DT39" s="59">
        <f ca="1">AVERAGE(OFFSET($DS$3,0,0,'Données projet'!$E$14+1,1))-AVERAGE(OFFSET($H$3,0,0,'Données projet'!$E$14+1,1))</f>
        <v>96.611230241682733</v>
      </c>
      <c r="DU39" s="59">
        <f t="shared" si="44"/>
        <v>78.711045514042041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1.3932718142499325</v>
      </c>
      <c r="ED39" s="22">
        <f t="shared" si="18"/>
        <v>1.3932718142499325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18.229670329670324</v>
      </c>
      <c r="EJ39" s="12">
        <f>IF('Données projet'!$A$192&gt;35,EJ38+EI39-ER38,IF(A39&lt;'Données projet'!$A$192,$EG$205^A39,IF(A39='Données projet'!$A$192,'Données projet'!$B$192,EJ38+EI39-ER38)))</f>
        <v>253.22197802197798</v>
      </c>
      <c r="EK39" s="17">
        <f>EJ39*VLOOKUP('Données projet'!$B$15,Paramètres!$A$1:$I$89,3,0)*VLOOKUP('Données projet'!$B$15,Paramètres!$A$1:$I$89,5,0)</f>
        <v>111.92411428571428</v>
      </c>
      <c r="EL39" s="13">
        <f t="shared" si="45"/>
        <v>29.783862371823506</v>
      </c>
      <c r="EM39" s="20">
        <f t="shared" si="19"/>
        <v>246.80805934521163</v>
      </c>
      <c r="EN39" s="59">
        <f t="shared" si="20"/>
        <v>540.14139267854489</v>
      </c>
      <c r="EO39" s="59">
        <f ca="1">AVERAGE(OFFSET($EN$3,0,0,'Données projet'!$E$15+1,1))-AVERAGE(OFFSET($H$3,0,0,'Données projet'!$E$15+1,1))</f>
        <v>188.61152573050066</v>
      </c>
      <c r="EP39" s="59">
        <f t="shared" si="46"/>
        <v>172.37050503841624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15.602694864836719</v>
      </c>
      <c r="EW39" s="21">
        <f>EXP(-LN(2)/25)*EW38+(1-EXP(-LN(2)/25))/(LN(2)/25)*Calculateur!ER39*Calculateur!ET39*VLOOKUP('Données projet'!$B$15,Paramètres!$A$1:$I$89,3,0)*0.475*44/12</f>
        <v>19.161311634742283</v>
      </c>
      <c r="EX39" s="21">
        <f>EXP(-LN(2)/2)*EX38+(1-EXP(-LN(2)/2))/(LN(2)/2)*ER39*EU39*VLOOKUP('Données projet'!$B$15,Paramètres!$A$1:$I$89,3,0)*0.475*44/12</f>
        <v>4.1508006030258056</v>
      </c>
      <c r="EY39" s="22">
        <f t="shared" si="21"/>
        <v>38.914807102604811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>
        <f>FE39*VLOOKUP('Données projet'!$B$16,Paramètres!$A$1:$I$89,3,0)*VLOOKUP('Données projet'!$B$16,Paramètres!$A$1:$I$89,5,0)</f>
        <v>0</v>
      </c>
      <c r="FG39" s="13" t="e">
        <f t="shared" si="47"/>
        <v>#NUM!</v>
      </c>
      <c r="FH39" s="20" t="e">
        <f t="shared" si="22"/>
        <v>#NUM!</v>
      </c>
      <c r="FI39" s="59" t="e">
        <f t="shared" si="23"/>
        <v>#NUM!</v>
      </c>
      <c r="FJ39" s="59">
        <f ca="1">AVERAGE(OFFSET($FI$3,0,0,'Données projet'!$E$16+1,1))-AVERAGE(OFFSET($H$3,0,0,'Données projet'!$E$16+1,1))</f>
        <v>0</v>
      </c>
      <c r="FK39" s="59">
        <f t="shared" si="48"/>
        <v>0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197.78572767493569</v>
      </c>
      <c r="T40" s="59">
        <f t="shared" si="34"/>
        <v>288.66487031729008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9.6</v>
      </c>
      <c r="AI40" s="13">
        <f>IF('Données projet'!$A$62&gt;35,AI39+AH40-AQ39,IF(A40&lt;'Données projet'!$A$62,$AF$205^A40,IF(A40='Données projet'!$A$62,'Données projet'!$B$62,AI39+AH40-AQ39)))</f>
        <v>163.20000000000002</v>
      </c>
      <c r="AJ40" s="13">
        <f>AI40*VLOOKUP('Données projet'!$B$10,Paramètres!$A$1:$I$89,3,0)*VLOOKUP('Données projet'!$B$10,Paramètres!$A$1:$I$89,5,0)</f>
        <v>129.84192000000002</v>
      </c>
      <c r="AK40" s="13">
        <f t="shared" si="35"/>
        <v>33.959829099416851</v>
      </c>
      <c r="AL40" s="20">
        <f t="shared" si="4"/>
        <v>285.288046348151</v>
      </c>
      <c r="AM40" s="59">
        <f t="shared" si="5"/>
        <v>578.62137968148431</v>
      </c>
      <c r="AN40" s="59">
        <f ca="1">AVERAGE(OFFSET($AM$3,0,0,'Données projet'!$E$10+1,1))-AVERAGE(OFFSET($H$3,0,0,'Données projet'!$E$10+1,1))</f>
        <v>219.43439115440339</v>
      </c>
      <c r="AO40" s="59">
        <f t="shared" si="36"/>
        <v>217.8880462742099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2.7126134092060887</v>
      </c>
      <c r="AV40" s="21">
        <f>EXP(-LN(2)/25)*AV39+(1-EXP(-LN(2)/25))/(LN(2)/25)*Calculateur!AQ40*Calculateur!AS40*VLOOKUP('Données projet'!$B$10,Paramètres!$A$1:$I$89,3,0)*0.475*44/12</f>
        <v>9.0462473439500766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11.758860753156165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</v>
      </c>
      <c r="BD40" s="12">
        <f>IF('Données projet'!$A$88&gt;35,BD39+BC40-BL39,IF(A40&lt;'Données projet'!$A$88,$BA$205^A40,IF(A40='Données projet'!$A$88,'Données projet'!$B$88,BD39+BC40-BL39)))</f>
        <v>110.00000000000003</v>
      </c>
      <c r="BE40" s="13">
        <f>BD40*VLOOKUP('Données projet'!$B$11,Paramètres!$A$1:$I$89,3,0)*VLOOKUP('Données projet'!$B$11,Paramètres!$A$1:$I$89,5,0)</f>
        <v>96.096000000000032</v>
      </c>
      <c r="BF40" s="13">
        <f t="shared" si="37"/>
        <v>26.029778784173352</v>
      </c>
      <c r="BG40" s="20">
        <f t="shared" si="7"/>
        <v>212.70239804910196</v>
      </c>
      <c r="BH40" s="59">
        <f t="shared" si="8"/>
        <v>506.0357313824353</v>
      </c>
      <c r="BI40" s="59">
        <f ca="1">AVERAGE(OFFSET($BH$3,0,0,'Données projet'!$E$11+1,1))-AVERAGE(OFFSET($H$3,0,0,'Données projet'!$E$11+1,1))</f>
        <v>175.73188403662408</v>
      </c>
      <c r="BJ40" s="59">
        <f t="shared" si="38"/>
        <v>152.02195399869032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5.3369963369963358</v>
      </c>
      <c r="BY40" s="12">
        <f>IF('Données projet'!$A$114&gt;35,BY39+BX40-CG39,IF(A40&lt;'Données projet'!$A$114,$BV$205^A40,IF(A40='Données projet'!$A$114,'Données projet'!$B$114,BY39+BX40-CG39)))</f>
        <v>125.06410256410255</v>
      </c>
      <c r="BZ40" s="13">
        <f>BY40*VLOOKUP('Données projet'!$B$12,Paramètres!$A$1:$I$89,3,0)*VLOOKUP('Données projet'!$B$12,Paramètres!$A$1:$I$89,5,0)</f>
        <v>113.15799999999999</v>
      </c>
      <c r="CA40" s="13">
        <f t="shared" si="39"/>
        <v>30.073803878601733</v>
      </c>
      <c r="CB40" s="20">
        <f t="shared" si="10"/>
        <v>249.46205842189795</v>
      </c>
      <c r="CC40" s="59">
        <f t="shared" si="11"/>
        <v>542.79539175523132</v>
      </c>
      <c r="CD40" s="59">
        <f ca="1">AVERAGE(OFFSET($CC$3,0,0,'Données projet'!$E$12+1,1))-AVERAGE(OFFSET($H$3,0,0,'Données projet'!$E$12+1,1))</f>
        <v>213.54857791046686</v>
      </c>
      <c r="CE40" s="59">
        <f t="shared" si="40"/>
        <v>138.46877538074244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103.58711999999998</v>
      </c>
      <c r="CV40" s="13">
        <f t="shared" si="41"/>
        <v>27.814818683067688</v>
      </c>
      <c r="CW40" s="20">
        <f t="shared" si="13"/>
        <v>228.85837653967619</v>
      </c>
      <c r="CX40" s="59">
        <f t="shared" si="14"/>
        <v>522.19170987300947</v>
      </c>
      <c r="CY40" s="59">
        <f ca="1">AVERAGE(OFFSET($CX$3,0,0,'Données projet'!$E$13+1,1))-AVERAGE(OFFSET($H$3,0,0,'Données projet'!$E$13+1,1))</f>
        <v>161.87883827031436</v>
      </c>
      <c r="CZ40" s="59">
        <f t="shared" si="42"/>
        <v>163.02076389611869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2.1541670259754429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2.1541670259754429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3.8</v>
      </c>
      <c r="DO40" s="12">
        <f>IF('Données projet'!$A$166&gt;35,DO39+DN40-DW39,IF(A40&lt;'Données projet'!$A$166,$DL$205^A40,IF(A40='Données projet'!$A$166,'Données projet'!$B$166,DO39+DN40-DW39)))</f>
        <v>75.599999999999966</v>
      </c>
      <c r="DP40" s="17">
        <f>DO40*VLOOKUP('Données projet'!$B$14,Paramètres!$A$1:$I$89,3,0)*VLOOKUP('Données projet'!$B$14,Paramètres!$A$1:$I$89,5,0)</f>
        <v>61.326719999999973</v>
      </c>
      <c r="DQ40" s="13">
        <f t="shared" si="43"/>
        <v>17.503277286124089</v>
      </c>
      <c r="DR40" s="20">
        <f t="shared" si="16"/>
        <v>137.29557860666608</v>
      </c>
      <c r="DS40" s="59">
        <f t="shared" si="17"/>
        <v>430.6289119399994</v>
      </c>
      <c r="DT40" s="59">
        <f ca="1">AVERAGE(OFFSET($DS$3,0,0,'Données projet'!$E$14+1,1))-AVERAGE(OFFSET($H$3,0,0,'Données projet'!$E$14+1,1))</f>
        <v>96.611230241682733</v>
      </c>
      <c r="DU40" s="59">
        <f t="shared" si="44"/>
        <v>78.711045514042041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0.98519194789221121</v>
      </c>
      <c r="ED40" s="22">
        <f t="shared" si="18"/>
        <v>0.98519194789221121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18.229670329670324</v>
      </c>
      <c r="EJ40" s="12">
        <f>IF('Données projet'!$A$192&gt;35,EJ39+EI40-ER39,IF(A40&lt;'Données projet'!$A$192,$EG$205^A40,IF(A40='Données projet'!$A$192,'Données projet'!$B$192,EJ39+EI40-ER39)))</f>
        <v>271.45164835164832</v>
      </c>
      <c r="EK40" s="17">
        <f>EJ40*VLOOKUP('Données projet'!$B$15,Paramètres!$A$1:$I$89,3,0)*VLOOKUP('Données projet'!$B$15,Paramètres!$A$1:$I$89,5,0)</f>
        <v>119.98162857142857</v>
      </c>
      <c r="EL40" s="13">
        <f t="shared" si="45"/>
        <v>31.6707144219212</v>
      </c>
      <c r="EM40" s="20">
        <f t="shared" si="19"/>
        <v>264.1278307134175</v>
      </c>
      <c r="EN40" s="59">
        <f t="shared" si="20"/>
        <v>557.46116404675081</v>
      </c>
      <c r="EO40" s="59">
        <f ca="1">AVERAGE(OFFSET($EN$3,0,0,'Données projet'!$E$15+1,1))-AVERAGE(OFFSET($H$3,0,0,'Données projet'!$E$15+1,1))</f>
        <v>188.61152573050066</v>
      </c>
      <c r="EP40" s="59">
        <f t="shared" si="46"/>
        <v>172.37050503841624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15.296735535241442</v>
      </c>
      <c r="EW40" s="21">
        <f>EXP(-LN(2)/25)*EW39+(1-EXP(-LN(2)/25))/(LN(2)/25)*Calculateur!ER40*Calculateur!ET40*VLOOKUP('Données projet'!$B$15,Paramètres!$A$1:$I$89,3,0)*0.475*44/12</f>
        <v>18.63734456044067</v>
      </c>
      <c r="EX40" s="21">
        <f>EXP(-LN(2)/2)*EX39+(1-EXP(-LN(2)/2))/(LN(2)/2)*ER40*EU40*VLOOKUP('Données projet'!$B$15,Paramètres!$A$1:$I$89,3,0)*0.475*44/12</f>
        <v>2.9350592537527582</v>
      </c>
      <c r="EY40" s="22">
        <f t="shared" si="21"/>
        <v>36.869139349434874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>
        <f>FE40*VLOOKUP('Données projet'!$B$16,Paramètres!$A$1:$I$89,3,0)*VLOOKUP('Données projet'!$B$16,Paramètres!$A$1:$I$89,5,0)</f>
        <v>0</v>
      </c>
      <c r="FG40" s="13" t="e">
        <f t="shared" si="47"/>
        <v>#NUM!</v>
      </c>
      <c r="FH40" s="20" t="e">
        <f t="shared" si="22"/>
        <v>#NUM!</v>
      </c>
      <c r="FI40" s="59" t="e">
        <f t="shared" si="23"/>
        <v>#NUM!</v>
      </c>
      <c r="FJ40" s="59">
        <f ca="1">AVERAGE(OFFSET($FI$3,0,0,'Données projet'!$E$16+1,1))-AVERAGE(OFFSET($H$3,0,0,'Données projet'!$E$16+1,1))</f>
        <v>0</v>
      </c>
      <c r="FK40" s="59">
        <f t="shared" si="48"/>
        <v>0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197.78572767493569</v>
      </c>
      <c r="T41" s="59">
        <f t="shared" si="34"/>
        <v>288.66487031729008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9.6</v>
      </c>
      <c r="AI41" s="13">
        <f>IF('Données projet'!$A$62&gt;35,AI40+AH41-AQ40,IF(A41&lt;'Données projet'!$A$62,$AF$205^A41,IF(A41='Données projet'!$A$62,'Données projet'!$B$62,AI40+AH41-AQ40)))</f>
        <v>172.8</v>
      </c>
      <c r="AJ41" s="13">
        <f>AI41*VLOOKUP('Données projet'!$B$10,Paramètres!$A$1:$I$89,3,0)*VLOOKUP('Données projet'!$B$10,Paramètres!$A$1:$I$89,5,0)</f>
        <v>137.47968000000003</v>
      </c>
      <c r="AK41" s="13">
        <f t="shared" si="35"/>
        <v>35.719026553355249</v>
      </c>
      <c r="AL41" s="20">
        <f t="shared" si="4"/>
        <v>301.65441391376049</v>
      </c>
      <c r="AM41" s="59">
        <f t="shared" si="5"/>
        <v>594.98774724709381</v>
      </c>
      <c r="AN41" s="59">
        <f ca="1">AVERAGE(OFFSET($AM$3,0,0,'Données projet'!$E$10+1,1))-AVERAGE(OFFSET($H$3,0,0,'Données projet'!$E$10+1,1))</f>
        <v>219.43439115440339</v>
      </c>
      <c r="AO41" s="59">
        <f t="shared" si="36"/>
        <v>217.8880462742099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2.6594207147823656</v>
      </c>
      <c r="AV41" s="21">
        <f>EXP(-LN(2)/25)*AV40+(1-EXP(-LN(2)/25))/(LN(2)/25)*Calculateur!AQ41*Calculateur!AS41*VLOOKUP('Données projet'!$B$10,Paramètres!$A$1:$I$89,3,0)*0.475*44/12</f>
        <v>8.7988772346082893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11.458297949390655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</v>
      </c>
      <c r="BD41" s="12">
        <f>IF('Données projet'!$A$88&gt;35,BD40+BC41-BL40,IF(A41&lt;'Données projet'!$A$88,$BA$205^A41,IF(A41='Données projet'!$A$88,'Données projet'!$B$88,BD40+BC41-BL40)))</f>
        <v>116.00000000000003</v>
      </c>
      <c r="BE41" s="13">
        <f>BD41*VLOOKUP('Données projet'!$B$11,Paramètres!$A$1:$I$89,3,0)*VLOOKUP('Données projet'!$B$11,Paramètres!$A$1:$I$89,5,0)</f>
        <v>101.33760000000004</v>
      </c>
      <c r="BF41" s="13">
        <f t="shared" si="37"/>
        <v>27.280415454305565</v>
      </c>
      <c r="BG41" s="20">
        <f t="shared" si="7"/>
        <v>224.00971024958224</v>
      </c>
      <c r="BH41" s="59">
        <f t="shared" si="8"/>
        <v>517.34304358291558</v>
      </c>
      <c r="BI41" s="59">
        <f ca="1">AVERAGE(OFFSET($BH$3,0,0,'Données projet'!$E$11+1,1))-AVERAGE(OFFSET($H$3,0,0,'Données projet'!$E$11+1,1))</f>
        <v>175.73188403662408</v>
      </c>
      <c r="BJ41" s="59">
        <f t="shared" si="38"/>
        <v>152.02195399869032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5.3369963369963358</v>
      </c>
      <c r="BY41" s="12">
        <f>IF('Données projet'!$A$114&gt;35,BY40+BX41-CG40,IF(A41&lt;'Données projet'!$A$114,$BV$205^A41,IF(A41='Données projet'!$A$114,'Données projet'!$B$114,BY40+BX41-CG40)))</f>
        <v>130.40109890109889</v>
      </c>
      <c r="BZ41" s="13">
        <f>BY41*VLOOKUP('Données projet'!$B$12,Paramètres!$A$1:$I$89,3,0)*VLOOKUP('Données projet'!$B$12,Paramètres!$A$1:$I$89,5,0)</f>
        <v>117.98691428571428</v>
      </c>
      <c r="CA41" s="13">
        <f t="shared" si="39"/>
        <v>31.205018808985951</v>
      </c>
      <c r="CB41" s="20">
        <f t="shared" si="10"/>
        <v>259.8426168066029</v>
      </c>
      <c r="CC41" s="59">
        <f t="shared" si="11"/>
        <v>553.17595013993628</v>
      </c>
      <c r="CD41" s="59">
        <f ca="1">AVERAGE(OFFSET($CC$3,0,0,'Données projet'!$E$12+1,1))-AVERAGE(OFFSET($H$3,0,0,'Données projet'!$E$12+1,1))</f>
        <v>213.54857791046686</v>
      </c>
      <c r="CE41" s="59">
        <f t="shared" si="40"/>
        <v>138.46877538074244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109.63367999999997</v>
      </c>
      <c r="CV41" s="13">
        <f t="shared" si="41"/>
        <v>29.244659974709236</v>
      </c>
      <c r="CW41" s="20">
        <f t="shared" si="13"/>
        <v>241.87977545595186</v>
      </c>
      <c r="CX41" s="59">
        <f t="shared" si="14"/>
        <v>535.21310878928512</v>
      </c>
      <c r="CY41" s="59">
        <f ca="1">AVERAGE(OFFSET($CX$3,0,0,'Données projet'!$E$13+1,1))-AVERAGE(OFFSET($H$3,0,0,'Données projet'!$E$13+1,1))</f>
        <v>161.87883827031436</v>
      </c>
      <c r="CZ41" s="59">
        <f t="shared" si="42"/>
        <v>163.02076389611869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2.0952612153674237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2.0952612153674237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3.8</v>
      </c>
      <c r="DO41" s="12">
        <f>IF('Données projet'!$A$166&gt;35,DO40+DN41-DW40,IF(A41&lt;'Données projet'!$A$166,$DL$205^A41,IF(A41='Données projet'!$A$166,'Données projet'!$B$166,DO40+DN41-DW40)))</f>
        <v>79.399999999999963</v>
      </c>
      <c r="DP41" s="17">
        <f>DO41*VLOOKUP('Données projet'!$B$14,Paramètres!$A$1:$I$89,3,0)*VLOOKUP('Données projet'!$B$14,Paramètres!$A$1:$I$89,5,0)</f>
        <v>64.409279999999981</v>
      </c>
      <c r="DQ41" s="13">
        <f t="shared" si="43"/>
        <v>18.278430861487756</v>
      </c>
      <c r="DR41" s="20">
        <f t="shared" si="16"/>
        <v>144.01442975042448</v>
      </c>
      <c r="DS41" s="59">
        <f t="shared" si="17"/>
        <v>437.3477630837578</v>
      </c>
      <c r="DT41" s="59">
        <f ca="1">AVERAGE(OFFSET($DS$3,0,0,'Données projet'!$E$14+1,1))-AVERAGE(OFFSET($H$3,0,0,'Données projet'!$E$14+1,1))</f>
        <v>96.611230241682733</v>
      </c>
      <c r="DU41" s="59">
        <f t="shared" si="44"/>
        <v>78.711045514042041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0.69663590712496637</v>
      </c>
      <c r="ED41" s="22">
        <f t="shared" si="18"/>
        <v>0.69663590712496637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18.229670329670324</v>
      </c>
      <c r="EJ41" s="12">
        <f>IF('Données projet'!$A$192&gt;35,EJ40+EI41-ER40,IF(A41&lt;'Données projet'!$A$192,$EG$205^A41,IF(A41='Données projet'!$A$192,'Données projet'!$B$192,EJ40+EI41-ER40)))</f>
        <v>289.68131868131866</v>
      </c>
      <c r="EK41" s="17">
        <f>EJ41*VLOOKUP('Données projet'!$B$15,Paramètres!$A$1:$I$89,3,0)*VLOOKUP('Données projet'!$B$15,Paramètres!$A$1:$I$89,5,0)</f>
        <v>128.03914285714285</v>
      </c>
      <c r="EL41" s="13">
        <f t="shared" si="45"/>
        <v>33.542862812593</v>
      </c>
      <c r="EM41" s="20">
        <f t="shared" si="19"/>
        <v>281.42199320812324</v>
      </c>
      <c r="EN41" s="59">
        <f t="shared" si="20"/>
        <v>574.7553265414565</v>
      </c>
      <c r="EO41" s="59">
        <f ca="1">AVERAGE(OFFSET($EN$3,0,0,'Données projet'!$E$15+1,1))-AVERAGE(OFFSET($H$3,0,0,'Données projet'!$E$15+1,1))</f>
        <v>188.61152573050066</v>
      </c>
      <c r="EP41" s="59">
        <f t="shared" si="46"/>
        <v>172.37050503841624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14.996775881482764</v>
      </c>
      <c r="EW41" s="21">
        <f>EXP(-LN(2)/25)*EW40+(1-EXP(-LN(2)/25))/(LN(2)/25)*Calculateur!ER41*Calculateur!ET41*VLOOKUP('Données projet'!$B$15,Paramètres!$A$1:$I$89,3,0)*0.475*44/12</f>
        <v>18.127705393340065</v>
      </c>
      <c r="EX41" s="21">
        <f>EXP(-LN(2)/2)*EX40+(1-EXP(-LN(2)/2))/(LN(2)/2)*ER41*EU41*VLOOKUP('Données projet'!$B$15,Paramètres!$A$1:$I$89,3,0)*0.475*44/12</f>
        <v>2.0754003015129032</v>
      </c>
      <c r="EY41" s="22">
        <f t="shared" si="21"/>
        <v>35.199881576335727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>
        <f>FE41*VLOOKUP('Données projet'!$B$16,Paramètres!$A$1:$I$89,3,0)*VLOOKUP('Données projet'!$B$16,Paramètres!$A$1:$I$89,5,0)</f>
        <v>0</v>
      </c>
      <c r="FG41" s="13" t="e">
        <f t="shared" si="47"/>
        <v>#NUM!</v>
      </c>
      <c r="FH41" s="20" t="e">
        <f t="shared" si="22"/>
        <v>#NUM!</v>
      </c>
      <c r="FI41" s="59" t="e">
        <f t="shared" si="23"/>
        <v>#NUM!</v>
      </c>
      <c r="FJ41" s="59">
        <f ca="1">AVERAGE(OFFSET($FI$3,0,0,'Données projet'!$E$16+1,1))-AVERAGE(OFFSET($H$3,0,0,'Données projet'!$E$16+1,1))</f>
        <v>0</v>
      </c>
      <c r="FK41" s="59">
        <f t="shared" si="48"/>
        <v>0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197.78572767493569</v>
      </c>
      <c r="T42" s="59">
        <f t="shared" si="34"/>
        <v>288.66487031729008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9.6</v>
      </c>
      <c r="AI42" s="13">
        <f>IF('Données projet'!$A$62&gt;35,AI41+AH42-AQ41,IF(A42&lt;'Données projet'!$A$62,$AF$205^A42,IF(A42='Données projet'!$A$62,'Données projet'!$B$62,AI41+AH42-AQ41)))</f>
        <v>182.4</v>
      </c>
      <c r="AJ42" s="13">
        <f>AI42*VLOOKUP('Données projet'!$B$10,Paramètres!$A$1:$I$89,3,0)*VLOOKUP('Données projet'!$B$10,Paramètres!$A$1:$I$89,5,0)</f>
        <v>145.11744000000002</v>
      </c>
      <c r="AK42" s="13">
        <f t="shared" si="35"/>
        <v>37.466878406916173</v>
      </c>
      <c r="AL42" s="20">
        <f t="shared" si="4"/>
        <v>318.00102122537902</v>
      </c>
      <c r="AM42" s="59">
        <f t="shared" si="5"/>
        <v>611.33435455871233</v>
      </c>
      <c r="AN42" s="59">
        <f ca="1">AVERAGE(OFFSET($AM$3,0,0,'Données projet'!$E$10+1,1))-AVERAGE(OFFSET($H$3,0,0,'Données projet'!$E$10+1,1))</f>
        <v>219.43439115440339</v>
      </c>
      <c r="AO42" s="59">
        <f t="shared" si="36"/>
        <v>217.8880462742099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2.6072710966519517</v>
      </c>
      <c r="AV42" s="21">
        <f>EXP(-LN(2)/25)*AV41+(1-EXP(-LN(2)/25))/(LN(2)/25)*Calculateur!AQ42*Calculateur!AS42*VLOOKUP('Données projet'!$B$10,Paramètres!$A$1:$I$89,3,0)*0.475*44/12</f>
        <v>8.5582714739150827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11.165542570567034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</v>
      </c>
      <c r="BD42" s="12">
        <f>IF('Données projet'!$A$88&gt;35,BD41+BC42-BL41,IF(A42&lt;'Données projet'!$A$88,$BA$205^A42,IF(A42='Données projet'!$A$88,'Données projet'!$B$88,BD41+BC42-BL41)))</f>
        <v>122.00000000000003</v>
      </c>
      <c r="BE42" s="13">
        <f>BD42*VLOOKUP('Données projet'!$B$11,Paramètres!$A$1:$I$89,3,0)*VLOOKUP('Données projet'!$B$11,Paramètres!$A$1:$I$89,5,0)</f>
        <v>106.57920000000004</v>
      </c>
      <c r="BF42" s="13">
        <f t="shared" si="37"/>
        <v>28.523541515222963</v>
      </c>
      <c r="BG42" s="20">
        <f t="shared" si="7"/>
        <v>235.30394147234674</v>
      </c>
      <c r="BH42" s="59">
        <f t="shared" si="8"/>
        <v>528.63727480568002</v>
      </c>
      <c r="BI42" s="59">
        <f ca="1">AVERAGE(OFFSET($BH$3,0,0,'Données projet'!$E$11+1,1))-AVERAGE(OFFSET($H$3,0,0,'Données projet'!$E$11+1,1))</f>
        <v>175.73188403662408</v>
      </c>
      <c r="BJ42" s="59">
        <f t="shared" si="38"/>
        <v>152.02195399869032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5.3369963369963358</v>
      </c>
      <c r="BY42" s="12">
        <f>IF('Données projet'!$A$114&gt;35,BY41+BX42-CG41,IF(A42&lt;'Données projet'!$A$114,$BV$205^A42,IF(A42='Données projet'!$A$114,'Données projet'!$B$114,BY41+BX42-CG41)))</f>
        <v>135.73809523809524</v>
      </c>
      <c r="BZ42" s="13">
        <f>BY42*VLOOKUP('Données projet'!$B$12,Paramètres!$A$1:$I$89,3,0)*VLOOKUP('Données projet'!$B$12,Paramètres!$A$1:$I$89,5,0)</f>
        <v>122.81582857142857</v>
      </c>
      <c r="CA42" s="13">
        <f t="shared" si="39"/>
        <v>32.330855900842984</v>
      </c>
      <c r="CB42" s="20">
        <f t="shared" si="10"/>
        <v>270.21380878920627</v>
      </c>
      <c r="CC42" s="59">
        <f t="shared" si="11"/>
        <v>563.54714212253953</v>
      </c>
      <c r="CD42" s="59">
        <f ca="1">AVERAGE(OFFSET($CC$3,0,0,'Données projet'!$E$12+1,1))-AVERAGE(OFFSET($H$3,0,0,'Données projet'!$E$12+1,1))</f>
        <v>213.54857791046686</v>
      </c>
      <c r="CE42" s="59">
        <f t="shared" si="40"/>
        <v>138.46877538074244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115.68023999999997</v>
      </c>
      <c r="CV42" s="13">
        <f t="shared" si="41"/>
        <v>30.665346560819799</v>
      </c>
      <c r="CW42" s="20">
        <f t="shared" si="13"/>
        <v>254.88522992676107</v>
      </c>
      <c r="CX42" s="59">
        <f t="shared" si="14"/>
        <v>548.21856326009436</v>
      </c>
      <c r="CY42" s="59">
        <f ca="1">AVERAGE(OFFSET($CX$3,0,0,'Données projet'!$E$13+1,1))-AVERAGE(OFFSET($H$3,0,0,'Données projet'!$E$13+1,1))</f>
        <v>161.87883827031436</v>
      </c>
      <c r="CZ42" s="59">
        <f t="shared" si="42"/>
        <v>163.02076389611869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2.0379661872482031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2.0379661872482031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3.8</v>
      </c>
      <c r="DO42" s="12">
        <f>IF('Données projet'!$A$166&gt;35,DO41+DN42-DW41,IF(A42&lt;'Données projet'!$A$166,$DL$205^A42,IF(A42='Données projet'!$A$166,'Données projet'!$B$166,DO41+DN42-DW41)))</f>
        <v>83.19999999999996</v>
      </c>
      <c r="DP42" s="17">
        <f>DO42*VLOOKUP('Données projet'!$B$14,Paramètres!$A$1:$I$89,3,0)*VLOOKUP('Données projet'!$B$14,Paramètres!$A$1:$I$89,5,0)</f>
        <v>67.491839999999968</v>
      </c>
      <c r="DQ42" s="13">
        <f t="shared" si="43"/>
        <v>19.049276495376766</v>
      </c>
      <c r="DR42" s="20">
        <f t="shared" si="16"/>
        <v>150.72577789611449</v>
      </c>
      <c r="DS42" s="59">
        <f t="shared" si="17"/>
        <v>444.05911122944781</v>
      </c>
      <c r="DT42" s="59">
        <f ca="1">AVERAGE(OFFSET($DS$3,0,0,'Données projet'!$E$14+1,1))-AVERAGE(OFFSET($H$3,0,0,'Données projet'!$E$14+1,1))</f>
        <v>96.611230241682733</v>
      </c>
      <c r="DU42" s="59">
        <f t="shared" si="44"/>
        <v>78.711045514042041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0.49259597394610566</v>
      </c>
      <c r="ED42" s="22">
        <f t="shared" si="18"/>
        <v>0.49259597394610566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18.229670329670324</v>
      </c>
      <c r="EJ42" s="12">
        <f>IF('Données projet'!$A$192&gt;35,EJ41+EI42-ER41,IF(A42&lt;'Données projet'!$A$192,$EG$205^A42,IF(A42='Données projet'!$A$192,'Données projet'!$B$192,EJ41+EI42-ER41)))</f>
        <v>307.910989010989</v>
      </c>
      <c r="EK42" s="17">
        <f>EJ42*VLOOKUP('Données projet'!$B$15,Paramètres!$A$1:$I$89,3,0)*VLOOKUP('Données projet'!$B$15,Paramètres!$A$1:$I$89,5,0)</f>
        <v>136.09665714285714</v>
      </c>
      <c r="EL42" s="13">
        <f t="shared" si="45"/>
        <v>35.401338180177596</v>
      </c>
      <c r="EM42" s="20">
        <f t="shared" si="19"/>
        <v>298.69234185428553</v>
      </c>
      <c r="EN42" s="59">
        <f t="shared" si="20"/>
        <v>592.02567518761884</v>
      </c>
      <c r="EO42" s="59">
        <f ca="1">AVERAGE(OFFSET($EN$3,0,0,'Données projet'!$E$15+1,1))-AVERAGE(OFFSET($H$3,0,0,'Données projet'!$E$15+1,1))</f>
        <v>188.61152573050066</v>
      </c>
      <c r="EP42" s="59">
        <f t="shared" si="46"/>
        <v>172.37050503841624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14.702698253576971</v>
      </c>
      <c r="EW42" s="21">
        <f>EXP(-LN(2)/25)*EW41+(1-EXP(-LN(2)/25))/(LN(2)/25)*Calculateur!ER42*Calculateur!ET42*VLOOKUP('Données projet'!$B$15,Paramètres!$A$1:$I$89,3,0)*0.475*44/12</f>
        <v>17.632002336064584</v>
      </c>
      <c r="EX42" s="21">
        <f>EXP(-LN(2)/2)*EX41+(1-EXP(-LN(2)/2))/(LN(2)/2)*ER42*EU42*VLOOKUP('Données projet'!$B$15,Paramètres!$A$1:$I$89,3,0)*0.475*44/12</f>
        <v>1.4675296268763793</v>
      </c>
      <c r="EY42" s="22">
        <f t="shared" si="21"/>
        <v>33.802230216517934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>
        <f>FE42*VLOOKUP('Données projet'!$B$16,Paramètres!$A$1:$I$89,3,0)*VLOOKUP('Données projet'!$B$16,Paramètres!$A$1:$I$89,5,0)</f>
        <v>0</v>
      </c>
      <c r="FG42" s="13" t="e">
        <f t="shared" si="47"/>
        <v>#NUM!</v>
      </c>
      <c r="FH42" s="20" t="e">
        <f t="shared" si="22"/>
        <v>#NUM!</v>
      </c>
      <c r="FI42" s="59" t="e">
        <f t="shared" si="23"/>
        <v>#NUM!</v>
      </c>
      <c r="FJ42" s="59">
        <f ca="1">AVERAGE(OFFSET($FI$3,0,0,'Données projet'!$E$16+1,1))-AVERAGE(OFFSET($H$3,0,0,'Données projet'!$E$16+1,1))</f>
        <v>0</v>
      </c>
      <c r="FK42" s="59">
        <f t="shared" si="48"/>
        <v>0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197.78572767493569</v>
      </c>
      <c r="T43" s="59">
        <f t="shared" si="34"/>
        <v>288.66487031729008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192</v>
      </c>
      <c r="AG43" s="12">
        <f>VLOOKUP(A43,'Données projet'!$A$61:$I$81,9,0)</f>
        <v>9.6</v>
      </c>
      <c r="AH43" s="12">
        <f t="array" ref="AH43">INDEX(AG:AG,MIN(IF(ISNUMBER(AG43:AG239),ROW(AG43:AG239),"")))</f>
        <v>9.6</v>
      </c>
      <c r="AI43" s="13">
        <f>IF('Données projet'!$A$62&gt;35,AI42+AH43-AQ42,IF(A43&lt;'Données projet'!$A$62,$AF$205^A43,IF(A43='Données projet'!$A$62,'Données projet'!$B$62,AI42+AH43-AQ42)))</f>
        <v>192</v>
      </c>
      <c r="AJ43" s="13">
        <f>AI43*VLOOKUP('Données projet'!$B$10,Paramètres!$A$1:$I$89,3,0)*VLOOKUP('Données projet'!$B$10,Paramètres!$A$1:$I$89,5,0)</f>
        <v>152.7552</v>
      </c>
      <c r="AK43" s="13">
        <f t="shared" si="35"/>
        <v>39.204049895729561</v>
      </c>
      <c r="AL43" s="20">
        <f t="shared" si="4"/>
        <v>334.32902690172892</v>
      </c>
      <c r="AM43" s="59">
        <f t="shared" si="5"/>
        <v>627.66236023506224</v>
      </c>
      <c r="AN43" s="59">
        <f ca="1">AVERAGE(OFFSET($AM$3,0,0,'Données projet'!$E$10+1,1))-AVERAGE(OFFSET($H$3,0,0,'Données projet'!$E$10+1,1))</f>
        <v>219.43439115440339</v>
      </c>
      <c r="AO43" s="59">
        <f t="shared" si="36"/>
        <v>217.8880462742099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0.20670000000000002</v>
      </c>
      <c r="AS43" s="16">
        <f>IF(ISNA(VLOOKUP(A43,'Données projet'!$A$61:$I$81,6,0)),0%,VLOOKUP(A43,'Données projet'!$A$61:$I$81,6,0)*VLOOKUP('Données projet'!$B$10,Paramètres!$A$1:$I$89,7,0))</f>
        <v>0.20670000000000002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7.6464091059710979</v>
      </c>
      <c r="AV43" s="21">
        <f>EXP(-LN(2)/25)*AV42+(1-EXP(-LN(2)/25))/(LN(2)/25)*Calculateur!AQ43*Calculateur!AS43*VLOOKUP('Données projet'!$B$10,Paramètres!$A$1:$I$89,3,0)*0.475*44/12</f>
        <v>13.39446778277841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21.040876888749509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128</v>
      </c>
      <c r="BB43" s="12">
        <f>VLOOKUP(A43,'Données projet'!$A$87:$I$107,9,0)</f>
        <v>6</v>
      </c>
      <c r="BC43" s="12">
        <f t="array" ref="BC43">INDEX(BB:BB,MIN(IF(ISNUMBER(BB43:BB239),ROW(BB43:BB239),"")))</f>
        <v>6</v>
      </c>
      <c r="BD43" s="12">
        <f>IF('Données projet'!$A$88&gt;35,BD42+BC43-BL42,IF(A43&lt;'Données projet'!$A$88,$BA$205^A43,IF(A43='Données projet'!$A$88,'Données projet'!$B$88,BD42+BC43-BL42)))</f>
        <v>128.00000000000003</v>
      </c>
      <c r="BE43" s="13">
        <f>BD43*VLOOKUP('Données projet'!$B$11,Paramètres!$A$1:$I$89,3,0)*VLOOKUP('Données projet'!$B$11,Paramètres!$A$1:$I$89,5,0)</f>
        <v>111.82080000000003</v>
      </c>
      <c r="BF43" s="13">
        <f t="shared" si="37"/>
        <v>29.759568497877257</v>
      </c>
      <c r="BG43" s="20">
        <f t="shared" si="7"/>
        <v>246.5858084671363</v>
      </c>
      <c r="BH43" s="59">
        <f t="shared" si="8"/>
        <v>539.91914180046956</v>
      </c>
      <c r="BI43" s="59">
        <f ca="1">AVERAGE(OFFSET($BH$3,0,0,'Données projet'!$E$11+1,1))-AVERAGE(OFFSET($H$3,0,0,'Données projet'!$E$11+1,1))</f>
        <v>175.73188403662408</v>
      </c>
      <c r="BJ43" s="59">
        <f t="shared" si="38"/>
        <v>152.02195399869032</v>
      </c>
      <c r="BK43" s="15">
        <f>IF(ISNA(VLOOKUP(A43,'Données projet'!$A$87:$I$107,3,0)),0,VLOOKUP(A43,'Données projet'!$A$87:$I$107,3,0))</f>
        <v>4</v>
      </c>
      <c r="BL43" s="15" t="str">
        <f>IF(ISNA(VLOOKUP(A43,'Données projet'!$A$87:$I$107,4,0)),0,VLOOKUP(A43,'Données projet'!$A$87:$I$107,4,0))</f>
        <v>16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5.3369963369963358</v>
      </c>
      <c r="BY43" s="12">
        <f>IF('Données projet'!$A$114&gt;35,BY42+BX43-CG42,IF(A43&lt;'Données projet'!$A$114,$BV$205^A43,IF(A43='Données projet'!$A$114,'Données projet'!$B$114,BY42+BX43-CG42)))</f>
        <v>141.07509157509156</v>
      </c>
      <c r="BZ43" s="13">
        <f>BY43*VLOOKUP('Données projet'!$B$12,Paramètres!$A$1:$I$89,3,0)*VLOOKUP('Données projet'!$B$12,Paramètres!$A$1:$I$89,5,0)</f>
        <v>127.64474285714284</v>
      </c>
      <c r="CA43" s="13">
        <f t="shared" si="39"/>
        <v>33.451550798682433</v>
      </c>
      <c r="CB43" s="20">
        <f t="shared" si="10"/>
        <v>280.57604478389567</v>
      </c>
      <c r="CC43" s="59">
        <f t="shared" si="11"/>
        <v>573.90937811722893</v>
      </c>
      <c r="CD43" s="59">
        <f ca="1">AVERAGE(OFFSET($CC$3,0,0,'Données projet'!$E$12+1,1))-AVERAGE(OFFSET($H$3,0,0,'Données projet'!$E$12+1,1))</f>
        <v>213.54857791046686</v>
      </c>
      <c r="CE43" s="59">
        <f t="shared" si="40"/>
        <v>138.46877538074244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121.72679999999995</v>
      </c>
      <c r="CV43" s="13">
        <f t="shared" si="41"/>
        <v>32.07741152903197</v>
      </c>
      <c r="CW43" s="20">
        <f t="shared" si="13"/>
        <v>267.87566841306398</v>
      </c>
      <c r="CX43" s="59">
        <f t="shared" si="14"/>
        <v>561.20900174639723</v>
      </c>
      <c r="CY43" s="59">
        <f ca="1">AVERAGE(OFFSET($CX$3,0,0,'Données projet'!$E$13+1,1))-AVERAGE(OFFSET($H$3,0,0,'Données projet'!$E$13+1,1))</f>
        <v>161.87883827031436</v>
      </c>
      <c r="CZ43" s="59">
        <f t="shared" si="42"/>
        <v>163.02076389611869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2.6500000000000003E-2</v>
      </c>
      <c r="DD43" s="16">
        <f>IF(ISNA(VLOOKUP(A43,'Données projet'!$A$139:$I$159,6,0)),0%,VLOOKUP(A43,'Données projet'!$A$139:$I$159,6,0)*VLOOKUP('Données projet'!$B$13,Paramètres!$A$1:$I$89,7,0))</f>
        <v>0.17490000000000003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0.48944855819674515</v>
      </c>
      <c r="DG43" s="21">
        <f>EXP(-LN(2)/25)*DG42+(1-EXP(-LN(2)/25))/(LN(2)/25)*Calculateur!DB43*Calculateur!DD43*VLOOKUP('Données projet'!$B$13,Paramètres!$A$1:$I$89,3,0)*0.475*44/12</f>
        <v>5.1998792186946972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5.6893277768914423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87</v>
      </c>
      <c r="DM43" s="12">
        <f>VLOOKUP(A43,'Données projet'!$A$165:$I$185,9,0)</f>
        <v>3.8</v>
      </c>
      <c r="DN43" s="12">
        <f t="array" ref="DN43">INDEX(DM:DM,MIN(IF(ISNUMBER(DM43:DM239),ROW(DM43:DM239),"")))</f>
        <v>3.8</v>
      </c>
      <c r="DO43" s="12">
        <f>IF('Données projet'!$A$166&gt;35,DO42+DN43-DW42,IF(A43&lt;'Données projet'!$A$166,$DL$205^A43,IF(A43='Données projet'!$A$166,'Données projet'!$B$166,DO42+DN43-DW42)))</f>
        <v>86.999999999999957</v>
      </c>
      <c r="DP43" s="17">
        <f>DO43*VLOOKUP('Données projet'!$B$14,Paramètres!$A$1:$I$89,3,0)*VLOOKUP('Données projet'!$B$14,Paramètres!$A$1:$I$89,5,0)</f>
        <v>70.574399999999969</v>
      </c>
      <c r="DQ43" s="13">
        <f t="shared" si="43"/>
        <v>19.816033420152426</v>
      </c>
      <c r="DR43" s="20">
        <f t="shared" si="16"/>
        <v>157.43000487343207</v>
      </c>
      <c r="DS43" s="59">
        <f t="shared" si="17"/>
        <v>450.76333820676541</v>
      </c>
      <c r="DT43" s="59">
        <f ca="1">AVERAGE(OFFSET($DS$3,0,0,'Données projet'!$E$14+1,1))-AVERAGE(OFFSET($H$3,0,0,'Données projet'!$E$14+1,1))</f>
        <v>96.611230241682733</v>
      </c>
      <c r="DU43" s="59">
        <f t="shared" si="44"/>
        <v>78.711045514042041</v>
      </c>
      <c r="DV43" s="15">
        <f>IF(ISNA(VLOOKUP(A43,'Données projet'!$A$165:$I$185,3,0)),0,VLOOKUP(A43,'Données projet'!$A$165:$I$185,3,0))</f>
        <v>4</v>
      </c>
      <c r="DW43" s="15">
        <f>IF(ISNA(VLOOKUP(A43,'Données projet'!$A$165:$I$185,4,0)),0,VLOOKUP(A43,'Données projet'!$A$165:$I$185,4,0))</f>
        <v>8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4.3000000000000003E-2</v>
      </c>
      <c r="DZ43" s="16">
        <f>IF(ISNA(VLOOKUP(A43,'Données projet'!$A$165:$I$185,7,0)),0%,VLOOKUP(A43,'Données projet'!$A$165:$I$185,7,0))</f>
        <v>0.3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0.30726998329507771</v>
      </c>
      <c r="EC43" s="21">
        <f>EXP(-LN(2)/2)*EC42+(1-EXP(-LN(2)/2))/(LN(2)/2)*DW43*DZ43*VLOOKUP('Données projet'!$B$14,Paramètres!$A$1:$I$89,3,0)*0.475*44/12</f>
        <v>2.1852516330694214</v>
      </c>
      <c r="ED43" s="22">
        <f t="shared" si="18"/>
        <v>2.492521616364499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18.229670329670324</v>
      </c>
      <c r="EJ43" s="12">
        <f>IF('Données projet'!$A$192&gt;35,EJ42+EI43-ER42,IF(A43&lt;'Données projet'!$A$192,$EG$205^A43,IF(A43='Données projet'!$A$192,'Données projet'!$B$192,EJ42+EI43-ER42)))</f>
        <v>326.14065934065934</v>
      </c>
      <c r="EK43" s="17">
        <f>EJ43*VLOOKUP('Données projet'!$B$15,Paramètres!$A$1:$I$89,3,0)*VLOOKUP('Données projet'!$B$15,Paramètres!$A$1:$I$89,5,0)</f>
        <v>144.15417142857143</v>
      </c>
      <c r="EL43" s="13">
        <f t="shared" si="45"/>
        <v>37.24704223050739</v>
      </c>
      <c r="EM43" s="20">
        <f t="shared" si="19"/>
        <v>315.94044712289559</v>
      </c>
      <c r="EN43" s="59">
        <f t="shared" si="20"/>
        <v>609.27378045622891</v>
      </c>
      <c r="EO43" s="59">
        <f ca="1">AVERAGE(OFFSET($EN$3,0,0,'Données projet'!$E$15+1,1))-AVERAGE(OFFSET($H$3,0,0,'Données projet'!$E$15+1,1))</f>
        <v>188.61152573050066</v>
      </c>
      <c r="EP43" s="59">
        <f t="shared" si="46"/>
        <v>172.37050503841624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14.414387308584768</v>
      </c>
      <c r="EW43" s="21">
        <f>EXP(-LN(2)/25)*EW42+(1-EXP(-LN(2)/25))/(LN(2)/25)*Calculateur!ER43*Calculateur!ET43*VLOOKUP('Données projet'!$B$15,Paramètres!$A$1:$I$89,3,0)*0.475*44/12</f>
        <v>17.149854304958193</v>
      </c>
      <c r="EX43" s="21">
        <f>EXP(-LN(2)/2)*EX42+(1-EXP(-LN(2)/2))/(LN(2)/2)*ER43*EU43*VLOOKUP('Données projet'!$B$15,Paramètres!$A$1:$I$89,3,0)*0.475*44/12</f>
        <v>1.0377001507564518</v>
      </c>
      <c r="EY43" s="22">
        <f t="shared" si="21"/>
        <v>32.601941764299411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>
        <f>FE43*VLOOKUP('Données projet'!$B$16,Paramètres!$A$1:$I$89,3,0)*VLOOKUP('Données projet'!$B$16,Paramètres!$A$1:$I$89,5,0)</f>
        <v>0</v>
      </c>
      <c r="FG43" s="13" t="e">
        <f t="shared" si="47"/>
        <v>#NUM!</v>
      </c>
      <c r="FH43" s="20" t="e">
        <f t="shared" si="22"/>
        <v>#NUM!</v>
      </c>
      <c r="FI43" s="59" t="e">
        <f t="shared" si="23"/>
        <v>#NUM!</v>
      </c>
      <c r="FJ43" s="59">
        <f ca="1">AVERAGE(OFFSET($FI$3,0,0,'Données projet'!$E$16+1,1))-AVERAGE(OFFSET($H$3,0,0,'Données projet'!$E$16+1,1))</f>
        <v>0</v>
      </c>
      <c r="FK43" s="59">
        <f t="shared" si="48"/>
        <v>0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197.78572767493569</v>
      </c>
      <c r="T44" s="59">
        <f t="shared" si="34"/>
        <v>288.66487031729008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8.1999999999999993</v>
      </c>
      <c r="AI44" s="13">
        <f>IF('Données projet'!$A$62&gt;35,AI43+AH44-AQ43,IF(A44&lt;'Données projet'!$A$62,$AF$205^A44,IF(A44='Données projet'!$A$62,'Données projet'!$B$62,AI43+AH44-AQ43)))</f>
        <v>172.2</v>
      </c>
      <c r="AJ44" s="13">
        <f>AI44*VLOOKUP('Données projet'!$B$10,Paramètres!$A$1:$I$89,3,0)*VLOOKUP('Données projet'!$B$10,Paramètres!$A$1:$I$89,5,0)</f>
        <v>137.00232</v>
      </c>
      <c r="AK44" s="13">
        <f t="shared" si="35"/>
        <v>35.609416420931346</v>
      </c>
      <c r="AL44" s="20">
        <f t="shared" si="4"/>
        <v>300.63210759978875</v>
      </c>
      <c r="AM44" s="59">
        <f t="shared" si="5"/>
        <v>593.96544093312207</v>
      </c>
      <c r="AN44" s="59">
        <f ca="1">AVERAGE(OFFSET($AM$3,0,0,'Données projet'!$E$10+1,1))-AVERAGE(OFFSET($H$3,0,0,'Données projet'!$E$10+1,1))</f>
        <v>219.43439115440339</v>
      </c>
      <c r="AO44" s="59">
        <f t="shared" si="36"/>
        <v>217.8880462742099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7.4964676872520428</v>
      </c>
      <c r="AV44" s="21">
        <f>EXP(-LN(2)/25)*AV43+(1-EXP(-LN(2)/25))/(LN(2)/25)*Calculateur!AQ44*Calculateur!AS44*VLOOKUP('Données projet'!$B$10,Paramètres!$A$1:$I$89,3,0)*0.475*44/12</f>
        <v>13.028195356873887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20.52466304412593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5.4</v>
      </c>
      <c r="BD44" s="12">
        <f>IF('Données projet'!$A$88&gt;35,BD43+BC44-BL43,IF(A44&lt;'Données projet'!$A$88,$BA$205^A44,IF(A44='Données projet'!$A$88,'Données projet'!$B$88,BD43+BC44-BL43)))</f>
        <v>117.40000000000003</v>
      </c>
      <c r="BE44" s="13">
        <f>BD44*VLOOKUP('Données projet'!$B$11,Paramètres!$A$1:$I$89,3,0)*VLOOKUP('Données projet'!$B$11,Paramètres!$A$1:$I$89,5,0)</f>
        <v>102.56064000000005</v>
      </c>
      <c r="BF44" s="13">
        <f t="shared" si="37"/>
        <v>27.571134131783804</v>
      </c>
      <c r="BG44" s="20">
        <f t="shared" si="7"/>
        <v>226.64617327952354</v>
      </c>
      <c r="BH44" s="59">
        <f t="shared" si="8"/>
        <v>519.97950661285688</v>
      </c>
      <c r="BI44" s="59">
        <f ca="1">AVERAGE(OFFSET($BH$3,0,0,'Données projet'!$E$11+1,1))-AVERAGE(OFFSET($H$3,0,0,'Données projet'!$E$11+1,1))</f>
        <v>175.73188403662408</v>
      </c>
      <c r="BJ44" s="59">
        <f t="shared" si="38"/>
        <v>152.02195399869032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5.3369963369963358</v>
      </c>
      <c r="BY44" s="12">
        <f>IF('Données projet'!$A$114&gt;35,BY43+BX44-CG43,IF(A44&lt;'Données projet'!$A$114,$BV$205^A44,IF(A44='Données projet'!$A$114,'Données projet'!$B$114,BY43+BX44-CG43)))</f>
        <v>146.41208791208788</v>
      </c>
      <c r="BZ44" s="13">
        <f>BY44*VLOOKUP('Données projet'!$B$12,Paramètres!$A$1:$I$89,3,0)*VLOOKUP('Données projet'!$B$12,Paramètres!$A$1:$I$89,5,0)</f>
        <v>132.47365714285712</v>
      </c>
      <c r="CA44" s="13">
        <f t="shared" si="39"/>
        <v>34.567320307816402</v>
      </c>
      <c r="CB44" s="20">
        <f t="shared" si="10"/>
        <v>290.92970239325638</v>
      </c>
      <c r="CC44" s="59">
        <f t="shared" si="11"/>
        <v>584.26303572658969</v>
      </c>
      <c r="CD44" s="59">
        <f ca="1">AVERAGE(OFFSET($CC$3,0,0,'Données projet'!$E$12+1,1))-AVERAGE(OFFSET($H$3,0,0,'Données projet'!$E$12+1,1))</f>
        <v>213.54857791046686</v>
      </c>
      <c r="CE44" s="59">
        <f t="shared" si="40"/>
        <v>138.46877538074244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110.11103999999996</v>
      </c>
      <c r="CV44" s="13">
        <f t="shared" si="41"/>
        <v>29.357144926198423</v>
      </c>
      <c r="CW44" s="20">
        <f t="shared" si="13"/>
        <v>242.90708874646216</v>
      </c>
      <c r="CX44" s="59">
        <f t="shared" si="14"/>
        <v>536.24042207979551</v>
      </c>
      <c r="CY44" s="59">
        <f ca="1">AVERAGE(OFFSET($CX$3,0,0,'Données projet'!$E$13+1,1))-AVERAGE(OFFSET($H$3,0,0,'Données projet'!$E$13+1,1))</f>
        <v>161.87883827031436</v>
      </c>
      <c r="CZ44" s="59">
        <f t="shared" si="42"/>
        <v>163.02076389611869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0.47985077050464969</v>
      </c>
      <c r="DG44" s="21">
        <f>EXP(-LN(2)/25)*DG43+(1-EXP(-LN(2)/25))/(LN(2)/25)*Calculateur!DB44*Calculateur!DD44*VLOOKUP('Données projet'!$B$13,Paramètres!$A$1:$I$89,3,0)*0.475*44/12</f>
        <v>5.0576882480097272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5.5375390185143765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3.6</v>
      </c>
      <c r="DO44" s="12">
        <f>IF('Données projet'!$A$166&gt;35,DO43+DN44-DW43,IF(A44&lt;'Données projet'!$A$166,$DL$205^A44,IF(A44='Données projet'!$A$166,'Données projet'!$B$166,DO43+DN44-DW43)))</f>
        <v>82.599999999999952</v>
      </c>
      <c r="DP44" s="17">
        <f>DO44*VLOOKUP('Données projet'!$B$14,Paramètres!$A$1:$I$89,3,0)*VLOOKUP('Données projet'!$B$14,Paramètres!$A$1:$I$89,5,0)</f>
        <v>67.005119999999962</v>
      </c>
      <c r="DQ44" s="13">
        <f t="shared" si="43"/>
        <v>18.927841223964165</v>
      </c>
      <c r="DR44" s="20">
        <f t="shared" si="16"/>
        <v>149.66657413173752</v>
      </c>
      <c r="DS44" s="59">
        <f t="shared" si="17"/>
        <v>442.99990746507081</v>
      </c>
      <c r="DT44" s="59">
        <f ca="1">AVERAGE(OFFSET($DS$3,0,0,'Données projet'!$E$14+1,1))-AVERAGE(OFFSET($H$3,0,0,'Données projet'!$E$14+1,1))</f>
        <v>96.611230241682733</v>
      </c>
      <c r="DU44" s="59">
        <f t="shared" si="44"/>
        <v>78.711045514042041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0.29886766944324766</v>
      </c>
      <c r="EC44" s="21">
        <f>EXP(-LN(2)/2)*EC43+(1-EXP(-LN(2)/2))/(LN(2)/2)*DW44*DZ44*VLOOKUP('Données projet'!$B$14,Paramètres!$A$1:$I$89,3,0)*0.475*44/12</f>
        <v>1.5452062483423652</v>
      </c>
      <c r="ED44" s="22">
        <f t="shared" si="18"/>
        <v>1.8440739177856129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18.229670329670324</v>
      </c>
      <c r="EJ44" s="12">
        <f>IF('Données projet'!$A$192&gt;35,EJ43+EI44-ER43,IF(A44&lt;'Données projet'!$A$192,$EG$205^A44,IF(A44='Données projet'!$A$192,'Données projet'!$B$192,EJ43+EI44-ER43)))</f>
        <v>344.37032967032968</v>
      </c>
      <c r="EK44" s="17">
        <f>EJ44*VLOOKUP('Données projet'!$B$15,Paramètres!$A$1:$I$89,3,0)*VLOOKUP('Données projet'!$B$15,Paramètres!$A$1:$I$89,5,0)</f>
        <v>152.21168571428575</v>
      </c>
      <c r="EL44" s="13">
        <f t="shared" si="45"/>
        <v>39.08077017426276</v>
      </c>
      <c r="EM44" s="20">
        <f t="shared" si="19"/>
        <v>333.16769400588868</v>
      </c>
      <c r="EN44" s="59">
        <f t="shared" si="20"/>
        <v>626.50102733922199</v>
      </c>
      <c r="EO44" s="59">
        <f ca="1">AVERAGE(OFFSET($EN$3,0,0,'Données projet'!$E$15+1,1))-AVERAGE(OFFSET($H$3,0,0,'Données projet'!$E$15+1,1))</f>
        <v>188.61152573050066</v>
      </c>
      <c r="EP44" s="59">
        <f t="shared" si="46"/>
        <v>172.37050503841624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14.13172996537155</v>
      </c>
      <c r="EW44" s="21">
        <f>EXP(-LN(2)/25)*EW43+(1-EXP(-LN(2)/25))/(LN(2)/25)*Calculateur!ER44*Calculateur!ET44*VLOOKUP('Données projet'!$B$15,Paramètres!$A$1:$I$89,3,0)*0.475*44/12</f>
        <v>16.680890637117471</v>
      </c>
      <c r="EX44" s="21">
        <f>EXP(-LN(2)/2)*EX43+(1-EXP(-LN(2)/2))/(LN(2)/2)*ER44*EU44*VLOOKUP('Données projet'!$B$15,Paramètres!$A$1:$I$89,3,0)*0.475*44/12</f>
        <v>0.73376481343818978</v>
      </c>
      <c r="EY44" s="22">
        <f t="shared" si="21"/>
        <v>31.546385415927208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>
        <f>FE44*VLOOKUP('Données projet'!$B$16,Paramètres!$A$1:$I$89,3,0)*VLOOKUP('Données projet'!$B$16,Paramètres!$A$1:$I$89,5,0)</f>
        <v>0</v>
      </c>
      <c r="FG44" s="13" t="e">
        <f t="shared" si="47"/>
        <v>#NUM!</v>
      </c>
      <c r="FH44" s="20" t="e">
        <f t="shared" si="22"/>
        <v>#NUM!</v>
      </c>
      <c r="FI44" s="59" t="e">
        <f t="shared" si="23"/>
        <v>#NUM!</v>
      </c>
      <c r="FJ44" s="59">
        <f ca="1">AVERAGE(OFFSET($FI$3,0,0,'Données projet'!$E$16+1,1))-AVERAGE(OFFSET($H$3,0,0,'Données projet'!$E$16+1,1))</f>
        <v>0</v>
      </c>
      <c r="FK44" s="59">
        <f t="shared" si="48"/>
        <v>0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197.78572767493569</v>
      </c>
      <c r="T45" s="59">
        <f t="shared" si="34"/>
        <v>288.66487031729008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8.1999999999999993</v>
      </c>
      <c r="AI45" s="13">
        <f>IF('Données projet'!$A$62&gt;35,AI44+AH45-AQ44,IF(A45&lt;'Données projet'!$A$62,$AF$205^A45,IF(A45='Données projet'!$A$62,'Données projet'!$B$62,AI44+AH45-AQ44)))</f>
        <v>180.39999999999998</v>
      </c>
      <c r="AJ45" s="13">
        <f>AI45*VLOOKUP('Données projet'!$B$10,Paramètres!$A$1:$I$89,3,0)*VLOOKUP('Données projet'!$B$10,Paramètres!$A$1:$I$89,5,0)</f>
        <v>143.52624</v>
      </c>
      <c r="AK45" s="13">
        <f t="shared" si="35"/>
        <v>37.103644337236275</v>
      </c>
      <c r="AL45" s="20">
        <f t="shared" si="4"/>
        <v>314.59704855401981</v>
      </c>
      <c r="AM45" s="59">
        <f t="shared" si="5"/>
        <v>607.93038188735318</v>
      </c>
      <c r="AN45" s="59">
        <f ca="1">AVERAGE(OFFSET($AM$3,0,0,'Données projet'!$E$10+1,1))-AVERAGE(OFFSET($H$3,0,0,'Données projet'!$E$10+1,1))</f>
        <v>219.43439115440339</v>
      </c>
      <c r="AO45" s="59">
        <f t="shared" si="36"/>
        <v>217.8880462742099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7.3494665282988327</v>
      </c>
      <c r="AV45" s="21">
        <f>EXP(-LN(2)/25)*AV44+(1-EXP(-LN(2)/25))/(LN(2)/25)*Calculateur!AQ45*Calculateur!AS45*VLOOKUP('Données projet'!$B$10,Paramètres!$A$1:$I$89,3,0)*0.475*44/12</f>
        <v>12.671938669717154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20.021405198015987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5.4</v>
      </c>
      <c r="BD45" s="12">
        <f>IF('Données projet'!$A$88&gt;35,BD44+BC45-BL44,IF(A45&lt;'Données projet'!$A$88,$BA$205^A45,IF(A45='Données projet'!$A$88,'Données projet'!$B$88,BD44+BC45-BL44)))</f>
        <v>122.80000000000004</v>
      </c>
      <c r="BE45" s="13">
        <f>BD45*VLOOKUP('Données projet'!$B$11,Paramètres!$A$1:$I$89,3,0)*VLOOKUP('Données projet'!$B$11,Paramètres!$A$1:$I$89,5,0)</f>
        <v>107.27808000000005</v>
      </c>
      <c r="BF45" s="13">
        <f t="shared" si="37"/>
        <v>28.688746800886673</v>
      </c>
      <c r="BG45" s="20">
        <f t="shared" si="7"/>
        <v>236.80889001154432</v>
      </c>
      <c r="BH45" s="59">
        <f t="shared" si="8"/>
        <v>530.14222334487761</v>
      </c>
      <c r="BI45" s="59">
        <f ca="1">AVERAGE(OFFSET($BH$3,0,0,'Données projet'!$E$11+1,1))-AVERAGE(OFFSET($H$3,0,0,'Données projet'!$E$11+1,1))</f>
        <v>175.73188403662408</v>
      </c>
      <c r="BJ45" s="59">
        <f t="shared" si="38"/>
        <v>152.02195399869032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5.3369963369963358</v>
      </c>
      <c r="BY45" s="12">
        <f>IF('Données projet'!$A$114&gt;35,BY44+BX45-CG44,IF(A45&lt;'Données projet'!$A$114,$BV$205^A45,IF(A45='Données projet'!$A$114,'Données projet'!$B$114,BY44+BX45-CG44)))</f>
        <v>151.74908424908421</v>
      </c>
      <c r="BZ45" s="13">
        <f>BY45*VLOOKUP('Données projet'!$B$12,Paramètres!$A$1:$I$89,3,0)*VLOOKUP('Données projet'!$B$12,Paramètres!$A$1:$I$89,5,0)</f>
        <v>137.30257142857138</v>
      </c>
      <c r="CA45" s="13">
        <f t="shared" si="39"/>
        <v>35.678364531877897</v>
      </c>
      <c r="CB45" s="20">
        <f t="shared" si="10"/>
        <v>301.27513013111576</v>
      </c>
      <c r="CC45" s="59">
        <f t="shared" si="11"/>
        <v>594.60846346444907</v>
      </c>
      <c r="CD45" s="59">
        <f ca="1">AVERAGE(OFFSET($CC$3,0,0,'Données projet'!$E$12+1,1))-AVERAGE(OFFSET($H$3,0,0,'Données projet'!$E$12+1,1))</f>
        <v>213.54857791046686</v>
      </c>
      <c r="CE45" s="59">
        <f t="shared" si="40"/>
        <v>138.46877538074244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115.20287999999998</v>
      </c>
      <c r="CV45" s="13">
        <f t="shared" si="41"/>
        <v>30.553507147925856</v>
      </c>
      <c r="CW45" s="20">
        <f t="shared" si="13"/>
        <v>253.85904094930413</v>
      </c>
      <c r="CX45" s="59">
        <f t="shared" si="14"/>
        <v>547.1923742826375</v>
      </c>
      <c r="CY45" s="59">
        <f ca="1">AVERAGE(OFFSET($CX$3,0,0,'Données projet'!$E$13+1,1))-AVERAGE(OFFSET($H$3,0,0,'Données projet'!$E$13+1,1))</f>
        <v>161.87883827031436</v>
      </c>
      <c r="CZ45" s="59">
        <f t="shared" si="42"/>
        <v>163.02076389611869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0.47044118957512376</v>
      </c>
      <c r="DG45" s="21">
        <f>EXP(-LN(2)/25)*DG44+(1-EXP(-LN(2)/25))/(LN(2)/25)*Calculateur!DB45*Calculateur!DD45*VLOOKUP('Données projet'!$B$13,Paramètres!$A$1:$I$89,3,0)*0.475*44/12</f>
        <v>4.9193854968956359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5.3898266864707596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3.6</v>
      </c>
      <c r="DO45" s="12">
        <f>IF('Données projet'!$A$166&gt;35,DO44+DN45-DW44,IF(A45&lt;'Données projet'!$A$166,$DL$205^A45,IF(A45='Données projet'!$A$166,'Données projet'!$B$166,DO44+DN45-DW44)))</f>
        <v>86.199999999999946</v>
      </c>
      <c r="DP45" s="17">
        <f>DO45*VLOOKUP('Données projet'!$B$14,Paramètres!$A$1:$I$89,3,0)*VLOOKUP('Données projet'!$B$14,Paramètres!$A$1:$I$89,5,0)</f>
        <v>69.925439999999966</v>
      </c>
      <c r="DQ45" s="13">
        <f t="shared" si="43"/>
        <v>19.654940547275647</v>
      </c>
      <c r="DR45" s="20">
        <f t="shared" si="16"/>
        <v>156.01916278650501</v>
      </c>
      <c r="DS45" s="59">
        <f t="shared" si="17"/>
        <v>449.35249611983829</v>
      </c>
      <c r="DT45" s="59">
        <f ca="1">AVERAGE(OFFSET($DS$3,0,0,'Données projet'!$E$14+1,1))-AVERAGE(OFFSET($H$3,0,0,'Données projet'!$E$14+1,1))</f>
        <v>96.611230241682733</v>
      </c>
      <c r="DU45" s="59">
        <f t="shared" si="44"/>
        <v>78.711045514042041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0.29069511730555442</v>
      </c>
      <c r="EC45" s="21">
        <f>EXP(-LN(2)/2)*EC44+(1-EXP(-LN(2)/2))/(LN(2)/2)*DW45*DZ45*VLOOKUP('Données projet'!$B$14,Paramètres!$A$1:$I$89,3,0)*0.475*44/12</f>
        <v>1.0926258165347109</v>
      </c>
      <c r="ED45" s="22">
        <f t="shared" si="18"/>
        <v>1.3833209338402654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362.59999999999997</v>
      </c>
      <c r="EH45" s="12">
        <f>VLOOKUP(A45,'Données projet'!$A$191:$I$211,9,0)</f>
        <v>18.229670329670324</v>
      </c>
      <c r="EI45" s="12">
        <f t="array" ref="EI45">INDEX(EH:EH,MIN(IF(ISNUMBER(EH45:EH241),ROW(EH45:EH241),"")))</f>
        <v>18.229670329670324</v>
      </c>
      <c r="EJ45" s="12">
        <f>IF('Données projet'!$A$192&gt;35,EJ44+EI45-ER44,IF(A45&lt;'Données projet'!$A$192,$EG$205^A45,IF(A45='Données projet'!$A$192,'Données projet'!$B$192,EJ44+EI45-ER44)))</f>
        <v>362.6</v>
      </c>
      <c r="EK45" s="17">
        <f>EJ45*VLOOKUP('Données projet'!$B$15,Paramètres!$A$1:$I$89,3,0)*VLOOKUP('Données projet'!$B$15,Paramètres!$A$1:$I$89,5,0)</f>
        <v>160.26920000000004</v>
      </c>
      <c r="EL45" s="13">
        <f t="shared" si="45"/>
        <v>40.903228276165081</v>
      </c>
      <c r="EM45" s="20">
        <f t="shared" si="19"/>
        <v>350.37531258098761</v>
      </c>
      <c r="EN45" s="59">
        <f t="shared" si="20"/>
        <v>643.70864591432087</v>
      </c>
      <c r="EO45" s="59">
        <f ca="1">AVERAGE(OFFSET($EN$3,0,0,'Données projet'!$E$15+1,1))-AVERAGE(OFFSET($H$3,0,0,'Données projet'!$E$15+1,1))</f>
        <v>188.61152573050066</v>
      </c>
      <c r="EP45" s="59">
        <f t="shared" si="46"/>
        <v>172.37050503841624</v>
      </c>
      <c r="EQ45" s="15">
        <f>IF(ISNA(VLOOKUP(A45,'Données projet'!$A$191:$I$211,3,0)),0,VLOOKUP(A45,'Données projet'!$A$191:$I$211,3,0))</f>
        <v>4</v>
      </c>
      <c r="ER45" s="15">
        <f>IF(ISNA(VLOOKUP(A45,'Données projet'!$A$191:$I$211,4,0)),0,VLOOKUP(A45,'Données projet'!$A$191:$I$211,4,0))</f>
        <v>80.669230769230765</v>
      </c>
      <c r="ES45" s="16">
        <f>IF(ISNA(VLOOKUP(A45,'Données projet'!$A$191:$I$211,5,0)),0%,VLOOKUP(A45,'Données projet'!$A$191:$I$211,5,0)*VLOOKUP('Données projet'!$B$15,Paramètres!$A$1:$I$89,7,0))</f>
        <v>0.38500000000000001</v>
      </c>
      <c r="ET45" s="16">
        <f>IF(ISNA(VLOOKUP(A45,'Données projet'!$A$191:$I$211,6,0)),0%,VLOOKUP(A45,'Données projet'!$A$191:$I$211,6,0)*VLOOKUP('Données projet'!$B$15,Paramètres!$A$1:$I$89,7,0))</f>
        <v>9.240000000000001E-2</v>
      </c>
      <c r="EU45" s="16">
        <f>IF(ISNA(VLOOKUP(A45,'Données projet'!$A$191:$I$211,7,0)),0%,VLOOKUP(A45,'Données projet'!$A$191:$I$211,7,0))</f>
        <v>0.13200000000000001</v>
      </c>
      <c r="EV45" s="21">
        <f>EXP(-LN(2)/35)*EV44+(1-EXP(-LN(2)/35))/(LN(2)/35)*ER45*ES45*VLOOKUP('Données projet'!$B$15,Paramètres!$A$1:$I$89,3,0)*0.475*44/12</f>
        <v>32.065006370705333</v>
      </c>
      <c r="EW45" s="21">
        <f>EXP(-LN(2)/25)*EW44+(1-EXP(-LN(2)/25))/(LN(2)/25)*Calculateur!ER45*Calculateur!ET45*VLOOKUP('Données projet'!$B$15,Paramètres!$A$1:$I$89,3,0)*0.475*44/12</f>
        <v>20.578036348397045</v>
      </c>
      <c r="EX45" s="21">
        <f>EXP(-LN(2)/2)*EX44+(1-EXP(-LN(2)/2))/(LN(2)/2)*ER45*EU45*VLOOKUP('Données projet'!$B$15,Paramètres!$A$1:$I$89,3,0)*0.475*44/12</f>
        <v>5.847775658125256</v>
      </c>
      <c r="EY45" s="22">
        <f t="shared" si="21"/>
        <v>58.49081837722764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>
        <f>FE45*VLOOKUP('Données projet'!$B$16,Paramètres!$A$1:$I$89,3,0)*VLOOKUP('Données projet'!$B$16,Paramètres!$A$1:$I$89,5,0)</f>
        <v>0</v>
      </c>
      <c r="FG45" s="13" t="e">
        <f t="shared" si="47"/>
        <v>#NUM!</v>
      </c>
      <c r="FH45" s="20" t="e">
        <f t="shared" si="22"/>
        <v>#NUM!</v>
      </c>
      <c r="FI45" s="59" t="e">
        <f t="shared" si="23"/>
        <v>#NUM!</v>
      </c>
      <c r="FJ45" s="59">
        <f ca="1">AVERAGE(OFFSET($FI$3,0,0,'Données projet'!$E$16+1,1))-AVERAGE(OFFSET($H$3,0,0,'Données projet'!$E$16+1,1))</f>
        <v>0</v>
      </c>
      <c r="FK45" s="59">
        <f t="shared" si="48"/>
        <v>0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197.78572767493569</v>
      </c>
      <c r="T46" s="59">
        <f t="shared" si="34"/>
        <v>288.66487031729008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8.1999999999999993</v>
      </c>
      <c r="AI46" s="13">
        <f>IF('Données projet'!$A$62&gt;35,AI45+AH46-AQ45,IF(A46&lt;'Données projet'!$A$62,$AF$205^A46,IF(A46='Données projet'!$A$62,'Données projet'!$B$62,AI45+AH46-AQ45)))</f>
        <v>188.59999999999997</v>
      </c>
      <c r="AJ46" s="13">
        <f>AI46*VLOOKUP('Données projet'!$B$10,Paramètres!$A$1:$I$89,3,0)*VLOOKUP('Données projet'!$B$10,Paramètres!$A$1:$I$89,5,0)</f>
        <v>150.05015999999998</v>
      </c>
      <c r="AK46" s="13">
        <f t="shared" si="35"/>
        <v>38.589984439024569</v>
      </c>
      <c r="AL46" s="20">
        <f t="shared" si="4"/>
        <v>328.54825156463437</v>
      </c>
      <c r="AM46" s="59">
        <f t="shared" si="5"/>
        <v>621.88158489796774</v>
      </c>
      <c r="AN46" s="59">
        <f ca="1">AVERAGE(OFFSET($AM$3,0,0,'Données projet'!$E$10+1,1))-AVERAGE(OFFSET($H$3,0,0,'Données projet'!$E$10+1,1))</f>
        <v>219.43439115440339</v>
      </c>
      <c r="AO46" s="59">
        <f t="shared" si="36"/>
        <v>217.8880462742099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7.2053479724108422</v>
      </c>
      <c r="AV46" s="21">
        <f>EXP(-LN(2)/25)*AV45+(1-EXP(-LN(2)/25))/(LN(2)/25)*Calculateur!AQ46*Calculateur!AS46*VLOOKUP('Données projet'!$B$10,Paramètres!$A$1:$I$89,3,0)*0.475*44/12</f>
        <v>12.325423840405445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19.530771812816287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5.4</v>
      </c>
      <c r="BD46" s="12">
        <f>IF('Données projet'!$A$88&gt;35,BD45+BC46-BL45,IF(A46&lt;'Données projet'!$A$88,$BA$205^A46,IF(A46='Données projet'!$A$88,'Données projet'!$B$88,BD45+BC46-BL45)))</f>
        <v>128.20000000000005</v>
      </c>
      <c r="BE46" s="13">
        <f>BD46*VLOOKUP('Données projet'!$B$11,Paramètres!$A$1:$I$89,3,0)*VLOOKUP('Données projet'!$B$11,Paramètres!$A$1:$I$89,5,0)</f>
        <v>111.99552000000006</v>
      </c>
      <c r="BF46" s="13">
        <f t="shared" si="37"/>
        <v>29.8006515679741</v>
      </c>
      <c r="BG46" s="20">
        <f t="shared" si="7"/>
        <v>246.96166548088834</v>
      </c>
      <c r="BH46" s="59">
        <f t="shared" si="8"/>
        <v>540.29499881422169</v>
      </c>
      <c r="BI46" s="59">
        <f ca="1">AVERAGE(OFFSET($BH$3,0,0,'Données projet'!$E$11+1,1))-AVERAGE(OFFSET($H$3,0,0,'Données projet'!$E$11+1,1))</f>
        <v>175.73188403662408</v>
      </c>
      <c r="BJ46" s="59">
        <f t="shared" si="38"/>
        <v>152.02195399869032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5.3369963369963358</v>
      </c>
      <c r="BY46" s="12">
        <f>IF('Données projet'!$A$114&gt;35,BY45+BX46-CG45,IF(A46&lt;'Données projet'!$A$114,$BV$205^A46,IF(A46='Données projet'!$A$114,'Données projet'!$B$114,BY45+BX46-CG45)))</f>
        <v>157.08608058608053</v>
      </c>
      <c r="BZ46" s="13">
        <f>BY46*VLOOKUP('Données projet'!$B$12,Paramètres!$A$1:$I$89,3,0)*VLOOKUP('Données projet'!$B$12,Paramètres!$A$1:$I$89,5,0)</f>
        <v>142.13148571428567</v>
      </c>
      <c r="CA46" s="13">
        <f t="shared" si="39"/>
        <v>36.784868701185438</v>
      </c>
      <c r="CB46" s="20">
        <f t="shared" si="10"/>
        <v>311.61265060694552</v>
      </c>
      <c r="CC46" s="59">
        <f t="shared" si="11"/>
        <v>604.94598394027889</v>
      </c>
      <c r="CD46" s="59">
        <f ca="1">AVERAGE(OFFSET($CC$3,0,0,'Données projet'!$E$12+1,1))-AVERAGE(OFFSET($H$3,0,0,'Données projet'!$E$12+1,1))</f>
        <v>213.54857791046686</v>
      </c>
      <c r="CE46" s="59">
        <f t="shared" si="40"/>
        <v>138.46877538074244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120.29471999999997</v>
      </c>
      <c r="CV46" s="13">
        <f t="shared" si="41"/>
        <v>31.743728077799098</v>
      </c>
      <c r="CW46" s="20">
        <f t="shared" si="13"/>
        <v>264.80029706883334</v>
      </c>
      <c r="CX46" s="59">
        <f t="shared" si="14"/>
        <v>558.13363040216666</v>
      </c>
      <c r="CY46" s="59">
        <f ca="1">AVERAGE(OFFSET($CX$3,0,0,'Données projet'!$E$13+1,1))-AVERAGE(OFFSET($H$3,0,0,'Données projet'!$E$13+1,1))</f>
        <v>161.87883827031436</v>
      </c>
      <c r="CZ46" s="59">
        <f t="shared" si="42"/>
        <v>163.02076389611869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0.46121612478834817</v>
      </c>
      <c r="DG46" s="21">
        <f>EXP(-LN(2)/25)*DG45+(1-EXP(-LN(2)/25))/(LN(2)/25)*Calculateur!DB46*Calculateur!DD46*VLOOKUP('Données projet'!$B$13,Paramètres!$A$1:$I$89,3,0)*0.475*44/12</f>
        <v>4.784864641783785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5.246080766572133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3.6</v>
      </c>
      <c r="DO46" s="12">
        <f>IF('Données projet'!$A$166&gt;35,DO45+DN46-DW45,IF(A46&lt;'Données projet'!$A$166,$DL$205^A46,IF(A46='Données projet'!$A$166,'Données projet'!$B$166,DO45+DN46-DW45)))</f>
        <v>89.79999999999994</v>
      </c>
      <c r="DP46" s="17">
        <f>DO46*VLOOKUP('Données projet'!$B$14,Paramètres!$A$1:$I$89,3,0)*VLOOKUP('Données projet'!$B$14,Paramètres!$A$1:$I$89,5,0)</f>
        <v>72.845759999999956</v>
      </c>
      <c r="DQ46" s="13">
        <f t="shared" si="43"/>
        <v>20.378512751497521</v>
      </c>
      <c r="DR46" s="20">
        <f t="shared" si="16"/>
        <v>162.36560837552477</v>
      </c>
      <c r="DS46" s="59">
        <f t="shared" si="17"/>
        <v>455.69894170885811</v>
      </c>
      <c r="DT46" s="59">
        <f ca="1">AVERAGE(OFFSET($DS$3,0,0,'Données projet'!$E$14+1,1))-AVERAGE(OFFSET($H$3,0,0,'Données projet'!$E$14+1,1))</f>
        <v>96.611230241682733</v>
      </c>
      <c r="DU46" s="59">
        <f t="shared" si="44"/>
        <v>78.711045514042041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0.28274604403584219</v>
      </c>
      <c r="EC46" s="21">
        <f>EXP(-LN(2)/2)*EC45+(1-EXP(-LN(2)/2))/(LN(2)/2)*DW46*DZ46*VLOOKUP('Données projet'!$B$14,Paramètres!$A$1:$I$89,3,0)*0.475*44/12</f>
        <v>0.77260312417118271</v>
      </c>
      <c r="ED46" s="22">
        <f t="shared" si="18"/>
        <v>1.0553491682070248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17.519780219780223</v>
      </c>
      <c r="EJ46" s="12">
        <f>IF('Données projet'!$A$192&gt;35,EJ45+EI46-ER45,IF(A46&lt;'Données projet'!$A$192,$EG$205^A46,IF(A46='Données projet'!$A$192,'Données projet'!$B$192,EJ45+EI46-ER45)))</f>
        <v>299.45054945054949</v>
      </c>
      <c r="EK46" s="17">
        <f>EJ46*VLOOKUP('Données projet'!$B$15,Paramètres!$A$1:$I$89,3,0)*VLOOKUP('Données projet'!$B$15,Paramètres!$A$1:$I$89,5,0)</f>
        <v>132.35714285714289</v>
      </c>
      <c r="EL46" s="13">
        <f t="shared" si="45"/>
        <v>34.540454907892176</v>
      </c>
      <c r="EM46" s="20">
        <f t="shared" si="19"/>
        <v>290.67998277410271</v>
      </c>
      <c r="EN46" s="59">
        <f t="shared" si="20"/>
        <v>584.01331610743603</v>
      </c>
      <c r="EO46" s="59">
        <f ca="1">AVERAGE(OFFSET($EN$3,0,0,'Données projet'!$E$15+1,1))-AVERAGE(OFFSET($H$3,0,0,'Données projet'!$E$15+1,1))</f>
        <v>188.61152573050066</v>
      </c>
      <c r="EP46" s="59">
        <f t="shared" si="46"/>
        <v>172.37050503841624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31.436231153498522</v>
      </c>
      <c r="EW46" s="21">
        <f>EXP(-LN(2)/25)*EW45+(1-EXP(-LN(2)/25))/(LN(2)/25)*Calculateur!ER46*Calculateur!ET46*VLOOKUP('Données projet'!$B$15,Paramètres!$A$1:$I$89,3,0)*0.475*44/12</f>
        <v>20.015328862298229</v>
      </c>
      <c r="EX46" s="21">
        <f>EXP(-LN(2)/2)*EX45+(1-EXP(-LN(2)/2))/(LN(2)/2)*ER46*EU46*VLOOKUP('Données projet'!$B$15,Paramètres!$A$1:$I$89,3,0)*0.475*44/12</f>
        <v>4.135001822717995</v>
      </c>
      <c r="EY46" s="22">
        <f t="shared" si="21"/>
        <v>55.586561838514747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>
        <f>FE46*VLOOKUP('Données projet'!$B$16,Paramètres!$A$1:$I$89,3,0)*VLOOKUP('Données projet'!$B$16,Paramètres!$A$1:$I$89,5,0)</f>
        <v>0</v>
      </c>
      <c r="FG46" s="13" t="e">
        <f t="shared" si="47"/>
        <v>#NUM!</v>
      </c>
      <c r="FH46" s="20" t="e">
        <f t="shared" si="22"/>
        <v>#NUM!</v>
      </c>
      <c r="FI46" s="59" t="e">
        <f t="shared" si="23"/>
        <v>#NUM!</v>
      </c>
      <c r="FJ46" s="59">
        <f ca="1">AVERAGE(OFFSET($FI$3,0,0,'Données projet'!$E$16+1,1))-AVERAGE(OFFSET($H$3,0,0,'Données projet'!$E$16+1,1))</f>
        <v>0</v>
      </c>
      <c r="FK46" s="59">
        <f t="shared" si="48"/>
        <v>0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197.78572767493569</v>
      </c>
      <c r="T47" s="59">
        <f t="shared" si="34"/>
        <v>288.66487031729008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8.1999999999999993</v>
      </c>
      <c r="AI47" s="13">
        <f>IF('Données projet'!$A$62&gt;35,AI46+AH47-AQ46,IF(A47&lt;'Données projet'!$A$62,$AF$205^A47,IF(A47='Données projet'!$A$62,'Données projet'!$B$62,AI46+AH47-AQ46)))</f>
        <v>196.79999999999995</v>
      </c>
      <c r="AJ47" s="13">
        <f>AI47*VLOOKUP('Données projet'!$B$10,Paramètres!$A$1:$I$89,3,0)*VLOOKUP('Données projet'!$B$10,Paramètres!$A$1:$I$89,5,0)</f>
        <v>156.57407999999998</v>
      </c>
      <c r="AK47" s="13">
        <f t="shared" si="35"/>
        <v>40.068818872547467</v>
      </c>
      <c r="AL47" s="20">
        <f t="shared" si="4"/>
        <v>342.48638220302013</v>
      </c>
      <c r="AM47" s="59">
        <f t="shared" si="5"/>
        <v>635.81971553635344</v>
      </c>
      <c r="AN47" s="59">
        <f ca="1">AVERAGE(OFFSET($AM$3,0,0,'Données projet'!$E$10+1,1))-AVERAGE(OFFSET($H$3,0,0,'Données projet'!$E$10+1,1))</f>
        <v>219.43439115440339</v>
      </c>
      <c r="AO47" s="59">
        <f t="shared" si="36"/>
        <v>217.8880462742099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7.0640554935001756</v>
      </c>
      <c r="AV47" s="21">
        <f>EXP(-LN(2)/25)*AV46+(1-EXP(-LN(2)/25))/(LN(2)/25)*Calculateur!AQ47*Calculateur!AS47*VLOOKUP('Données projet'!$B$10,Paramètres!$A$1:$I$89,3,0)*0.475*44/12</f>
        <v>11.988384477323688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19.052439970823862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5.4</v>
      </c>
      <c r="BD47" s="12">
        <f>IF('Données projet'!$A$88&gt;35,BD46+BC47-BL46,IF(A47&lt;'Données projet'!$A$88,$BA$205^A47,IF(A47='Données projet'!$A$88,'Données projet'!$B$88,BD46+BC47-BL46)))</f>
        <v>133.60000000000005</v>
      </c>
      <c r="BE47" s="13">
        <f>BD47*VLOOKUP('Données projet'!$B$11,Paramètres!$A$1:$I$89,3,0)*VLOOKUP('Données projet'!$B$11,Paramètres!$A$1:$I$89,5,0)</f>
        <v>116.71296000000005</v>
      </c>
      <c r="BF47" s="13">
        <f t="shared" si="37"/>
        <v>30.907116349820669</v>
      </c>
      <c r="BG47" s="20">
        <f t="shared" si="7"/>
        <v>257.10496630927111</v>
      </c>
      <c r="BH47" s="59">
        <f t="shared" si="8"/>
        <v>550.43829964260442</v>
      </c>
      <c r="BI47" s="59">
        <f ca="1">AVERAGE(OFFSET($BH$3,0,0,'Données projet'!$E$11+1,1))-AVERAGE(OFFSET($H$3,0,0,'Données projet'!$E$11+1,1))</f>
        <v>175.73188403662408</v>
      </c>
      <c r="BJ47" s="59">
        <f t="shared" si="38"/>
        <v>152.02195399869032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162.42307692307691</v>
      </c>
      <c r="BW47" s="12">
        <f>VLOOKUP(A47,'Données projet'!$A$113:$I$133,9,0)</f>
        <v>5.3369963369963358</v>
      </c>
      <c r="BX47" s="12">
        <f t="array" ref="BX47">INDEX(BW:BW,MIN(IF(ISNUMBER(BW47:BW243),ROW(BW47:BW243),"")))</f>
        <v>5.3369963369963358</v>
      </c>
      <c r="BY47" s="12">
        <f>IF('Données projet'!$A$114&gt;35,BY46+BX47-CG46,IF(A47&lt;'Données projet'!$A$114,$BV$205^A47,IF(A47='Données projet'!$A$114,'Données projet'!$B$114,BY46+BX47-CG46)))</f>
        <v>162.42307692307685</v>
      </c>
      <c r="BZ47" s="13">
        <f>BY47*VLOOKUP('Données projet'!$B$12,Paramètres!$A$1:$I$89,3,0)*VLOOKUP('Données projet'!$B$12,Paramètres!$A$1:$I$89,5,0)</f>
        <v>146.96039999999991</v>
      </c>
      <c r="CA47" s="13">
        <f t="shared" si="39"/>
        <v>37.887004745652405</v>
      </c>
      <c r="CB47" s="20">
        <f t="shared" si="10"/>
        <v>321.94256326534446</v>
      </c>
      <c r="CC47" s="59">
        <f t="shared" si="11"/>
        <v>615.27589659867772</v>
      </c>
      <c r="CD47" s="59">
        <f ca="1">AVERAGE(OFFSET($CC$3,0,0,'Données projet'!$E$12+1,1))-AVERAGE(OFFSET($H$3,0,0,'Données projet'!$E$12+1,1))</f>
        <v>213.54857791046686</v>
      </c>
      <c r="CE47" s="59">
        <f t="shared" si="40"/>
        <v>138.46877538074244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64.416666666666657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125.38655999999999</v>
      </c>
      <c r="CV47" s="13">
        <f t="shared" si="41"/>
        <v>32.928097385453498</v>
      </c>
      <c r="CW47" s="20">
        <f t="shared" si="13"/>
        <v>275.73136161299811</v>
      </c>
      <c r="CX47" s="59">
        <f t="shared" si="14"/>
        <v>569.06469494633143</v>
      </c>
      <c r="CY47" s="59">
        <f ca="1">AVERAGE(OFFSET($CX$3,0,0,'Données projet'!$E$13+1,1))-AVERAGE(OFFSET($H$3,0,0,'Données projet'!$E$13+1,1))</f>
        <v>161.87883827031436</v>
      </c>
      <c r="CZ47" s="59">
        <f t="shared" si="42"/>
        <v>163.02076389611869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0.45217195789530734</v>
      </c>
      <c r="DG47" s="21">
        <f>EXP(-LN(2)/25)*DG46+(1-EXP(-LN(2)/25))/(LN(2)/25)*Calculateur!DB47*Calculateur!DD47*VLOOKUP('Données projet'!$B$13,Paramètres!$A$1:$I$89,3,0)*0.475*44/12</f>
        <v>4.654022266529112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5.1061942244244189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3.6</v>
      </c>
      <c r="DO47" s="12">
        <f>IF('Données projet'!$A$166&gt;35,DO46+DN47-DW46,IF(A47&lt;'Données projet'!$A$166,$DL$205^A47,IF(A47='Données projet'!$A$166,'Données projet'!$B$166,DO46+DN47-DW46)))</f>
        <v>93.399999999999935</v>
      </c>
      <c r="DP47" s="17">
        <f>DO47*VLOOKUP('Données projet'!$B$14,Paramètres!$A$1:$I$89,3,0)*VLOOKUP('Données projet'!$B$14,Paramètres!$A$1:$I$89,5,0)</f>
        <v>75.76607999999996</v>
      </c>
      <c r="DQ47" s="13">
        <f t="shared" si="43"/>
        <v>21.09871541273251</v>
      </c>
      <c r="DR47" s="20">
        <f t="shared" si="16"/>
        <v>168.70618534384235</v>
      </c>
      <c r="DS47" s="59">
        <f t="shared" si="17"/>
        <v>462.03951867717569</v>
      </c>
      <c r="DT47" s="59">
        <f ca="1">AVERAGE(OFFSET($DS$3,0,0,'Données projet'!$E$14+1,1))-AVERAGE(OFFSET($H$3,0,0,'Données projet'!$E$14+1,1))</f>
        <v>96.611230241682733</v>
      </c>
      <c r="DU47" s="59">
        <f t="shared" si="44"/>
        <v>78.711045514042041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0.27501433859271385</v>
      </c>
      <c r="EC47" s="21">
        <f>EXP(-LN(2)/2)*EC46+(1-EXP(-LN(2)/2))/(LN(2)/2)*DW47*DZ47*VLOOKUP('Données projet'!$B$14,Paramètres!$A$1:$I$89,3,0)*0.475*44/12</f>
        <v>0.54631290826735557</v>
      </c>
      <c r="ED47" s="22">
        <f t="shared" si="18"/>
        <v>0.82132724686006942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17.519780219780223</v>
      </c>
      <c r="EJ47" s="12">
        <f>IF('Données projet'!$A$192&gt;35,EJ46+EI47-ER46,IF(A47&lt;'Données projet'!$A$192,$EG$205^A47,IF(A47='Données projet'!$A$192,'Données projet'!$B$192,EJ46+EI47-ER46)))</f>
        <v>316.9703296703297</v>
      </c>
      <c r="EK47" s="17">
        <f>EJ47*VLOOKUP('Données projet'!$B$15,Paramètres!$A$1:$I$89,3,0)*VLOOKUP('Données projet'!$B$15,Paramètres!$A$1:$I$89,5,0)</f>
        <v>140.10088571428574</v>
      </c>
      <c r="EL47" s="13">
        <f t="shared" si="45"/>
        <v>36.320116026439095</v>
      </c>
      <c r="EM47" s="20">
        <f t="shared" si="19"/>
        <v>307.26657803176238</v>
      </c>
      <c r="EN47" s="59">
        <f t="shared" si="20"/>
        <v>600.59991136509575</v>
      </c>
      <c r="EO47" s="59">
        <f ca="1">AVERAGE(OFFSET($EN$3,0,0,'Données projet'!$E$15+1,1))-AVERAGE(OFFSET($H$3,0,0,'Données projet'!$E$15+1,1))</f>
        <v>188.61152573050066</v>
      </c>
      <c r="EP47" s="59">
        <f t="shared" si="46"/>
        <v>172.37050503841624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30.819785834786124</v>
      </c>
      <c r="EW47" s="21">
        <f>EXP(-LN(2)/25)*EW46+(1-EXP(-LN(2)/25))/(LN(2)/25)*Calculateur!ER47*Calculateur!ET47*VLOOKUP('Données projet'!$B$15,Paramètres!$A$1:$I$89,3,0)*0.475*44/12</f>
        <v>19.468008641998285</v>
      </c>
      <c r="EX47" s="21">
        <f>EXP(-LN(2)/2)*EX46+(1-EXP(-LN(2)/2))/(LN(2)/2)*ER47*EU47*VLOOKUP('Données projet'!$B$15,Paramètres!$A$1:$I$89,3,0)*0.475*44/12</f>
        <v>2.9238878290626285</v>
      </c>
      <c r="EY47" s="22">
        <f t="shared" si="21"/>
        <v>53.211682305847042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>
        <f>FE47*VLOOKUP('Données projet'!$B$16,Paramètres!$A$1:$I$89,3,0)*VLOOKUP('Données projet'!$B$16,Paramètres!$A$1:$I$89,5,0)</f>
        <v>0</v>
      </c>
      <c r="FG47" s="13" t="e">
        <f t="shared" si="47"/>
        <v>#NUM!</v>
      </c>
      <c r="FH47" s="20" t="e">
        <f t="shared" si="22"/>
        <v>#NUM!</v>
      </c>
      <c r="FI47" s="59" t="e">
        <f t="shared" si="23"/>
        <v>#NUM!</v>
      </c>
      <c r="FJ47" s="59">
        <f ca="1">AVERAGE(OFFSET($FI$3,0,0,'Données projet'!$E$16+1,1))-AVERAGE(OFFSET($H$3,0,0,'Données projet'!$E$16+1,1))</f>
        <v>0</v>
      </c>
      <c r="FK47" s="59">
        <f t="shared" si="48"/>
        <v>0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197.78572767493569</v>
      </c>
      <c r="T48" s="59">
        <f t="shared" si="34"/>
        <v>288.66487031729008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205</v>
      </c>
      <c r="AG48" s="12">
        <f>VLOOKUP(A48,'Données projet'!$A$61:$I$81,9,0)</f>
        <v>8.1999999999999993</v>
      </c>
      <c r="AH48" s="12">
        <f t="array" ref="AH48">INDEX(AG:AG,MIN(IF(ISNUMBER(AG48:AG244),ROW(AG48:AG244),"")))</f>
        <v>8.1999999999999993</v>
      </c>
      <c r="AI48" s="13">
        <f>IF('Données projet'!$A$62&gt;35,AI47+AH48-AQ47,IF(A48&lt;'Données projet'!$A$62,$AF$205^A48,IF(A48='Données projet'!$A$62,'Données projet'!$B$62,AI47+AH48-AQ47)))</f>
        <v>204.99999999999994</v>
      </c>
      <c r="AJ48" s="13">
        <f>AI48*VLOOKUP('Données projet'!$B$10,Paramètres!$A$1:$I$89,3,0)*VLOOKUP('Données projet'!$B$10,Paramètres!$A$1:$I$89,5,0)</f>
        <v>163.09799999999996</v>
      </c>
      <c r="AK48" s="13">
        <f t="shared" si="35"/>
        <v>41.540496136845142</v>
      </c>
      <c r="AL48" s="20">
        <f t="shared" si="4"/>
        <v>356.4120474383385</v>
      </c>
      <c r="AM48" s="59">
        <f t="shared" si="5"/>
        <v>649.74538077167176</v>
      </c>
      <c r="AN48" s="59">
        <f ca="1">AVERAGE(OFFSET($AM$3,0,0,'Données projet'!$E$10+1,1))-AVERAGE(OFFSET($H$3,0,0,'Données projet'!$E$10+1,1))</f>
        <v>219.43439115440339</v>
      </c>
      <c r="AO48" s="59">
        <f t="shared" si="36"/>
        <v>217.8880462742099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0.31269999999999998</v>
      </c>
      <c r="AS48" s="16">
        <f>IF(ISNA(VLOOKUP(A48,'Données projet'!$A$61:$I$81,6,0)),0%,VLOOKUP(A48,'Données projet'!$A$61:$I$81,6,0)*VLOOKUP('Données projet'!$B$10,Paramètres!$A$1:$I$89,7,0))</f>
        <v>0.1431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12.976050136200808</v>
      </c>
      <c r="AV48" s="21">
        <f>EXP(-LN(2)/25)*AV47+(1-EXP(-LN(2)/25))/(LN(2)/25)*Calculateur!AQ48*Calculateur!AS48*VLOOKUP('Données projet'!$B$10,Paramètres!$A$1:$I$89,3,0)*0.475*44/12</f>
        <v>14.418539751071341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27.394589887272147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139</v>
      </c>
      <c r="BB48" s="12">
        <f>VLOOKUP(A48,'Données projet'!$A$87:$I$107,9,0)</f>
        <v>5.4</v>
      </c>
      <c r="BC48" s="12">
        <f t="array" ref="BC48">INDEX(BB:BB,MIN(IF(ISNUMBER(BB48:BB244),ROW(BB48:BB244),"")))</f>
        <v>5.4</v>
      </c>
      <c r="BD48" s="12">
        <f>IF('Données projet'!$A$88&gt;35,BD47+BC48-BL47,IF(A48&lt;'Données projet'!$A$88,$BA$205^A48,IF(A48='Données projet'!$A$88,'Données projet'!$B$88,BD47+BC48-BL47)))</f>
        <v>139.00000000000006</v>
      </c>
      <c r="BE48" s="13">
        <f>BD48*VLOOKUP('Données projet'!$B$11,Paramètres!$A$1:$I$89,3,0)*VLOOKUP('Données projet'!$B$11,Paramètres!$A$1:$I$89,5,0)</f>
        <v>121.43040000000008</v>
      </c>
      <c r="BF48" s="13">
        <f t="shared" si="37"/>
        <v>32.008386179504484</v>
      </c>
      <c r="BG48" s="20">
        <f t="shared" si="7"/>
        <v>267.23921926263716</v>
      </c>
      <c r="BH48" s="59">
        <f t="shared" si="8"/>
        <v>560.57255259597048</v>
      </c>
      <c r="BI48" s="59">
        <f ca="1">AVERAGE(OFFSET($BH$3,0,0,'Données projet'!$E$11+1,1))-AVERAGE(OFFSET($H$3,0,0,'Données projet'!$E$11+1,1))</f>
        <v>175.73188403662408</v>
      </c>
      <c r="BJ48" s="59">
        <f t="shared" si="38"/>
        <v>152.02195399869032</v>
      </c>
      <c r="BK48" s="15">
        <f>IF(ISNA(VLOOKUP(A48,'Données projet'!$A$87:$I$107,3,0)),0,VLOOKUP(A48,'Données projet'!$A$87:$I$107,3,0))</f>
        <v>5</v>
      </c>
      <c r="BL48" s="15" t="str">
        <f>IF(ISNA(VLOOKUP(A48,'Données projet'!$A$87:$I$107,4,0)),0,VLOOKUP(A48,'Données projet'!$A$87:$I$107,4,0))</f>
        <v>15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6.826007326007324</v>
      </c>
      <c r="BY48" s="12">
        <f>IF('Données projet'!$A$114&gt;35,BY47+BX48-CG47,IF(A48&lt;'Données projet'!$A$114,$BV$205^A48,IF(A48='Données projet'!$A$114,'Données projet'!$B$114,BY47+BX48-CG47)))</f>
        <v>104.83241758241752</v>
      </c>
      <c r="BZ48" s="13">
        <f>BY48*VLOOKUP('Données projet'!$B$12,Paramètres!$A$1:$I$89,3,0)*VLOOKUP('Données projet'!$B$12,Paramètres!$A$1:$I$89,5,0)</f>
        <v>94.852371428571374</v>
      </c>
      <c r="CA48" s="13">
        <f t="shared" si="39"/>
        <v>25.731899613510901</v>
      </c>
      <c r="CB48" s="20">
        <f t="shared" si="10"/>
        <v>210.01760539829328</v>
      </c>
      <c r="CC48" s="59">
        <f t="shared" si="11"/>
        <v>503.35093873162657</v>
      </c>
      <c r="CD48" s="59">
        <f ca="1">AVERAGE(OFFSET($CC$3,0,0,'Données projet'!$E$12+1,1))-AVERAGE(OFFSET($H$3,0,0,'Données projet'!$E$12+1,1))</f>
        <v>213.54857791046686</v>
      </c>
      <c r="CE48" s="59">
        <f t="shared" si="40"/>
        <v>138.46877538074244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130.47839999999999</v>
      </c>
      <c r="CV48" s="13">
        <f t="shared" si="41"/>
        <v>34.106879882626828</v>
      </c>
      <c r="CW48" s="20">
        <f t="shared" si="13"/>
        <v>286.65269579557503</v>
      </c>
      <c r="CX48" s="59">
        <f t="shared" si="14"/>
        <v>579.98602912890829</v>
      </c>
      <c r="CY48" s="59">
        <f ca="1">AVERAGE(OFFSET($CX$3,0,0,'Données projet'!$E$13+1,1))-AVERAGE(OFFSET($H$3,0,0,'Données projet'!$E$13+1,1))</f>
        <v>161.87883827031436</v>
      </c>
      <c r="CZ48" s="59">
        <f t="shared" si="42"/>
        <v>163.02076389611869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9.0100000000000013E-2</v>
      </c>
      <c r="DD48" s="16">
        <f>IF(ISNA(VLOOKUP(A48,'Données projet'!$A$139:$I$159,6,0)),0%,VLOOKUP(A48,'Données projet'!$A$139:$I$159,6,0)*VLOOKUP('Données projet'!$B$13,Paramètres!$A$1:$I$89,7,0))</f>
        <v>0.20670000000000002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1.869698082629156</v>
      </c>
      <c r="DG48" s="21">
        <f>EXP(-LN(2)/25)*DG47+(1-EXP(-LN(2)/25))/(LN(2)/25)*Calculateur!DB48*Calculateur!DD48*VLOOKUP('Données projet'!$B$13,Paramètres!$A$1:$I$89,3,0)*0.475*44/12</f>
        <v>7.7861866565777103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9.6558847392068667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97</v>
      </c>
      <c r="DM48" s="12">
        <f>VLOOKUP(A48,'Données projet'!$A$165:$I$185,9,0)</f>
        <v>3.6</v>
      </c>
      <c r="DN48" s="12">
        <f t="array" ref="DN48">INDEX(DM:DM,MIN(IF(ISNUMBER(DM48:DM244),ROW(DM48:DM244),"")))</f>
        <v>3.6</v>
      </c>
      <c r="DO48" s="12">
        <f>IF('Données projet'!$A$166&gt;35,DO47+DN48-DW47,IF(A48&lt;'Données projet'!$A$166,$DL$205^A48,IF(A48='Données projet'!$A$166,'Données projet'!$B$166,DO47+DN48-DW47)))</f>
        <v>96.999999999999929</v>
      </c>
      <c r="DP48" s="17">
        <f>DO48*VLOOKUP('Données projet'!$B$14,Paramètres!$A$1:$I$89,3,0)*VLOOKUP('Données projet'!$B$14,Paramètres!$A$1:$I$89,5,0)</f>
        <v>78.686399999999949</v>
      </c>
      <c r="DQ48" s="13">
        <f t="shared" si="43"/>
        <v>21.815693271997169</v>
      </c>
      <c r="DR48" s="20">
        <f t="shared" si="16"/>
        <v>175.04114578206165</v>
      </c>
      <c r="DS48" s="59">
        <f t="shared" si="17"/>
        <v>468.37447911539493</v>
      </c>
      <c r="DT48" s="59">
        <f ca="1">AVERAGE(OFFSET($DS$3,0,0,'Données projet'!$E$14+1,1))-AVERAGE(OFFSET($H$3,0,0,'Données projet'!$E$14+1,1))</f>
        <v>96.611230241682733</v>
      </c>
      <c r="DU48" s="59">
        <f t="shared" si="44"/>
        <v>78.711045514042041</v>
      </c>
      <c r="DV48" s="15">
        <f>IF(ISNA(VLOOKUP(A48,'Données projet'!$A$165:$I$185,3,0)),0,VLOOKUP(A48,'Données projet'!$A$165:$I$185,3,0))</f>
        <v>5</v>
      </c>
      <c r="DW48" s="15">
        <f>IF(ISNA(VLOOKUP(A48,'Données projet'!$A$165:$I$185,4,0)),0,VLOOKUP(A48,'Données projet'!$A$165:$I$185,4,0))</f>
        <v>8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4.3000000000000003E-2</v>
      </c>
      <c r="DZ48" s="16">
        <f>IF(ISNA(VLOOKUP(A48,'Données projet'!$A$165:$I$185,7,0)),0%,VLOOKUP(A48,'Données projet'!$A$165:$I$185,7,0))</f>
        <v>0.3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0.57476404033659834</v>
      </c>
      <c r="EC48" s="21">
        <f>EXP(-LN(2)/2)*EC47+(1-EXP(-LN(2)/2))/(LN(2)/2)*DW48*DZ48*VLOOKUP('Données projet'!$B$14,Paramètres!$A$1:$I$89,3,0)*0.475*44/12</f>
        <v>2.2232352415925294</v>
      </c>
      <c r="ED48" s="22">
        <f t="shared" si="18"/>
        <v>2.7979992819291279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17.519780219780223</v>
      </c>
      <c r="EJ48" s="12">
        <f>IF('Données projet'!$A$192&gt;35,EJ47+EI48-ER47,IF(A48&lt;'Données projet'!$A$192,$EG$205^A48,IF(A48='Données projet'!$A$192,'Données projet'!$B$192,EJ47+EI48-ER47)))</f>
        <v>334.49010989010992</v>
      </c>
      <c r="EK48" s="17">
        <f>EJ48*VLOOKUP('Données projet'!$B$15,Paramètres!$A$1:$I$89,3,0)*VLOOKUP('Données projet'!$B$15,Paramètres!$A$1:$I$89,5,0)</f>
        <v>147.84462857142859</v>
      </c>
      <c r="EL48" s="13">
        <f t="shared" si="45"/>
        <v>38.088357897038236</v>
      </c>
      <c r="EM48" s="20">
        <f t="shared" si="19"/>
        <v>323.83328476591305</v>
      </c>
      <c r="EN48" s="59">
        <f t="shared" si="20"/>
        <v>617.16661809924631</v>
      </c>
      <c r="EO48" s="59">
        <f ca="1">AVERAGE(OFFSET($EN$3,0,0,'Données projet'!$E$15+1,1))-AVERAGE(OFFSET($H$3,0,0,'Données projet'!$E$15+1,1))</f>
        <v>188.61152573050066</v>
      </c>
      <c r="EP48" s="59">
        <f t="shared" si="46"/>
        <v>172.37050503841624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30.215428632779158</v>
      </c>
      <c r="EW48" s="21">
        <f>EXP(-LN(2)/25)*EW47+(1-EXP(-LN(2)/25))/(LN(2)/25)*Calculateur!ER48*Calculateur!ET48*VLOOKUP('Données projet'!$B$15,Paramètres!$A$1:$I$89,3,0)*0.475*44/12</f>
        <v>18.935654921904764</v>
      </c>
      <c r="EX48" s="21">
        <f>EXP(-LN(2)/2)*EX47+(1-EXP(-LN(2)/2))/(LN(2)/2)*ER48*EU48*VLOOKUP('Données projet'!$B$15,Paramètres!$A$1:$I$89,3,0)*0.475*44/12</f>
        <v>2.0675009113589975</v>
      </c>
      <c r="EY48" s="22">
        <f t="shared" si="21"/>
        <v>51.21858446604292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>
        <f>FE48*VLOOKUP('Données projet'!$B$16,Paramètres!$A$1:$I$89,3,0)*VLOOKUP('Données projet'!$B$16,Paramètres!$A$1:$I$89,5,0)</f>
        <v>0</v>
      </c>
      <c r="FG48" s="13" t="e">
        <f t="shared" si="47"/>
        <v>#NUM!</v>
      </c>
      <c r="FH48" s="20" t="e">
        <f t="shared" si="22"/>
        <v>#NUM!</v>
      </c>
      <c r="FI48" s="59" t="e">
        <f t="shared" si="23"/>
        <v>#NUM!</v>
      </c>
      <c r="FJ48" s="59">
        <f ca="1">AVERAGE(OFFSET($FI$3,0,0,'Données projet'!$E$16+1,1))-AVERAGE(OFFSET($H$3,0,0,'Données projet'!$E$16+1,1))</f>
        <v>0</v>
      </c>
      <c r="FK48" s="59">
        <f t="shared" si="48"/>
        <v>0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197.78572767493569</v>
      </c>
      <c r="T49" s="59">
        <f t="shared" si="34"/>
        <v>288.66487031729008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190.19999999999993</v>
      </c>
      <c r="AJ49" s="13">
        <f>AI49*VLOOKUP('Données projet'!$B$10,Paramètres!$A$1:$I$89,3,0)*VLOOKUP('Données projet'!$B$10,Paramètres!$A$1:$I$89,5,0)</f>
        <v>151.32311999999996</v>
      </c>
      <c r="AK49" s="13">
        <f t="shared" si="35"/>
        <v>38.879115530839606</v>
      </c>
      <c r="AL49" s="20">
        <f t="shared" si="4"/>
        <v>331.26889354954557</v>
      </c>
      <c r="AM49" s="59">
        <f t="shared" si="5"/>
        <v>624.60222688287888</v>
      </c>
      <c r="AN49" s="59">
        <f ca="1">AVERAGE(OFFSET($AM$3,0,0,'Données projet'!$E$10+1,1))-AVERAGE(OFFSET($H$3,0,0,'Données projet'!$E$10+1,1))</f>
        <v>219.43439115440339</v>
      </c>
      <c r="AO49" s="59">
        <f t="shared" si="36"/>
        <v>217.8880462742099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12.72159770763899</v>
      </c>
      <c r="AV49" s="21">
        <f>EXP(-LN(2)/25)*AV48+(1-EXP(-LN(2)/25))/(LN(2)/25)*Calculateur!AQ49*Calculateur!AS49*VLOOKUP('Données projet'!$B$10,Paramètres!$A$1:$I$89,3,0)*0.475*44/12</f>
        <v>14.024264023340244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26.745861730979236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5.2</v>
      </c>
      <c r="BD49" s="12">
        <f>IF('Données projet'!$A$88&gt;35,BD48+BC49-BL48,IF(A49&lt;'Données projet'!$A$88,$BA$205^A49,IF(A49='Données projet'!$A$88,'Données projet'!$B$88,BD48+BC49-BL48)))</f>
        <v>129.20000000000005</v>
      </c>
      <c r="BE49" s="13">
        <f>BD49*VLOOKUP('Données projet'!$B$11,Paramètres!$A$1:$I$89,3,0)*VLOOKUP('Données projet'!$B$11,Paramètres!$A$1:$I$89,5,0)</f>
        <v>112.86912000000005</v>
      </c>
      <c r="BF49" s="13">
        <f t="shared" si="37"/>
        <v>30.00595528244644</v>
      </c>
      <c r="BG49" s="20">
        <f t="shared" si="7"/>
        <v>248.84075611692765</v>
      </c>
      <c r="BH49" s="59">
        <f t="shared" si="8"/>
        <v>542.17408945026091</v>
      </c>
      <c r="BI49" s="59">
        <f ca="1">AVERAGE(OFFSET($BH$3,0,0,'Données projet'!$E$11+1,1))-AVERAGE(OFFSET($H$3,0,0,'Données projet'!$E$11+1,1))</f>
        <v>175.73188403662408</v>
      </c>
      <c r="BJ49" s="59">
        <f t="shared" si="38"/>
        <v>152.02195399869032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6.826007326007324</v>
      </c>
      <c r="BY49" s="12">
        <f>IF('Données projet'!$A$114&gt;35,BY48+BX49-CG48,IF(A49&lt;'Données projet'!$A$114,$BV$205^A49,IF(A49='Données projet'!$A$114,'Données projet'!$B$114,BY48+BX49-CG48)))</f>
        <v>111.65842490842485</v>
      </c>
      <c r="BZ49" s="13">
        <f>BY49*VLOOKUP('Données projet'!$B$12,Paramètres!$A$1:$I$89,3,0)*VLOOKUP('Données projet'!$B$12,Paramètres!$A$1:$I$89,5,0)</f>
        <v>101.0285428571428</v>
      </c>
      <c r="CA49" s="13">
        <f t="shared" si="39"/>
        <v>27.206887577634099</v>
      </c>
      <c r="CB49" s="20">
        <f t="shared" si="10"/>
        <v>223.3433746739031</v>
      </c>
      <c r="CC49" s="59">
        <f t="shared" si="11"/>
        <v>516.67670800723636</v>
      </c>
      <c r="CD49" s="59">
        <f ca="1">AVERAGE(OFFSET($CC$3,0,0,'Données projet'!$E$12+1,1))-AVERAGE(OFFSET($H$3,0,0,'Données projet'!$E$12+1,1))</f>
        <v>213.54857791046686</v>
      </c>
      <c r="CE49" s="59">
        <f t="shared" si="40"/>
        <v>138.46877538074244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120.61295999999999</v>
      </c>
      <c r="CV49" s="13">
        <f t="shared" si="41"/>
        <v>31.817919727949569</v>
      </c>
      <c r="CW49" s="20">
        <f t="shared" si="13"/>
        <v>265.48378219284547</v>
      </c>
      <c r="CX49" s="59">
        <f t="shared" si="14"/>
        <v>558.81711552617878</v>
      </c>
      <c r="CY49" s="59">
        <f ca="1">AVERAGE(OFFSET($CX$3,0,0,'Données projet'!$E$13+1,1))-AVERAGE(OFFSET($H$3,0,0,'Données projet'!$E$13+1,1))</f>
        <v>161.87883827031436</v>
      </c>
      <c r="CZ49" s="59">
        <f t="shared" si="42"/>
        <v>163.02076389611869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1.8330344436320232</v>
      </c>
      <c r="DG49" s="21">
        <f>EXP(-LN(2)/25)*DG48+(1-EXP(-LN(2)/25))/(LN(2)/25)*Calculateur!DB49*Calculateur!DD49*VLOOKUP('Données projet'!$B$13,Paramètres!$A$1:$I$89,3,0)*0.475*44/12</f>
        <v>7.5732729729958317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9.406307416627854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3.4</v>
      </c>
      <c r="DO49" s="12">
        <f>IF('Données projet'!$A$166&gt;35,DO48+DN49-DW48,IF(A49&lt;'Données projet'!$A$166,$DL$205^A49,IF(A49='Données projet'!$A$166,'Données projet'!$B$166,DO48+DN49-DW48)))</f>
        <v>92.399999999999935</v>
      </c>
      <c r="DP49" s="17">
        <f>DO49*VLOOKUP('Données projet'!$B$14,Paramètres!$A$1:$I$89,3,0)*VLOOKUP('Données projet'!$B$14,Paramètres!$A$1:$I$89,5,0)</f>
        <v>74.954879999999946</v>
      </c>
      <c r="DQ49" s="13">
        <f t="shared" si="43"/>
        <v>20.898988557027867</v>
      </c>
      <c r="DR49" s="20">
        <f t="shared" si="16"/>
        <v>166.94548773682342</v>
      </c>
      <c r="DS49" s="59">
        <f t="shared" si="17"/>
        <v>460.27882107015671</v>
      </c>
      <c r="DT49" s="59">
        <f ca="1">AVERAGE(OFFSET($DS$3,0,0,'Données projet'!$E$14+1,1))-AVERAGE(OFFSET($H$3,0,0,'Données projet'!$E$14+1,1))</f>
        <v>96.611230241682733</v>
      </c>
      <c r="DU49" s="59">
        <f t="shared" si="44"/>
        <v>78.711045514042041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0.55904708742806686</v>
      </c>
      <c r="EC49" s="21">
        <f>EXP(-LN(2)/2)*EC48+(1-EXP(-LN(2)/2))/(LN(2)/2)*DW49*DZ49*VLOOKUP('Données projet'!$B$14,Paramètres!$A$1:$I$89,3,0)*0.475*44/12</f>
        <v>1.5720647155029899</v>
      </c>
      <c r="ED49" s="22">
        <f t="shared" si="18"/>
        <v>2.1311118029310565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17.519780219780223</v>
      </c>
      <c r="EJ49" s="12">
        <f>IF('Données projet'!$A$192&gt;35,EJ48+EI49-ER48,IF(A49&lt;'Données projet'!$A$192,$EG$205^A49,IF(A49='Données projet'!$A$192,'Données projet'!$B$192,EJ48+EI49-ER48)))</f>
        <v>352.00989010989014</v>
      </c>
      <c r="EK49" s="17">
        <f>EJ49*VLOOKUP('Données projet'!$B$15,Paramètres!$A$1:$I$89,3,0)*VLOOKUP('Données projet'!$B$15,Paramètres!$A$1:$I$89,5,0)</f>
        <v>155.58837142857143</v>
      </c>
      <c r="EL49" s="13">
        <f t="shared" si="45"/>
        <v>39.845846845893483</v>
      </c>
      <c r="EM49" s="20">
        <f t="shared" si="19"/>
        <v>340.38126349469303</v>
      </c>
      <c r="EN49" s="59">
        <f t="shared" si="20"/>
        <v>633.71459682802629</v>
      </c>
      <c r="EO49" s="59">
        <f ca="1">AVERAGE(OFFSET($EN$3,0,0,'Données projet'!$E$15+1,1))-AVERAGE(OFFSET($H$3,0,0,'Données projet'!$E$15+1,1))</f>
        <v>188.61152573050066</v>
      </c>
      <c r="EP49" s="59">
        <f t="shared" si="46"/>
        <v>172.37050503841624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29.622922506882055</v>
      </c>
      <c r="EW49" s="21">
        <f>EXP(-LN(2)/25)*EW48+(1-EXP(-LN(2)/25))/(LN(2)/25)*Calculateur!ER49*Calculateur!ET49*VLOOKUP('Données projet'!$B$15,Paramètres!$A$1:$I$89,3,0)*0.475*44/12</f>
        <v>18.417858442282462</v>
      </c>
      <c r="EX49" s="21">
        <f>EXP(-LN(2)/2)*EX48+(1-EXP(-LN(2)/2))/(LN(2)/2)*ER49*EU49*VLOOKUP('Données projet'!$B$15,Paramètres!$A$1:$I$89,3,0)*0.475*44/12</f>
        <v>1.4619439145313142</v>
      </c>
      <c r="EY49" s="22">
        <f t="shared" si="21"/>
        <v>49.502724863695825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>
        <f>FE49*VLOOKUP('Données projet'!$B$16,Paramètres!$A$1:$I$89,3,0)*VLOOKUP('Données projet'!$B$16,Paramètres!$A$1:$I$89,5,0)</f>
        <v>0</v>
      </c>
      <c r="FG49" s="13" t="e">
        <f t="shared" si="47"/>
        <v>#NUM!</v>
      </c>
      <c r="FH49" s="20" t="e">
        <f t="shared" si="22"/>
        <v>#NUM!</v>
      </c>
      <c r="FI49" s="59" t="e">
        <f t="shared" si="23"/>
        <v>#NUM!</v>
      </c>
      <c r="FJ49" s="59">
        <f ca="1">AVERAGE(OFFSET($FI$3,0,0,'Données projet'!$E$16+1,1))-AVERAGE(OFFSET($H$3,0,0,'Données projet'!$E$16+1,1))</f>
        <v>0</v>
      </c>
      <c r="FK49" s="59">
        <f t="shared" si="48"/>
        <v>0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197.78572767493569</v>
      </c>
      <c r="T50" s="59">
        <f t="shared" si="34"/>
        <v>288.66487031729008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197.39999999999992</v>
      </c>
      <c r="AJ50" s="13">
        <f>AI50*VLOOKUP('Données projet'!$B$10,Paramètres!$A$1:$I$89,3,0)*VLOOKUP('Données projet'!$B$10,Paramètres!$A$1:$I$89,5,0)</f>
        <v>157.05143999999996</v>
      </c>
      <c r="AK50" s="13">
        <f t="shared" si="35"/>
        <v>40.176741230099708</v>
      </c>
      <c r="AL50" s="20">
        <f t="shared" si="4"/>
        <v>343.50574897575689</v>
      </c>
      <c r="AM50" s="59">
        <f t="shared" si="5"/>
        <v>636.83908230909014</v>
      </c>
      <c r="AN50" s="59">
        <f ca="1">AVERAGE(OFFSET($AM$3,0,0,'Données projet'!$E$10+1,1))-AVERAGE(OFFSET($H$3,0,0,'Données projet'!$E$10+1,1))</f>
        <v>219.43439115440339</v>
      </c>
      <c r="AO50" s="59">
        <f t="shared" si="36"/>
        <v>217.8880462742099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12.472134936000613</v>
      </c>
      <c r="AV50" s="21">
        <f>EXP(-LN(2)/25)*AV49+(1-EXP(-LN(2)/25))/(LN(2)/25)*Calculateur!AQ50*Calculateur!AS50*VLOOKUP('Données projet'!$B$10,Paramètres!$A$1:$I$89,3,0)*0.475*44/12</f>
        <v>13.640769786118012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26.112904722118625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5.2</v>
      </c>
      <c r="BD50" s="12">
        <f>IF('Données projet'!$A$88&gt;35,BD49+BC50-BL49,IF(A50&lt;'Données projet'!$A$88,$BA$205^A50,IF(A50='Données projet'!$A$88,'Données projet'!$B$88,BD49+BC50-BL49)))</f>
        <v>134.40000000000003</v>
      </c>
      <c r="BE50" s="13">
        <f>BD50*VLOOKUP('Données projet'!$B$11,Paramètres!$A$1:$I$89,3,0)*VLOOKUP('Données projet'!$B$11,Paramètres!$A$1:$I$89,5,0)</f>
        <v>117.41184000000004</v>
      </c>
      <c r="BF50" s="13">
        <f t="shared" si="37"/>
        <v>31.070589593507073</v>
      </c>
      <c r="BG50" s="20">
        <f t="shared" si="7"/>
        <v>258.60689820869152</v>
      </c>
      <c r="BH50" s="59">
        <f t="shared" si="8"/>
        <v>551.94023154202478</v>
      </c>
      <c r="BI50" s="59">
        <f ca="1">AVERAGE(OFFSET($BH$3,0,0,'Données projet'!$E$11+1,1))-AVERAGE(OFFSET($H$3,0,0,'Données projet'!$E$11+1,1))</f>
        <v>175.73188403662408</v>
      </c>
      <c r="BJ50" s="59">
        <f t="shared" si="38"/>
        <v>152.02195399869032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6.826007326007324</v>
      </c>
      <c r="BY50" s="12">
        <f>IF('Données projet'!$A$114&gt;35,BY49+BX50-CG49,IF(A50&lt;'Données projet'!$A$114,$BV$205^A50,IF(A50='Données projet'!$A$114,'Données projet'!$B$114,BY49+BX50-CG49)))</f>
        <v>118.48443223443218</v>
      </c>
      <c r="BZ50" s="13">
        <f>BY50*VLOOKUP('Données projet'!$B$12,Paramètres!$A$1:$I$89,3,0)*VLOOKUP('Données projet'!$B$12,Paramètres!$A$1:$I$89,5,0)</f>
        <v>107.20471428571423</v>
      </c>
      <c r="CA50" s="13">
        <f t="shared" si="39"/>
        <v>28.671410088969473</v>
      </c>
      <c r="CB50" s="20">
        <f t="shared" si="10"/>
        <v>236.65091661924077</v>
      </c>
      <c r="CC50" s="59">
        <f t="shared" si="11"/>
        <v>529.98424995257415</v>
      </c>
      <c r="CD50" s="59">
        <f ca="1">AVERAGE(OFFSET($CC$3,0,0,'Données projet'!$E$12+1,1))-AVERAGE(OFFSET($H$3,0,0,'Données projet'!$E$12+1,1))</f>
        <v>213.54857791046686</v>
      </c>
      <c r="CE50" s="59">
        <f t="shared" si="40"/>
        <v>138.46877538074244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125.06831999999997</v>
      </c>
      <c r="CV50" s="13">
        <f t="shared" si="41"/>
        <v>32.854240611993333</v>
      </c>
      <c r="CW50" s="20">
        <f t="shared" si="13"/>
        <v>275.04845973255499</v>
      </c>
      <c r="CX50" s="59">
        <f t="shared" si="14"/>
        <v>568.38179306588836</v>
      </c>
      <c r="CY50" s="59">
        <f ca="1">AVERAGE(OFFSET($CX$3,0,0,'Données projet'!$E$13+1,1))-AVERAGE(OFFSET($H$3,0,0,'Données projet'!$E$13+1,1))</f>
        <v>161.87883827031436</v>
      </c>
      <c r="CZ50" s="59">
        <f t="shared" si="42"/>
        <v>163.02076389611869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1.7970897562330124</v>
      </c>
      <c r="DG50" s="21">
        <f>EXP(-LN(2)/25)*DG49+(1-EXP(-LN(2)/25))/(LN(2)/25)*Calculateur!DB50*Calculateur!DD50*VLOOKUP('Données projet'!$B$13,Paramètres!$A$1:$I$89,3,0)*0.475*44/12</f>
        <v>7.3661814252881443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9.1632711815211572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3.4</v>
      </c>
      <c r="DO50" s="12">
        <f>IF('Données projet'!$A$166&gt;35,DO49+DN50-DW49,IF(A50&lt;'Données projet'!$A$166,$DL$205^A50,IF(A50='Données projet'!$A$166,'Données projet'!$B$166,DO49+DN50-DW49)))</f>
        <v>95.79999999999994</v>
      </c>
      <c r="DP50" s="17">
        <f>DO50*VLOOKUP('Données projet'!$B$14,Paramètres!$A$1:$I$89,3,0)*VLOOKUP('Données projet'!$B$14,Paramètres!$A$1:$I$89,5,0)</f>
        <v>77.712959999999967</v>
      </c>
      <c r="DQ50" s="13">
        <f t="shared" si="43"/>
        <v>21.577050510831132</v>
      </c>
      <c r="DR50" s="20">
        <f t="shared" si="16"/>
        <v>172.93010163969748</v>
      </c>
      <c r="DS50" s="59">
        <f t="shared" si="17"/>
        <v>466.26343497303083</v>
      </c>
      <c r="DT50" s="59">
        <f ca="1">AVERAGE(OFFSET($DS$3,0,0,'Données projet'!$E$14+1,1))-AVERAGE(OFFSET($H$3,0,0,'Données projet'!$E$14+1,1))</f>
        <v>96.611230241682733</v>
      </c>
      <c r="DU50" s="59">
        <f t="shared" si="44"/>
        <v>78.711045514042041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0.54375991542333779</v>
      </c>
      <c r="EC50" s="21">
        <f>EXP(-LN(2)/2)*EC49+(1-EXP(-LN(2)/2))/(LN(2)/2)*DW50*DZ50*VLOOKUP('Données projet'!$B$14,Paramètres!$A$1:$I$89,3,0)*0.475*44/12</f>
        <v>1.1116176207962649</v>
      </c>
      <c r="ED50" s="22">
        <f t="shared" si="18"/>
        <v>1.6553775362196026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17.519780219780223</v>
      </c>
      <c r="EJ50" s="12">
        <f>IF('Données projet'!$A$192&gt;35,EJ49+EI50-ER49,IF(A50&lt;'Données projet'!$A$192,$EG$205^A50,IF(A50='Données projet'!$A$192,'Données projet'!$B$192,EJ49+EI50-ER49)))</f>
        <v>369.52967032967035</v>
      </c>
      <c r="EK50" s="17">
        <f>EJ50*VLOOKUP('Données projet'!$B$15,Paramètres!$A$1:$I$89,3,0)*VLOOKUP('Données projet'!$B$15,Paramètres!$A$1:$I$89,5,0)</f>
        <v>163.33211428571431</v>
      </c>
      <c r="EL50" s="13">
        <f t="shared" si="45"/>
        <v>41.593179125294846</v>
      </c>
      <c r="EM50" s="20">
        <f t="shared" si="19"/>
        <v>356.91155269084101</v>
      </c>
      <c r="EN50" s="59">
        <f t="shared" si="20"/>
        <v>650.24488602417432</v>
      </c>
      <c r="EO50" s="59">
        <f ca="1">AVERAGE(OFFSET($EN$3,0,0,'Données projet'!$E$15+1,1))-AVERAGE(OFFSET($H$3,0,0,'Données projet'!$E$15+1,1))</f>
        <v>188.61152573050066</v>
      </c>
      <c r="EP50" s="59">
        <f t="shared" si="46"/>
        <v>172.37050503841624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29.042035064720743</v>
      </c>
      <c r="EW50" s="21">
        <f>EXP(-LN(2)/25)*EW49+(1-EXP(-LN(2)/25))/(LN(2)/25)*Calculateur!ER50*Calculateur!ET50*VLOOKUP('Données projet'!$B$15,Paramètres!$A$1:$I$89,3,0)*0.475*44/12</f>
        <v>17.914221134625166</v>
      </c>
      <c r="EX50" s="21">
        <f>EXP(-LN(2)/2)*EX49+(1-EXP(-LN(2)/2))/(LN(2)/2)*ER50*EU50*VLOOKUP('Données projet'!$B$15,Paramètres!$A$1:$I$89,3,0)*0.475*44/12</f>
        <v>1.0337504556794987</v>
      </c>
      <c r="EY50" s="22">
        <f t="shared" si="21"/>
        <v>47.990006655025404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>
        <f>FE50*VLOOKUP('Données projet'!$B$16,Paramètres!$A$1:$I$89,3,0)*VLOOKUP('Données projet'!$B$16,Paramètres!$A$1:$I$89,5,0)</f>
        <v>0</v>
      </c>
      <c r="FG50" s="13" t="e">
        <f t="shared" si="47"/>
        <v>#NUM!</v>
      </c>
      <c r="FH50" s="20" t="e">
        <f t="shared" si="22"/>
        <v>#NUM!</v>
      </c>
      <c r="FI50" s="59" t="e">
        <f t="shared" si="23"/>
        <v>#NUM!</v>
      </c>
      <c r="FJ50" s="59">
        <f ca="1">AVERAGE(OFFSET($FI$3,0,0,'Données projet'!$E$16+1,1))-AVERAGE(OFFSET($H$3,0,0,'Données projet'!$E$16+1,1))</f>
        <v>0</v>
      </c>
      <c r="FK50" s="59">
        <f t="shared" si="48"/>
        <v>0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197.78572767493569</v>
      </c>
      <c r="T51" s="59">
        <f t="shared" si="34"/>
        <v>288.66487031729008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204.59999999999991</v>
      </c>
      <c r="AJ51" s="13">
        <f>AI51*VLOOKUP('Données projet'!$B$10,Paramètres!$A$1:$I$89,3,0)*VLOOKUP('Données projet'!$B$10,Paramètres!$A$1:$I$89,5,0)</f>
        <v>162.77975999999995</v>
      </c>
      <c r="AK51" s="13">
        <f t="shared" si="35"/>
        <v>41.468868129640057</v>
      </c>
      <c r="AL51" s="20">
        <f t="shared" si="4"/>
        <v>355.73302732578964</v>
      </c>
      <c r="AM51" s="59">
        <f t="shared" si="5"/>
        <v>649.06636065912289</v>
      </c>
      <c r="AN51" s="59">
        <f ca="1">AVERAGE(OFFSET($AM$3,0,0,'Données projet'!$E$10+1,1))-AVERAGE(OFFSET($H$3,0,0,'Données projet'!$E$10+1,1))</f>
        <v>219.43439115440339</v>
      </c>
      <c r="AO51" s="59">
        <f t="shared" si="36"/>
        <v>217.8880462742099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12.227563977156798</v>
      </c>
      <c r="AV51" s="21">
        <f>EXP(-LN(2)/25)*AV50+(1-EXP(-LN(2)/25))/(LN(2)/25)*Calculateur!AQ51*Calculateur!AS51*VLOOKUP('Données projet'!$B$10,Paramètres!$A$1:$I$89,3,0)*0.475*44/12</f>
        <v>13.267762218979708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25.495326196136507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5.2</v>
      </c>
      <c r="BD51" s="12">
        <f>IF('Données projet'!$A$88&gt;35,BD50+BC51-BL50,IF(A51&lt;'Données projet'!$A$88,$BA$205^A51,IF(A51='Données projet'!$A$88,'Données projet'!$B$88,BD50+BC51-BL50)))</f>
        <v>139.60000000000002</v>
      </c>
      <c r="BE51" s="13">
        <f>BD51*VLOOKUP('Données projet'!$B$11,Paramètres!$A$1:$I$89,3,0)*VLOOKUP('Données projet'!$B$11,Paramètres!$A$1:$I$89,5,0)</f>
        <v>121.95456000000003</v>
      </c>
      <c r="BF51" s="13">
        <f t="shared" si="37"/>
        <v>32.130438767300902</v>
      </c>
      <c r="BG51" s="20">
        <f t="shared" si="7"/>
        <v>268.36470618638242</v>
      </c>
      <c r="BH51" s="59">
        <f t="shared" si="8"/>
        <v>561.69803951971573</v>
      </c>
      <c r="BI51" s="59">
        <f ca="1">AVERAGE(OFFSET($BH$3,0,0,'Données projet'!$E$11+1,1))-AVERAGE(OFFSET($H$3,0,0,'Données projet'!$E$11+1,1))</f>
        <v>175.73188403662408</v>
      </c>
      <c r="BJ51" s="59">
        <f t="shared" si="38"/>
        <v>152.02195399869032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6.826007326007324</v>
      </c>
      <c r="BY51" s="12">
        <f>IF('Données projet'!$A$114&gt;35,BY50+BX51-CG50,IF(A51&lt;'Données projet'!$A$114,$BV$205^A51,IF(A51='Données projet'!$A$114,'Données projet'!$B$114,BY50+BX51-CG50)))</f>
        <v>125.31043956043951</v>
      </c>
      <c r="BZ51" s="13">
        <f>BY51*VLOOKUP('Données projet'!$B$12,Paramètres!$A$1:$I$89,3,0)*VLOOKUP('Données projet'!$B$12,Paramètres!$A$1:$I$89,5,0)</f>
        <v>113.38088571428565</v>
      </c>
      <c r="CA51" s="13">
        <f t="shared" si="39"/>
        <v>30.126138765380961</v>
      </c>
      <c r="CB51" s="20">
        <f t="shared" si="10"/>
        <v>249.94140096875267</v>
      </c>
      <c r="CC51" s="59">
        <f t="shared" si="11"/>
        <v>543.27473430208602</v>
      </c>
      <c r="CD51" s="59">
        <f ca="1">AVERAGE(OFFSET($CC$3,0,0,'Données projet'!$E$12+1,1))-AVERAGE(OFFSET($H$3,0,0,'Données projet'!$E$12+1,1))</f>
        <v>213.54857791046686</v>
      </c>
      <c r="CE51" s="59">
        <f t="shared" si="40"/>
        <v>138.46877538074244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129.52367999999996</v>
      </c>
      <c r="CV51" s="13">
        <f t="shared" si="41"/>
        <v>33.886272262901727</v>
      </c>
      <c r="CW51" s="20">
        <f t="shared" si="13"/>
        <v>284.60566685788712</v>
      </c>
      <c r="CX51" s="59">
        <f t="shared" si="14"/>
        <v>577.93900019122043</v>
      </c>
      <c r="CY51" s="59">
        <f ca="1">AVERAGE(OFFSET($CX$3,0,0,'Données projet'!$E$13+1,1))-AVERAGE(OFFSET($H$3,0,0,'Données projet'!$E$13+1,1))</f>
        <v>161.87883827031436</v>
      </c>
      <c r="CZ51" s="59">
        <f t="shared" si="42"/>
        <v>163.02076389611869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1.7618499222298019</v>
      </c>
      <c r="DG51" s="21">
        <f>EXP(-LN(2)/25)*DG50+(1-EXP(-LN(2)/25))/(LN(2)/25)*Calculateur!DB51*Calculateur!DD51*VLOOKUP('Données projet'!$B$13,Paramètres!$A$1:$I$89,3,0)*0.475*44/12</f>
        <v>7.1647528068429942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8.9266027290727958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3.4</v>
      </c>
      <c r="DO51" s="12">
        <f>IF('Données projet'!$A$166&gt;35,DO50+DN51-DW50,IF(A51&lt;'Données projet'!$A$166,$DL$205^A51,IF(A51='Données projet'!$A$166,'Données projet'!$B$166,DO50+DN51-DW50)))</f>
        <v>99.199999999999946</v>
      </c>
      <c r="DP51" s="17">
        <f>DO51*VLOOKUP('Données projet'!$B$14,Paramètres!$A$1:$I$89,3,0)*VLOOKUP('Données projet'!$B$14,Paramètres!$A$1:$I$89,5,0)</f>
        <v>80.471039999999959</v>
      </c>
      <c r="DQ51" s="13">
        <f t="shared" si="43"/>
        <v>22.252316476434238</v>
      </c>
      <c r="DR51" s="20">
        <f t="shared" si="16"/>
        <v>178.90984586312288</v>
      </c>
      <c r="DS51" s="59">
        <f t="shared" si="17"/>
        <v>472.2431791964562</v>
      </c>
      <c r="DT51" s="59">
        <f ca="1">AVERAGE(OFFSET($DS$3,0,0,'Données projet'!$E$14+1,1))-AVERAGE(OFFSET($H$3,0,0,'Données projet'!$E$14+1,1))</f>
        <v>96.611230241682733</v>
      </c>
      <c r="DU51" s="59">
        <f t="shared" si="44"/>
        <v>78.711045514042041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0.52889077194099543</v>
      </c>
      <c r="EC51" s="21">
        <f>EXP(-LN(2)/2)*EC50+(1-EXP(-LN(2)/2))/(LN(2)/2)*DW51*DZ51*VLOOKUP('Données projet'!$B$14,Paramètres!$A$1:$I$89,3,0)*0.475*44/12</f>
        <v>0.78603235775149516</v>
      </c>
      <c r="ED51" s="22">
        <f t="shared" si="18"/>
        <v>1.3149231296924906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17.519780219780223</v>
      </c>
      <c r="EJ51" s="12">
        <f>IF('Données projet'!$A$192&gt;35,EJ50+EI51-ER50,IF(A51&lt;'Données projet'!$A$192,$EG$205^A51,IF(A51='Données projet'!$A$192,'Données projet'!$B$192,EJ50+EI51-ER50)))</f>
        <v>387.04945054945057</v>
      </c>
      <c r="EK51" s="17">
        <f>EJ51*VLOOKUP('Données projet'!$B$15,Paramètres!$A$1:$I$89,3,0)*VLOOKUP('Données projet'!$B$15,Paramètres!$A$1:$I$89,5,0)</f>
        <v>171.07585714285716</v>
      </c>
      <c r="EL51" s="13">
        <f t="shared" si="45"/>
        <v>43.330891254862777</v>
      </c>
      <c r="EM51" s="20">
        <f t="shared" si="19"/>
        <v>373.42508679269554</v>
      </c>
      <c r="EN51" s="59">
        <f t="shared" si="20"/>
        <v>666.7584201260288</v>
      </c>
      <c r="EO51" s="59">
        <f ca="1">AVERAGE(OFFSET($EN$3,0,0,'Données projet'!$E$15+1,1))-AVERAGE(OFFSET($H$3,0,0,'Données projet'!$E$15+1,1))</f>
        <v>188.61152573050066</v>
      </c>
      <c r="EP51" s="59">
        <f t="shared" si="46"/>
        <v>172.37050503841624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28.472538470993857</v>
      </c>
      <c r="EW51" s="21">
        <f>EXP(-LN(2)/25)*EW50+(1-EXP(-LN(2)/25))/(LN(2)/25)*Calculateur!ER51*Calculateur!ET51*VLOOKUP('Données projet'!$B$15,Paramètres!$A$1:$I$89,3,0)*0.475*44/12</f>
        <v>17.424355815630893</v>
      </c>
      <c r="EX51" s="21">
        <f>EXP(-LN(2)/2)*EX50+(1-EXP(-LN(2)/2))/(LN(2)/2)*ER51*EU51*VLOOKUP('Données projet'!$B$15,Paramètres!$A$1:$I$89,3,0)*0.475*44/12</f>
        <v>0.73097195726565711</v>
      </c>
      <c r="EY51" s="22">
        <f t="shared" si="21"/>
        <v>46.627866243890409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>
        <f>FE51*VLOOKUP('Données projet'!$B$16,Paramètres!$A$1:$I$89,3,0)*VLOOKUP('Données projet'!$B$16,Paramètres!$A$1:$I$89,5,0)</f>
        <v>0</v>
      </c>
      <c r="FG51" s="13" t="e">
        <f t="shared" si="47"/>
        <v>#NUM!</v>
      </c>
      <c r="FH51" s="20" t="e">
        <f t="shared" si="22"/>
        <v>#NUM!</v>
      </c>
      <c r="FI51" s="59" t="e">
        <f t="shared" si="23"/>
        <v>#NUM!</v>
      </c>
      <c r="FJ51" s="59">
        <f ca="1">AVERAGE(OFFSET($FI$3,0,0,'Données projet'!$E$16+1,1))-AVERAGE(OFFSET($H$3,0,0,'Données projet'!$E$16+1,1))</f>
        <v>0</v>
      </c>
      <c r="FK51" s="59">
        <f t="shared" si="48"/>
        <v>0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197.78572767493569</v>
      </c>
      <c r="T52" s="59">
        <f t="shared" si="34"/>
        <v>288.66487031729008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211.7999999999999</v>
      </c>
      <c r="AJ52" s="13">
        <f>AI52*VLOOKUP('Données projet'!$B$10,Paramètres!$A$1:$I$89,3,0)*VLOOKUP('Données projet'!$B$10,Paramètres!$A$1:$I$89,5,0)</f>
        <v>168.50807999999992</v>
      </c>
      <c r="AK52" s="13">
        <f t="shared" si="35"/>
        <v>42.755711908378117</v>
      </c>
      <c r="AL52" s="20">
        <f t="shared" si="4"/>
        <v>367.95110424042508</v>
      </c>
      <c r="AM52" s="59">
        <f t="shared" si="5"/>
        <v>661.2844375737584</v>
      </c>
      <c r="AN52" s="59">
        <f ca="1">AVERAGE(OFFSET($AM$3,0,0,'Données projet'!$E$10+1,1))-AVERAGE(OFFSET($H$3,0,0,'Données projet'!$E$10+1,1))</f>
        <v>219.43439115440339</v>
      </c>
      <c r="AO52" s="59">
        <f t="shared" si="36"/>
        <v>217.8880462742099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11.987788905642356</v>
      </c>
      <c r="AV52" s="21">
        <f>EXP(-LN(2)/25)*AV51+(1-EXP(-LN(2)/25))/(LN(2)/25)*Calculateur!AQ52*Calculateur!AS52*VLOOKUP('Données projet'!$B$10,Paramètres!$A$1:$I$89,3,0)*0.475*44/12</f>
        <v>12.904954563380418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24.892743469022776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5.2</v>
      </c>
      <c r="BD52" s="12">
        <f>IF('Données projet'!$A$88&gt;35,BD51+BC52-BL51,IF(A52&lt;'Données projet'!$A$88,$BA$205^A52,IF(A52='Données projet'!$A$88,'Données projet'!$B$88,BD51+BC52-BL51)))</f>
        <v>144.80000000000001</v>
      </c>
      <c r="BE52" s="13">
        <f>BD52*VLOOKUP('Données projet'!$B$11,Paramètres!$A$1:$I$89,3,0)*VLOOKUP('Données projet'!$B$11,Paramètres!$A$1:$I$89,5,0)</f>
        <v>126.49728000000002</v>
      </c>
      <c r="BF52" s="13">
        <f t="shared" si="37"/>
        <v>33.185701456959592</v>
      </c>
      <c r="BG52" s="20">
        <f t="shared" si="7"/>
        <v>278.11452603753798</v>
      </c>
      <c r="BH52" s="59">
        <f t="shared" si="8"/>
        <v>571.44785937087136</v>
      </c>
      <c r="BI52" s="59">
        <f ca="1">AVERAGE(OFFSET($BH$3,0,0,'Données projet'!$E$11+1,1))-AVERAGE(OFFSET($H$3,0,0,'Données projet'!$E$11+1,1))</f>
        <v>175.73188403662408</v>
      </c>
      <c r="BJ52" s="59">
        <f t="shared" si="38"/>
        <v>152.02195399869032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6.826007326007324</v>
      </c>
      <c r="BY52" s="12">
        <f>IF('Données projet'!$A$114&gt;35,BY51+BX52-CG51,IF(A52&lt;'Données projet'!$A$114,$BV$205^A52,IF(A52='Données projet'!$A$114,'Données projet'!$B$114,BY51+BX52-CG51)))</f>
        <v>132.13644688644683</v>
      </c>
      <c r="BZ52" s="13">
        <f>BY52*VLOOKUP('Données projet'!$B$12,Paramètres!$A$1:$I$89,3,0)*VLOOKUP('Données projet'!$B$12,Paramètres!$A$1:$I$89,5,0)</f>
        <v>119.55705714285709</v>
      </c>
      <c r="CA52" s="13">
        <f t="shared" si="39"/>
        <v>31.571667922473026</v>
      </c>
      <c r="CB52" s="20">
        <f t="shared" si="10"/>
        <v>263.21586282211655</v>
      </c>
      <c r="CC52" s="59">
        <f t="shared" si="11"/>
        <v>556.54919615544986</v>
      </c>
      <c r="CD52" s="59">
        <f ca="1">AVERAGE(OFFSET($CC$3,0,0,'Données projet'!$E$12+1,1))-AVERAGE(OFFSET($H$3,0,0,'Données projet'!$E$12+1,1))</f>
        <v>213.54857791046686</v>
      </c>
      <c r="CE52" s="59">
        <f t="shared" si="40"/>
        <v>138.46877538074244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133.97903999999997</v>
      </c>
      <c r="CV52" s="13">
        <f t="shared" si="41"/>
        <v>34.914179132249863</v>
      </c>
      <c r="CW52" s="20">
        <f t="shared" si="13"/>
        <v>294.15568998866848</v>
      </c>
      <c r="CX52" s="59">
        <f t="shared" si="14"/>
        <v>587.4890233220018</v>
      </c>
      <c r="CY52" s="59">
        <f ca="1">AVERAGE(OFFSET($CX$3,0,0,'Données projet'!$E$13+1,1))-AVERAGE(OFFSET($H$3,0,0,'Données projet'!$E$13+1,1))</f>
        <v>161.87883827031436</v>
      </c>
      <c r="CZ52" s="59">
        <f t="shared" si="42"/>
        <v>163.02076389611869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1.7273011198772179</v>
      </c>
      <c r="DG52" s="21">
        <f>EXP(-LN(2)/25)*DG51+(1-EXP(-LN(2)/25))/(LN(2)/25)*Calculateur!DB52*Calculateur!DD52*VLOOKUP('Données projet'!$B$13,Paramètres!$A$1:$I$89,3,0)*0.475*44/12</f>
        <v>6.9688322645618976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8.6961333844391149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3.4</v>
      </c>
      <c r="DO52" s="12">
        <f>IF('Données projet'!$A$166&gt;35,DO51+DN52-DW51,IF(A52&lt;'Données projet'!$A$166,$DL$205^A52,IF(A52='Données projet'!$A$166,'Données projet'!$B$166,DO51+DN52-DW51)))</f>
        <v>102.59999999999995</v>
      </c>
      <c r="DP52" s="17">
        <f>DO52*VLOOKUP('Données projet'!$B$14,Paramètres!$A$1:$I$89,3,0)*VLOOKUP('Données projet'!$B$14,Paramètres!$A$1:$I$89,5,0)</f>
        <v>83.229119999999966</v>
      </c>
      <c r="DQ52" s="13">
        <f t="shared" si="43"/>
        <v>22.924893268089306</v>
      </c>
      <c r="DR52" s="20">
        <f t="shared" si="16"/>
        <v>184.88490644192211</v>
      </c>
      <c r="DS52" s="59">
        <f t="shared" si="17"/>
        <v>478.21823977525543</v>
      </c>
      <c r="DT52" s="59">
        <f ca="1">AVERAGE(OFFSET($DS$3,0,0,'Données projet'!$E$14+1,1))-AVERAGE(OFFSET($H$3,0,0,'Données projet'!$E$14+1,1))</f>
        <v>96.611230241682733</v>
      </c>
      <c r="DU52" s="59">
        <f t="shared" si="44"/>
        <v>78.711045514042041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0.51442822596911197</v>
      </c>
      <c r="EC52" s="21">
        <f>EXP(-LN(2)/2)*EC51+(1-EXP(-LN(2)/2))/(LN(2)/2)*DW52*DZ52*VLOOKUP('Données projet'!$B$14,Paramètres!$A$1:$I$89,3,0)*0.475*44/12</f>
        <v>0.55580881039813257</v>
      </c>
      <c r="ED52" s="22">
        <f t="shared" si="18"/>
        <v>1.0702370363672444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>
        <f>VLOOKUP(A52,'Données projet'!$A$191:$I$211,2,0)</f>
        <v>404.56923076923078</v>
      </c>
      <c r="EH52" s="12">
        <f>VLOOKUP(A52,'Données projet'!$A$191:$I$211,9,0)</f>
        <v>17.519780219780223</v>
      </c>
      <c r="EI52" s="12">
        <f t="array" ref="EI52">INDEX(EH:EH,MIN(IF(ISNUMBER(EH52:EH248),ROW(EH52:EH248),"")))</f>
        <v>17.519780219780223</v>
      </c>
      <c r="EJ52" s="12">
        <f>IF('Données projet'!$A$192&gt;35,EJ51+EI52-ER51,IF(A52&lt;'Données projet'!$A$192,$EG$205^A52,IF(A52='Données projet'!$A$192,'Données projet'!$B$192,EJ51+EI52-ER51)))</f>
        <v>404.56923076923078</v>
      </c>
      <c r="EK52" s="17">
        <f>EJ52*VLOOKUP('Données projet'!$B$15,Paramètres!$A$1:$I$89,3,0)*VLOOKUP('Données projet'!$B$15,Paramètres!$A$1:$I$89,5,0)</f>
        <v>178.81960000000001</v>
      </c>
      <c r="EL52" s="13">
        <f t="shared" si="45"/>
        <v>45.059468437489592</v>
      </c>
      <c r="EM52" s="20">
        <f t="shared" si="19"/>
        <v>389.92271086196098</v>
      </c>
      <c r="EN52" s="59">
        <f t="shared" si="20"/>
        <v>683.25604419529429</v>
      </c>
      <c r="EO52" s="59">
        <f ca="1">AVERAGE(OFFSET($EN$3,0,0,'Données projet'!$E$15+1,1))-AVERAGE(OFFSET($H$3,0,0,'Données projet'!$E$15+1,1))</f>
        <v>188.61152573050066</v>
      </c>
      <c r="EP52" s="59">
        <f t="shared" si="46"/>
        <v>172.37050503841624</v>
      </c>
      <c r="EQ52" s="15">
        <f>IF(ISNA(VLOOKUP(A52,'Données projet'!$A$191:$I$211,3,0)),0,VLOOKUP(A52,'Données projet'!$A$191:$I$211,3,0))</f>
        <v>5</v>
      </c>
      <c r="ER52" s="15">
        <f>IF(ISNA(VLOOKUP(A52,'Données projet'!$A$191:$I$211,4,0)),0,VLOOKUP(A52,'Données projet'!$A$191:$I$211,4,0))</f>
        <v>90.453846153846158</v>
      </c>
      <c r="ES52" s="16">
        <f>IF(ISNA(VLOOKUP(A52,'Données projet'!$A$191:$I$211,5,0)),0%,VLOOKUP(A52,'Données projet'!$A$191:$I$211,5,0)*VLOOKUP('Données projet'!$B$15,Paramètres!$A$1:$I$89,7,0))</f>
        <v>0.38500000000000001</v>
      </c>
      <c r="ET52" s="16">
        <f>IF(ISNA(VLOOKUP(A52,'Données projet'!$A$191:$I$211,6,0)),0%,VLOOKUP(A52,'Données projet'!$A$191:$I$211,6,0)*VLOOKUP('Données projet'!$B$15,Paramètres!$A$1:$I$89,7,0))</f>
        <v>9.240000000000001E-2</v>
      </c>
      <c r="EU52" s="16">
        <f>IF(ISNA(VLOOKUP(A52,'Données projet'!$A$191:$I$211,7,0)),0%,VLOOKUP(A52,'Données projet'!$A$191:$I$211,7,0))</f>
        <v>0.13200000000000001</v>
      </c>
      <c r="EV52" s="21">
        <f>EXP(-LN(2)/35)*EV51+(1-EXP(-LN(2)/35))/(LN(2)/35)*ER52*ES52*VLOOKUP('Données projet'!$B$15,Paramètres!$A$1:$I$89,3,0)*0.475*44/12</f>
        <v>48.333393861962577</v>
      </c>
      <c r="EW52" s="21">
        <f>EXP(-LN(2)/25)*EW51+(1-EXP(-LN(2)/25))/(LN(2)/25)*Calculateur!ER52*Calculateur!ET52*VLOOKUP('Données projet'!$B$15,Paramètres!$A$1:$I$89,3,0)*0.475*44/12</f>
        <v>21.829194624139095</v>
      </c>
      <c r="EX52" s="21">
        <f>EXP(-LN(2)/2)*EX51+(1-EXP(-LN(2)/2))/(LN(2)/2)*ER52*EU52*VLOOKUP('Données projet'!$B$15,Paramètres!$A$1:$I$89,3,0)*0.475*44/12</f>
        <v>6.4921623383119842</v>
      </c>
      <c r="EY52" s="22">
        <f t="shared" si="21"/>
        <v>76.654750824413654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>
        <f>FE52*VLOOKUP('Données projet'!$B$16,Paramètres!$A$1:$I$89,3,0)*VLOOKUP('Données projet'!$B$16,Paramètres!$A$1:$I$89,5,0)</f>
        <v>0</v>
      </c>
      <c r="FG52" s="13" t="e">
        <f t="shared" si="47"/>
        <v>#NUM!</v>
      </c>
      <c r="FH52" s="20" t="e">
        <f t="shared" si="22"/>
        <v>#NUM!</v>
      </c>
      <c r="FI52" s="59" t="e">
        <f t="shared" si="23"/>
        <v>#NUM!</v>
      </c>
      <c r="FJ52" s="59">
        <f ca="1">AVERAGE(OFFSET($FI$3,0,0,'Données projet'!$E$16+1,1))-AVERAGE(OFFSET($H$3,0,0,'Données projet'!$E$16+1,1))</f>
        <v>0</v>
      </c>
      <c r="FK52" s="59">
        <f t="shared" si="48"/>
        <v>0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197.78572767493569</v>
      </c>
      <c r="T53" s="59">
        <f t="shared" si="34"/>
        <v>288.66487031729008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218.99999999999989</v>
      </c>
      <c r="AJ53" s="13">
        <f>AI53*VLOOKUP('Données projet'!$B$10,Paramètres!$A$1:$I$89,3,0)*VLOOKUP('Données projet'!$B$10,Paramètres!$A$1:$I$89,5,0)</f>
        <v>174.23639999999992</v>
      </c>
      <c r="AK53" s="13">
        <f t="shared" si="35"/>
        <v>44.03747274965864</v>
      </c>
      <c r="AL53" s="20">
        <f t="shared" si="4"/>
        <v>380.160328372322</v>
      </c>
      <c r="AM53" s="59">
        <f t="shared" si="5"/>
        <v>673.49366170565531</v>
      </c>
      <c r="AN53" s="59">
        <f ca="1">AVERAGE(OFFSET($AM$3,0,0,'Données projet'!$E$10+1,1))-AVERAGE(OFFSET($H$3,0,0,'Données projet'!$E$10+1,1))</f>
        <v>219.43439115440339</v>
      </c>
      <c r="AO53" s="59">
        <f t="shared" si="36"/>
        <v>217.8880462742099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17</v>
      </c>
      <c r="AR53" s="16">
        <f>IF(ISNA(VLOOKUP(A53,'Données projet'!$A$61:$I$81,5,0)),0%,VLOOKUP(A53,'Données projet'!$A$61:$I$81,5,0)*VLOOKUP('Données projet'!$B$10,Paramètres!$A$1:$I$89,7,0))</f>
        <v>0.37630000000000002</v>
      </c>
      <c r="AS53" s="16">
        <f>IF(ISNA(VLOOKUP(A53,'Données projet'!$A$61:$I$81,6,0)),0%,VLOOKUP(A53,'Données projet'!$A$61:$I$81,6,0)*VLOOKUP('Données projet'!$B$10,Paramètres!$A$1:$I$89,7,0))</f>
        <v>9.5399999999999999E-2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17.379043388874543</v>
      </c>
      <c r="AV53" s="21">
        <f>EXP(-LN(2)/25)*AV52+(1-EXP(-LN(2)/25))/(LN(2)/25)*Calculateur!AQ53*Calculateur!AS53*VLOOKUP('Données projet'!$B$10,Paramètres!$A$1:$I$89,3,0)*0.475*44/12</f>
        <v>13.972844590726073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31.351887979600615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150</v>
      </c>
      <c r="BB53" s="12">
        <f>VLOOKUP(A53,'Données projet'!$A$87:$I$107,9,0)</f>
        <v>5.2</v>
      </c>
      <c r="BC53" s="12">
        <f t="array" ref="BC53">INDEX(BB:BB,MIN(IF(ISNUMBER(BB53:BB249),ROW(BB53:BB249),"")))</f>
        <v>5.2</v>
      </c>
      <c r="BD53" s="12">
        <f>IF('Données projet'!$A$88&gt;35,BD52+BC53-BL52,IF(A53&lt;'Données projet'!$A$88,$BA$205^A53,IF(A53='Données projet'!$A$88,'Données projet'!$B$88,BD52+BC53-BL52)))</f>
        <v>150</v>
      </c>
      <c r="BE53" s="13">
        <f>BD53*VLOOKUP('Données projet'!$B$11,Paramètres!$A$1:$I$89,3,0)*VLOOKUP('Données projet'!$B$11,Paramètres!$A$1:$I$89,5,0)</f>
        <v>131.04000000000002</v>
      </c>
      <c r="BF53" s="13">
        <f t="shared" si="37"/>
        <v>34.236561238949918</v>
      </c>
      <c r="BG53" s="20">
        <f t="shared" si="7"/>
        <v>287.85667749117118</v>
      </c>
      <c r="BH53" s="59">
        <f t="shared" si="8"/>
        <v>581.1900108245045</v>
      </c>
      <c r="BI53" s="59">
        <f ca="1">AVERAGE(OFFSET($BH$3,0,0,'Données projet'!$E$11+1,1))-AVERAGE(OFFSET($H$3,0,0,'Données projet'!$E$11+1,1))</f>
        <v>175.73188403662408</v>
      </c>
      <c r="BJ53" s="59">
        <f t="shared" si="38"/>
        <v>152.02195399869032</v>
      </c>
      <c r="BK53" s="15">
        <f>IF(ISNA(VLOOKUP(A53,'Données projet'!$A$87:$I$107,3,0)),0,VLOOKUP(A53,'Données projet'!$A$87:$I$107,3,0))</f>
        <v>6</v>
      </c>
      <c r="BL53" s="15" t="str">
        <f>IF(ISNA(VLOOKUP(A53,'Données projet'!$A$87:$I$107,4,0)),0,VLOOKUP(A53,'Données projet'!$A$87:$I$107,4,0))</f>
        <v>15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0.215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3.1022450236522268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3.1022450236522268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6.826007326007324</v>
      </c>
      <c r="BY53" s="12">
        <f>IF('Données projet'!$A$114&gt;35,BY52+BX53-CG52,IF(A53&lt;'Données projet'!$A$114,$BV$205^A53,IF(A53='Données projet'!$A$114,'Données projet'!$B$114,BY52+BX53-CG52)))</f>
        <v>138.96245421245416</v>
      </c>
      <c r="BZ53" s="13">
        <f>BY53*VLOOKUP('Données projet'!$B$12,Paramètres!$A$1:$I$89,3,0)*VLOOKUP('Données projet'!$B$12,Paramètres!$A$1:$I$89,5,0)</f>
        <v>125.73322857142851</v>
      </c>
      <c r="CA53" s="13">
        <f t="shared" si="39"/>
        <v>33.008527004415768</v>
      </c>
      <c r="CB53" s="20">
        <f t="shared" si="10"/>
        <v>276.47522429459542</v>
      </c>
      <c r="CC53" s="59">
        <f t="shared" si="11"/>
        <v>569.80855762792874</v>
      </c>
      <c r="CD53" s="59">
        <f ca="1">AVERAGE(OFFSET($CC$3,0,0,'Données projet'!$E$12+1,1))-AVERAGE(OFFSET($H$3,0,0,'Données projet'!$E$12+1,1))</f>
        <v>213.54857791046686</v>
      </c>
      <c r="CE53" s="59">
        <f t="shared" si="40"/>
        <v>138.46877538074244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138.43439999999995</v>
      </c>
      <c r="CV53" s="13">
        <f t="shared" si="41"/>
        <v>35.938114113553581</v>
      </c>
      <c r="CW53" s="20">
        <f t="shared" si="13"/>
        <v>303.69879541443908</v>
      </c>
      <c r="CX53" s="59">
        <f t="shared" si="14"/>
        <v>597.03212874777239</v>
      </c>
      <c r="CY53" s="59">
        <f ca="1">AVERAGE(OFFSET($CX$3,0,0,'Données projet'!$E$13+1,1))-AVERAGE(OFFSET($H$3,0,0,'Données projet'!$E$13+1,1))</f>
        <v>161.87883827031436</v>
      </c>
      <c r="CZ53" s="59">
        <f t="shared" si="42"/>
        <v>163.02076389611869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0.12190000000000001</v>
      </c>
      <c r="DD53" s="16">
        <f>IF(ISNA(VLOOKUP(A53,'Données projet'!$A$139:$I$159,6,0)),0%,VLOOKUP(A53,'Données projet'!$A$139:$I$159,6,0)*VLOOKUP('Données projet'!$B$13,Paramètres!$A$1:$I$89,7,0))</f>
        <v>0.24380000000000002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3.0871928356168103</v>
      </c>
      <c r="DG53" s="21">
        <f>EXP(-LN(2)/25)*DG52+(1-EXP(-LN(2)/25))/(LN(2)/25)*Calculateur!DB53*Calculateur!DD53*VLOOKUP('Données projet'!$B$13,Paramètres!$A$1:$I$89,3,0)*0.475*44/12</f>
        <v>9.5548197018287233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12.642012537445535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106</v>
      </c>
      <c r="DM53" s="12">
        <f>VLOOKUP(A53,'Données projet'!$A$165:$I$185,9,0)</f>
        <v>3.4</v>
      </c>
      <c r="DN53" s="12">
        <f t="array" ref="DN53">INDEX(DM:DM,MIN(IF(ISNUMBER(DM53:DM249),ROW(DM53:DM249),"")))</f>
        <v>3.4</v>
      </c>
      <c r="DO53" s="12">
        <f>IF('Données projet'!$A$166&gt;35,DO52+DN53-DW52,IF(A53&lt;'Données projet'!$A$166,$DL$205^A53,IF(A53='Données projet'!$A$166,'Données projet'!$B$166,DO52+DN53-DW52)))</f>
        <v>105.99999999999996</v>
      </c>
      <c r="DP53" s="17">
        <f>DO53*VLOOKUP('Données projet'!$B$14,Paramètres!$A$1:$I$89,3,0)*VLOOKUP('Données projet'!$B$14,Paramètres!$A$1:$I$89,5,0)</f>
        <v>85.987199999999973</v>
      </c>
      <c r="DQ53" s="13">
        <f t="shared" si="43"/>
        <v>23.594880218992504</v>
      </c>
      <c r="DR53" s="20">
        <f t="shared" si="16"/>
        <v>190.85545638141187</v>
      </c>
      <c r="DS53" s="59">
        <f t="shared" si="17"/>
        <v>484.18878971474521</v>
      </c>
      <c r="DT53" s="59">
        <f ca="1">AVERAGE(OFFSET($DS$3,0,0,'Données projet'!$E$14+1,1))-AVERAGE(OFFSET($H$3,0,0,'Données projet'!$E$14+1,1))</f>
        <v>96.611230241682733</v>
      </c>
      <c r="DU53" s="59">
        <f t="shared" si="44"/>
        <v>78.711045514042041</v>
      </c>
      <c r="DV53" s="15">
        <f>IF(ISNA(VLOOKUP(A53,'Données projet'!$A$165:$I$185,3,0)),0,VLOOKUP(A53,'Données projet'!$A$165:$I$185,3,0))</f>
        <v>6</v>
      </c>
      <c r="DW53" s="15">
        <f>IF(ISNA(VLOOKUP(A53,'Données projet'!$A$165:$I$185,4,0)),0,VLOOKUP(A53,'Données projet'!$A$165:$I$185,4,0))</f>
        <v>8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0.129</v>
      </c>
      <c r="DZ53" s="16">
        <f>IF(ISNA(VLOOKUP(A53,'Données projet'!$A$165:$I$185,7,0)),0%,VLOOKUP(A53,'Données projet'!$A$165:$I$185,7,0))</f>
        <v>0.3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1.4221711089626152</v>
      </c>
      <c r="EC53" s="21">
        <f>EXP(-LN(2)/2)*EC52+(1-EXP(-LN(2)/2))/(LN(2)/2)*DW53*DZ53*VLOOKUP('Données projet'!$B$14,Paramètres!$A$1:$I$89,3,0)*0.475*44/12</f>
        <v>2.2299498583826858</v>
      </c>
      <c r="ED53" s="22">
        <f t="shared" si="18"/>
        <v>3.6521209673453008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16.227472527472521</v>
      </c>
      <c r="EJ53" s="12">
        <f>IF('Données projet'!$A$192&gt;35,EJ52+EI53-ER52,IF(A53&lt;'Données projet'!$A$192,$EG$205^A53,IF(A53='Données projet'!$A$192,'Données projet'!$B$192,EJ52+EI53-ER52)))</f>
        <v>330.34285714285716</v>
      </c>
      <c r="EK53" s="17">
        <f>EJ53*VLOOKUP('Données projet'!$B$15,Paramètres!$A$1:$I$89,3,0)*VLOOKUP('Données projet'!$B$15,Paramètres!$A$1:$I$89,5,0)</f>
        <v>146.01154285714287</v>
      </c>
      <c r="EL53" s="13">
        <f t="shared" si="45"/>
        <v>37.670777685592256</v>
      </c>
      <c r="EM53" s="20">
        <f t="shared" si="19"/>
        <v>319.91337494526368</v>
      </c>
      <c r="EN53" s="59">
        <f t="shared" si="20"/>
        <v>613.246708278597</v>
      </c>
      <c r="EO53" s="59">
        <f ca="1">AVERAGE(OFFSET($EN$3,0,0,'Données projet'!$E$15+1,1))-AVERAGE(OFFSET($H$3,0,0,'Données projet'!$E$15+1,1))</f>
        <v>188.61152573050066</v>
      </c>
      <c r="EP53" s="59">
        <f t="shared" si="46"/>
        <v>172.37050503841624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47.385605488788791</v>
      </c>
      <c r="EW53" s="21">
        <f>EXP(-LN(2)/25)*EW52+(1-EXP(-LN(2)/25))/(LN(2)/25)*Calculateur!ER53*Calculateur!ET53*VLOOKUP('Données projet'!$B$15,Paramètres!$A$1:$I$89,3,0)*0.475*44/12</f>
        <v>21.232274149194559</v>
      </c>
      <c r="EX53" s="21">
        <f>EXP(-LN(2)/2)*EX52+(1-EXP(-LN(2)/2))/(LN(2)/2)*ER53*EU53*VLOOKUP('Données projet'!$B$15,Paramètres!$A$1:$I$89,3,0)*0.475*44/12</f>
        <v>4.5906520139843172</v>
      </c>
      <c r="EY53" s="22">
        <f t="shared" si="21"/>
        <v>73.208531651967661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>
        <f>FE53*VLOOKUP('Données projet'!$B$16,Paramètres!$A$1:$I$89,3,0)*VLOOKUP('Données projet'!$B$16,Paramètres!$A$1:$I$89,5,0)</f>
        <v>0</v>
      </c>
      <c r="FG53" s="13" t="e">
        <f t="shared" si="47"/>
        <v>#NUM!</v>
      </c>
      <c r="FH53" s="20" t="e">
        <f t="shared" si="22"/>
        <v>#NUM!</v>
      </c>
      <c r="FI53" s="59" t="e">
        <f t="shared" si="23"/>
        <v>#NUM!</v>
      </c>
      <c r="FJ53" s="59">
        <f ca="1">AVERAGE(OFFSET($FI$3,0,0,'Données projet'!$E$16+1,1))-AVERAGE(OFFSET($H$3,0,0,'Données projet'!$E$16+1,1))</f>
        <v>0</v>
      </c>
      <c r="FK53" s="59">
        <f t="shared" si="48"/>
        <v>0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197.78572767493569</v>
      </c>
      <c r="T54" s="59">
        <f t="shared" si="34"/>
        <v>288.66487031729008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</v>
      </c>
      <c r="AI54" s="13">
        <f>IF('Données projet'!$A$62&gt;35,AI53+AH54-AQ53,IF(A54&lt;'Données projet'!$A$62,$AF$205^A54,IF(A54='Données projet'!$A$62,'Données projet'!$B$62,AI53+AH54-AQ53)))</f>
        <v>207.99999999999989</v>
      </c>
      <c r="AJ54" s="13">
        <f>AI54*VLOOKUP('Données projet'!$B$10,Paramètres!$A$1:$I$89,3,0)*VLOOKUP('Données projet'!$B$10,Paramètres!$A$1:$I$89,5,0)</f>
        <v>165.48479999999992</v>
      </c>
      <c r="AK54" s="13">
        <f t="shared" si="35"/>
        <v>42.077190125964002</v>
      </c>
      <c r="AL54" s="20">
        <f t="shared" si="4"/>
        <v>361.5037994693871</v>
      </c>
      <c r="AM54" s="59">
        <f t="shared" si="5"/>
        <v>654.83713280272036</v>
      </c>
      <c r="AN54" s="59">
        <f ca="1">AVERAGE(OFFSET($AM$3,0,0,'Données projet'!$E$10+1,1))-AVERAGE(OFFSET($H$3,0,0,'Données projet'!$E$10+1,1))</f>
        <v>219.43439115440339</v>
      </c>
      <c r="AO54" s="59">
        <f t="shared" si="36"/>
        <v>217.8880462742099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17.038250948188502</v>
      </c>
      <c r="AV54" s="21">
        <f>EXP(-LN(2)/25)*AV53+(1-EXP(-LN(2)/25))/(LN(2)/25)*Calculateur!AQ54*Calculateur!AS54*VLOOKUP('Données projet'!$B$10,Paramètres!$A$1:$I$89,3,0)*0.475*44/12</f>
        <v>13.590756420592706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30.62900736878121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4.5999999999999996</v>
      </c>
      <c r="BD54" s="12">
        <f>IF('Données projet'!$A$88&gt;35,BD53+BC54-BL53,IF(A54&lt;'Données projet'!$A$88,$BA$205^A54,IF(A54='Données projet'!$A$88,'Données projet'!$B$88,BD53+BC54-BL53)))</f>
        <v>139.6</v>
      </c>
      <c r="BE54" s="13">
        <f>BD54*VLOOKUP('Données projet'!$B$11,Paramètres!$A$1:$I$89,3,0)*VLOOKUP('Données projet'!$B$11,Paramètres!$A$1:$I$89,5,0)</f>
        <v>121.95456</v>
      </c>
      <c r="BF54" s="13">
        <f t="shared" si="37"/>
        <v>32.130438767300902</v>
      </c>
      <c r="BG54" s="20">
        <f t="shared" si="7"/>
        <v>268.36470618638242</v>
      </c>
      <c r="BH54" s="59">
        <f t="shared" si="8"/>
        <v>561.69803951971573</v>
      </c>
      <c r="BI54" s="59">
        <f ca="1">AVERAGE(OFFSET($BH$3,0,0,'Données projet'!$E$11+1,1))-AVERAGE(OFFSET($H$3,0,0,'Données projet'!$E$11+1,1))</f>
        <v>175.73188403662408</v>
      </c>
      <c r="BJ54" s="59">
        <f t="shared" si="38"/>
        <v>152.02195399869032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3.0174139703404812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3.0174139703404812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145.78846153846152</v>
      </c>
      <c r="BW54" s="12">
        <f>VLOOKUP(A54,'Données projet'!$A$113:$I$133,9,0)</f>
        <v>6.826007326007324</v>
      </c>
      <c r="BX54" s="12">
        <f t="array" ref="BX54">INDEX(BW:BW,MIN(IF(ISNUMBER(BW54:BW250),ROW(BW54:BW250),"")))</f>
        <v>6.826007326007324</v>
      </c>
      <c r="BY54" s="12">
        <f>IF('Données projet'!$A$114&gt;35,BY53+BX54-CG53,IF(A54&lt;'Données projet'!$A$114,$BV$205^A54,IF(A54='Données projet'!$A$114,'Données projet'!$B$114,BY53+BX54-CG53)))</f>
        <v>145.78846153846149</v>
      </c>
      <c r="BZ54" s="13">
        <f>BY54*VLOOKUP('Données projet'!$B$12,Paramètres!$A$1:$I$89,3,0)*VLOOKUP('Données projet'!$B$12,Paramètres!$A$1:$I$89,5,0)</f>
        <v>131.90939999999995</v>
      </c>
      <c r="CA54" s="13">
        <f t="shared" si="39"/>
        <v>34.437190502969557</v>
      </c>
      <c r="CB54" s="20">
        <f t="shared" si="10"/>
        <v>289.72031179267179</v>
      </c>
      <c r="CC54" s="59">
        <f t="shared" si="11"/>
        <v>583.05364512600511</v>
      </c>
      <c r="CD54" s="59">
        <f ca="1">AVERAGE(OFFSET($CC$3,0,0,'Données projet'!$E$12+1,1))-AVERAGE(OFFSET($H$3,0,0,'Données projet'!$E$12+1,1))</f>
        <v>213.54857791046686</v>
      </c>
      <c r="CE54" s="59">
        <f t="shared" si="40"/>
        <v>138.46877538074244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37.685897435897431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131.91047999999998</v>
      </c>
      <c r="CV54" s="13">
        <f t="shared" si="41"/>
        <v>34.437439635950163</v>
      </c>
      <c r="CW54" s="20">
        <f t="shared" si="13"/>
        <v>289.72262669927983</v>
      </c>
      <c r="CX54" s="59">
        <f t="shared" si="14"/>
        <v>583.05596003261314</v>
      </c>
      <c r="CY54" s="59">
        <f ca="1">AVERAGE(OFFSET($CX$3,0,0,'Données projet'!$E$13+1,1))-AVERAGE(OFFSET($H$3,0,0,'Données projet'!$E$13+1,1))</f>
        <v>161.87883827031436</v>
      </c>
      <c r="CZ54" s="59">
        <f t="shared" si="42"/>
        <v>163.02076389611869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3.0266548671120637</v>
      </c>
      <c r="DG54" s="21">
        <f>EXP(-LN(2)/25)*DG53+(1-EXP(-LN(2)/25))/(LN(2)/25)*Calculateur!DB54*Calculateur!DD54*VLOOKUP('Données projet'!$B$13,Paramètres!$A$1:$I$89,3,0)*0.475*44/12</f>
        <v>9.2935426546160862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12.320197521728151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3.4</v>
      </c>
      <c r="DO54" s="12">
        <f>IF('Données projet'!$A$166&gt;35,DO53+DN54-DW53,IF(A54&lt;'Données projet'!$A$166,$DL$205^A54,IF(A54='Données projet'!$A$166,'Données projet'!$B$166,DO53+DN54-DW53)))</f>
        <v>101.39999999999996</v>
      </c>
      <c r="DP54" s="17">
        <f>DO54*VLOOKUP('Données projet'!$B$14,Paramètres!$A$1:$I$89,3,0)*VLOOKUP('Données projet'!$B$14,Paramètres!$A$1:$I$89,5,0)</f>
        <v>82.25567999999997</v>
      </c>
      <c r="DQ54" s="13">
        <f t="shared" si="43"/>
        <v>22.687813915211173</v>
      </c>
      <c r="DR54" s="20">
        <f t="shared" si="16"/>
        <v>182.77658523565938</v>
      </c>
      <c r="DS54" s="59">
        <f t="shared" si="17"/>
        <v>476.10991856899273</v>
      </c>
      <c r="DT54" s="59">
        <f ca="1">AVERAGE(OFFSET($DS$3,0,0,'Données projet'!$E$14+1,1))-AVERAGE(OFFSET($H$3,0,0,'Données projet'!$E$14+1,1))</f>
        <v>96.611230241682733</v>
      </c>
      <c r="DU54" s="59">
        <f t="shared" si="44"/>
        <v>78.711045514042041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1.3832817651993043</v>
      </c>
      <c r="EC54" s="21">
        <f>EXP(-LN(2)/2)*EC53+(1-EXP(-LN(2)/2))/(LN(2)/2)*DW54*DZ54*VLOOKUP('Données projet'!$B$14,Paramètres!$A$1:$I$89,3,0)*0.475*44/12</f>
        <v>1.5768126665683786</v>
      </c>
      <c r="ED54" s="22">
        <f t="shared" si="18"/>
        <v>2.9600944317676827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16.227472527472521</v>
      </c>
      <c r="EJ54" s="12">
        <f>IF('Données projet'!$A$192&gt;35,EJ53+EI54-ER53,IF(A54&lt;'Données projet'!$A$192,$EG$205^A54,IF(A54='Données projet'!$A$192,'Données projet'!$B$192,EJ53+EI54-ER53)))</f>
        <v>346.57032967032967</v>
      </c>
      <c r="EK54" s="17">
        <f>EJ54*VLOOKUP('Données projet'!$B$15,Paramètres!$A$1:$I$89,3,0)*VLOOKUP('Données projet'!$B$15,Paramètres!$A$1:$I$89,5,0)</f>
        <v>153.18408571428574</v>
      </c>
      <c r="EL54" s="13">
        <f t="shared" si="45"/>
        <v>39.301293561000776</v>
      </c>
      <c r="EM54" s="20">
        <f t="shared" si="19"/>
        <v>335.24536890445728</v>
      </c>
      <c r="EN54" s="59">
        <f t="shared" si="20"/>
        <v>628.57870223779059</v>
      </c>
      <c r="EO54" s="59">
        <f ca="1">AVERAGE(OFFSET($EN$3,0,0,'Données projet'!$E$15+1,1))-AVERAGE(OFFSET($H$3,0,0,'Données projet'!$E$15+1,1))</f>
        <v>188.61152573050066</v>
      </c>
      <c r="EP54" s="59">
        <f t="shared" si="46"/>
        <v>172.37050503841624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46.456402667519122</v>
      </c>
      <c r="EW54" s="21">
        <f>EXP(-LN(2)/25)*EW53+(1-EXP(-LN(2)/25))/(LN(2)/25)*Calculateur!ER54*Calculateur!ET54*VLOOKUP('Données projet'!$B$15,Paramètres!$A$1:$I$89,3,0)*0.475*44/12</f>
        <v>20.651676496028063</v>
      </c>
      <c r="EX54" s="21">
        <f>EXP(-LN(2)/2)*EX53+(1-EXP(-LN(2)/2))/(LN(2)/2)*ER54*EU54*VLOOKUP('Données projet'!$B$15,Paramètres!$A$1:$I$89,3,0)*0.475*44/12</f>
        <v>3.2460811691559925</v>
      </c>
      <c r="EY54" s="22">
        <f t="shared" si="21"/>
        <v>70.354160332703174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>
        <f>FE54*VLOOKUP('Données projet'!$B$16,Paramètres!$A$1:$I$89,3,0)*VLOOKUP('Données projet'!$B$16,Paramètres!$A$1:$I$89,5,0)</f>
        <v>0</v>
      </c>
      <c r="FG54" s="13" t="e">
        <f t="shared" si="47"/>
        <v>#NUM!</v>
      </c>
      <c r="FH54" s="20" t="e">
        <f t="shared" si="22"/>
        <v>#NUM!</v>
      </c>
      <c r="FI54" s="59" t="e">
        <f t="shared" si="23"/>
        <v>#NUM!</v>
      </c>
      <c r="FJ54" s="59">
        <f ca="1">AVERAGE(OFFSET($FI$3,0,0,'Données projet'!$E$16+1,1))-AVERAGE(OFFSET($H$3,0,0,'Données projet'!$E$16+1,1))</f>
        <v>0</v>
      </c>
      <c r="FK54" s="59">
        <f t="shared" si="48"/>
        <v>0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197.78572767493569</v>
      </c>
      <c r="T55" s="59">
        <f t="shared" si="34"/>
        <v>288.66487031729008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</v>
      </c>
      <c r="AI55" s="13">
        <f>IF('Données projet'!$A$62&gt;35,AI54+AH55-AQ54,IF(A55&lt;'Données projet'!$A$62,$AF$205^A55,IF(A55='Données projet'!$A$62,'Données projet'!$B$62,AI54+AH55-AQ54)))</f>
        <v>213.99999999999989</v>
      </c>
      <c r="AJ55" s="13">
        <f>AI55*VLOOKUP('Données projet'!$B$10,Paramètres!$A$1:$I$89,3,0)*VLOOKUP('Données projet'!$B$10,Paramètres!$A$1:$I$89,5,0)</f>
        <v>170.25839999999991</v>
      </c>
      <c r="AK55" s="13">
        <f t="shared" si="35"/>
        <v>43.147891472685018</v>
      </c>
      <c r="AL55" s="20">
        <f t="shared" si="4"/>
        <v>371.68262431492622</v>
      </c>
      <c r="AM55" s="59">
        <f t="shared" si="5"/>
        <v>665.01595764825947</v>
      </c>
      <c r="AN55" s="59">
        <f ca="1">AVERAGE(OFFSET($AM$3,0,0,'Données projet'!$E$10+1,1))-AVERAGE(OFFSET($H$3,0,0,'Données projet'!$E$10+1,1))</f>
        <v>219.43439115440339</v>
      </c>
      <c r="AO55" s="59">
        <f t="shared" si="36"/>
        <v>217.8880462742099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16.704141239401448</v>
      </c>
      <c r="AV55" s="21">
        <f>EXP(-LN(2)/25)*AV54+(1-EXP(-LN(2)/25))/(LN(2)/25)*Calculateur!AQ55*Calculateur!AS55*VLOOKUP('Données projet'!$B$10,Paramètres!$A$1:$I$89,3,0)*0.475*44/12</f>
        <v>13.219116471564782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29.923257710966229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4.5999999999999996</v>
      </c>
      <c r="BD55" s="12">
        <f>IF('Données projet'!$A$88&gt;35,BD54+BC55-BL54,IF(A55&lt;'Données projet'!$A$88,$BA$205^A55,IF(A55='Données projet'!$A$88,'Données projet'!$B$88,BD54+BC55-BL54)))</f>
        <v>144.19999999999999</v>
      </c>
      <c r="BE55" s="13">
        <f>BD55*VLOOKUP('Données projet'!$B$11,Paramètres!$A$1:$I$89,3,0)*VLOOKUP('Données projet'!$B$11,Paramètres!$A$1:$I$89,5,0)</f>
        <v>125.97311999999999</v>
      </c>
      <c r="BF55" s="13">
        <f t="shared" si="37"/>
        <v>33.064168439352592</v>
      </c>
      <c r="BG55" s="20">
        <f t="shared" si="7"/>
        <v>276.98994403187243</v>
      </c>
      <c r="BH55" s="59">
        <f t="shared" si="8"/>
        <v>570.32327736520574</v>
      </c>
      <c r="BI55" s="59">
        <f ca="1">AVERAGE(OFFSET($BH$3,0,0,'Données projet'!$E$11+1,1))-AVERAGE(OFFSET($H$3,0,0,'Données projet'!$E$11+1,1))</f>
        <v>175.73188403662408</v>
      </c>
      <c r="BJ55" s="59">
        <f t="shared" si="38"/>
        <v>152.02195399869032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2.9349026266426166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2.9349026266426166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6.3942307692307701</v>
      </c>
      <c r="BY55" s="12">
        <f>IF('Données projet'!$A$114&gt;35,BY54+BX55-CG54,IF(A55&lt;'Données projet'!$A$114,$BV$205^A55,IF(A55='Données projet'!$A$114,'Données projet'!$B$114,BY54+BX55-CG54)))</f>
        <v>114.49679487179483</v>
      </c>
      <c r="BZ55" s="13">
        <f>BY55*VLOOKUP('Données projet'!$B$12,Paramètres!$A$1:$I$89,3,0)*VLOOKUP('Données projet'!$B$12,Paramètres!$A$1:$I$89,5,0)</f>
        <v>103.59669999999997</v>
      </c>
      <c r="CA55" s="13">
        <f t="shared" si="39"/>
        <v>27.817091630299288</v>
      </c>
      <c r="CB55" s="20">
        <f t="shared" si="10"/>
        <v>228.87902042277122</v>
      </c>
      <c r="CC55" s="59">
        <f t="shared" si="11"/>
        <v>522.21235375610456</v>
      </c>
      <c r="CD55" s="59">
        <f ca="1">AVERAGE(OFFSET($CC$3,0,0,'Données projet'!$E$12+1,1))-AVERAGE(OFFSET($H$3,0,0,'Données projet'!$E$12+1,1))</f>
        <v>213.54857791046686</v>
      </c>
      <c r="CE55" s="59">
        <f t="shared" si="40"/>
        <v>138.46877538074244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135.72935999999999</v>
      </c>
      <c r="CV55" s="13">
        <f t="shared" si="41"/>
        <v>35.316904881686277</v>
      </c>
      <c r="CW55" s="20">
        <f t="shared" si="13"/>
        <v>297.9055780022702</v>
      </c>
      <c r="CX55" s="59">
        <f t="shared" si="14"/>
        <v>591.23891133560346</v>
      </c>
      <c r="CY55" s="59">
        <f ca="1">AVERAGE(OFFSET($CX$3,0,0,'Données projet'!$E$13+1,1))-AVERAGE(OFFSET($H$3,0,0,'Données projet'!$E$13+1,1))</f>
        <v>161.87883827031436</v>
      </c>
      <c r="CZ55" s="59">
        <f t="shared" si="42"/>
        <v>163.02076389611869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2.9673040112451798</v>
      </c>
      <c r="DG55" s="21">
        <f>EXP(-LN(2)/25)*DG54+(1-EXP(-LN(2)/25))/(LN(2)/25)*Calculateur!DB55*Calculateur!DD55*VLOOKUP('Données projet'!$B$13,Paramètres!$A$1:$I$89,3,0)*0.475*44/12</f>
        <v>9.0394102419994411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12.00671425324462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3.4</v>
      </c>
      <c r="DO55" s="12">
        <f>IF('Données projet'!$A$166&gt;35,DO54+DN55-DW54,IF(A55&lt;'Données projet'!$A$166,$DL$205^A55,IF(A55='Données projet'!$A$166,'Données projet'!$B$166,DO54+DN55-DW54)))</f>
        <v>104.79999999999997</v>
      </c>
      <c r="DP55" s="17">
        <f>DO55*VLOOKUP('Données projet'!$B$14,Paramètres!$A$1:$I$89,3,0)*VLOOKUP('Données projet'!$B$14,Paramètres!$A$1:$I$89,5,0)</f>
        <v>85.013759999999991</v>
      </c>
      <c r="DQ55" s="13">
        <f t="shared" si="43"/>
        <v>23.358704021874413</v>
      </c>
      <c r="DR55" s="20">
        <f t="shared" si="16"/>
        <v>188.74870817143128</v>
      </c>
      <c r="DS55" s="59">
        <f t="shared" si="17"/>
        <v>482.08204150476456</v>
      </c>
      <c r="DT55" s="59">
        <f ca="1">AVERAGE(OFFSET($DS$3,0,0,'Données projet'!$E$14+1,1))-AVERAGE(OFFSET($H$3,0,0,'Données projet'!$E$14+1,1))</f>
        <v>96.611230241682733</v>
      </c>
      <c r="DU55" s="59">
        <f t="shared" si="44"/>
        <v>78.711045514042041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1.345455852586303</v>
      </c>
      <c r="EC55" s="21">
        <f>EXP(-LN(2)/2)*EC54+(1-EXP(-LN(2)/2))/(LN(2)/2)*DW55*DZ55*VLOOKUP('Données projet'!$B$14,Paramètres!$A$1:$I$89,3,0)*0.475*44/12</f>
        <v>1.1149749291913431</v>
      </c>
      <c r="ED55" s="22">
        <f t="shared" si="18"/>
        <v>2.4604307817776458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16.227472527472521</v>
      </c>
      <c r="EJ55" s="12">
        <f>IF('Données projet'!$A$192&gt;35,EJ54+EI55-ER54,IF(A55&lt;'Données projet'!$A$192,$EG$205^A55,IF(A55='Données projet'!$A$192,'Données projet'!$B$192,EJ54+EI55-ER54)))</f>
        <v>362.79780219780218</v>
      </c>
      <c r="EK55" s="17">
        <f>EJ55*VLOOKUP('Données projet'!$B$15,Paramètres!$A$1:$I$89,3,0)*VLOOKUP('Données projet'!$B$15,Paramètres!$A$1:$I$89,5,0)</f>
        <v>160.35662857142859</v>
      </c>
      <c r="EL55" s="13">
        <f t="shared" si="45"/>
        <v>40.922943550311551</v>
      </c>
      <c r="EM55" s="20">
        <f t="shared" si="19"/>
        <v>350.56192144536408</v>
      </c>
      <c r="EN55" s="59">
        <f t="shared" si="20"/>
        <v>643.89525477869734</v>
      </c>
      <c r="EO55" s="59">
        <f ca="1">AVERAGE(OFFSET($EN$3,0,0,'Données projet'!$E$15+1,1))-AVERAGE(OFFSET($H$3,0,0,'Données projet'!$E$15+1,1))</f>
        <v>188.61152573050066</v>
      </c>
      <c r="EP55" s="59">
        <f t="shared" si="46"/>
        <v>172.37050503841624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45.54542094681679</v>
      </c>
      <c r="EW55" s="21">
        <f>EXP(-LN(2)/25)*EW54+(1-EXP(-LN(2)/25))/(LN(2)/25)*Calculateur!ER55*Calculateur!ET55*VLOOKUP('Données projet'!$B$15,Paramètres!$A$1:$I$89,3,0)*0.475*44/12</f>
        <v>20.086955316219708</v>
      </c>
      <c r="EX55" s="21">
        <f>EXP(-LN(2)/2)*EX54+(1-EXP(-LN(2)/2))/(LN(2)/2)*ER55*EU55*VLOOKUP('Données projet'!$B$15,Paramètres!$A$1:$I$89,3,0)*0.475*44/12</f>
        <v>2.2953260069921591</v>
      </c>
      <c r="EY55" s="22">
        <f t="shared" si="21"/>
        <v>67.927702270028647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>
        <f>FE55*VLOOKUP('Données projet'!$B$16,Paramètres!$A$1:$I$89,3,0)*VLOOKUP('Données projet'!$B$16,Paramètres!$A$1:$I$89,5,0)</f>
        <v>0</v>
      </c>
      <c r="FG55" s="13" t="e">
        <f t="shared" si="47"/>
        <v>#NUM!</v>
      </c>
      <c r="FH55" s="20" t="e">
        <f t="shared" si="22"/>
        <v>#NUM!</v>
      </c>
      <c r="FI55" s="59" t="e">
        <f t="shared" si="23"/>
        <v>#NUM!</v>
      </c>
      <c r="FJ55" s="59">
        <f ca="1">AVERAGE(OFFSET($FI$3,0,0,'Données projet'!$E$16+1,1))-AVERAGE(OFFSET($H$3,0,0,'Données projet'!$E$16+1,1))</f>
        <v>0</v>
      </c>
      <c r="FK55" s="59">
        <f t="shared" si="48"/>
        <v>0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197.78572767493569</v>
      </c>
      <c r="T56" s="59">
        <f t="shared" si="34"/>
        <v>288.66487031729008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</v>
      </c>
      <c r="AI56" s="13">
        <f>IF('Données projet'!$A$62&gt;35,AI55+AH56-AQ55,IF(A56&lt;'Données projet'!$A$62,$AF$205^A56,IF(A56='Données projet'!$A$62,'Données projet'!$B$62,AI55+AH56-AQ55)))</f>
        <v>219.99999999999989</v>
      </c>
      <c r="AJ56" s="13">
        <f>AI56*VLOOKUP('Données projet'!$B$10,Paramètres!$A$1:$I$89,3,0)*VLOOKUP('Données projet'!$B$10,Paramètres!$A$1:$I$89,5,0)</f>
        <v>175.03199999999993</v>
      </c>
      <c r="AK56" s="13">
        <f t="shared" si="35"/>
        <v>44.215103743191008</v>
      </c>
      <c r="AL56" s="20">
        <f t="shared" si="4"/>
        <v>381.85537235272426</v>
      </c>
      <c r="AM56" s="59">
        <f t="shared" si="5"/>
        <v>675.18870568605757</v>
      </c>
      <c r="AN56" s="59">
        <f ca="1">AVERAGE(OFFSET($AM$3,0,0,'Données projet'!$E$10+1,1))-AVERAGE(OFFSET($H$3,0,0,'Données projet'!$E$10+1,1))</f>
        <v>219.43439115440339</v>
      </c>
      <c r="AO56" s="59">
        <f t="shared" si="36"/>
        <v>217.8880462742099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16.376583218216908</v>
      </c>
      <c r="AV56" s="21">
        <f>EXP(-LN(2)/25)*AV55+(1-EXP(-LN(2)/25))/(LN(2)/25)*Calculateur!AQ56*Calculateur!AS56*VLOOKUP('Données projet'!$B$10,Paramètres!$A$1:$I$89,3,0)*0.475*44/12</f>
        <v>12.85763903648672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29.234222254703628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4.5999999999999996</v>
      </c>
      <c r="BD56" s="12">
        <f>IF('Données projet'!$A$88&gt;35,BD55+BC56-BL55,IF(A56&lt;'Données projet'!$A$88,$BA$205^A56,IF(A56='Données projet'!$A$88,'Données projet'!$B$88,BD55+BC56-BL55)))</f>
        <v>148.79999999999998</v>
      </c>
      <c r="BE56" s="13">
        <f>BD56*VLOOKUP('Données projet'!$B$11,Paramètres!$A$1:$I$89,3,0)*VLOOKUP('Données projet'!$B$11,Paramètres!$A$1:$I$89,5,0)</f>
        <v>129.99168</v>
      </c>
      <c r="BF56" s="13">
        <f t="shared" si="37"/>
        <v>33.994436817469854</v>
      </c>
      <c r="BG56" s="20">
        <f t="shared" si="7"/>
        <v>285.60915345709333</v>
      </c>
      <c r="BH56" s="59">
        <f t="shared" si="8"/>
        <v>578.94248679042664</v>
      </c>
      <c r="BI56" s="59">
        <f ca="1">AVERAGE(OFFSET($BH$3,0,0,'Données projet'!$E$11+1,1))-AVERAGE(OFFSET($H$3,0,0,'Données projet'!$E$11+1,1))</f>
        <v>175.73188403662408</v>
      </c>
      <c r="BJ56" s="59">
        <f t="shared" si="38"/>
        <v>152.02195399869032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2.8546475599772529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2.8546475599772529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6.3942307692307701</v>
      </c>
      <c r="BY56" s="12">
        <f>IF('Données projet'!$A$114&gt;35,BY55+BX56-CG55,IF(A56&lt;'Données projet'!$A$114,$BV$205^A56,IF(A56='Données projet'!$A$114,'Données projet'!$B$114,BY55+BX56-CG55)))</f>
        <v>120.89102564102561</v>
      </c>
      <c r="BZ56" s="13">
        <f>BY56*VLOOKUP('Données projet'!$B$12,Paramètres!$A$1:$I$89,3,0)*VLOOKUP('Données projet'!$B$12,Paramètres!$A$1:$I$89,5,0)</f>
        <v>109.38219999999997</v>
      </c>
      <c r="CA56" s="13">
        <f t="shared" si="39"/>
        <v>29.185378395108014</v>
      </c>
      <c r="CB56" s="20">
        <f t="shared" si="10"/>
        <v>241.33853237147972</v>
      </c>
      <c r="CC56" s="59">
        <f t="shared" si="11"/>
        <v>534.67186570481306</v>
      </c>
      <c r="CD56" s="59">
        <f ca="1">AVERAGE(OFFSET($CC$3,0,0,'Données projet'!$E$12+1,1))-AVERAGE(OFFSET($H$3,0,0,'Données projet'!$E$12+1,1))</f>
        <v>213.54857791046686</v>
      </c>
      <c r="CE56" s="59">
        <f t="shared" si="40"/>
        <v>138.46877538074244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139.54823999999999</v>
      </c>
      <c r="CV56" s="13">
        <f t="shared" si="41"/>
        <v>36.193494163358288</v>
      </c>
      <c r="CW56" s="20">
        <f t="shared" si="13"/>
        <v>306.08352033451564</v>
      </c>
      <c r="CX56" s="59">
        <f t="shared" si="14"/>
        <v>599.41685366784895</v>
      </c>
      <c r="CY56" s="59">
        <f ca="1">AVERAGE(OFFSET($CX$3,0,0,'Données projet'!$E$13+1,1))-AVERAGE(OFFSET($H$3,0,0,'Données projet'!$E$13+1,1))</f>
        <v>161.87883827031436</v>
      </c>
      <c r="CZ56" s="59">
        <f t="shared" si="42"/>
        <v>163.02076389611869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2.9091169894613982</v>
      </c>
      <c r="DG56" s="21">
        <f>EXP(-LN(2)/25)*DG55+(1-EXP(-LN(2)/25))/(LN(2)/25)*Calculateur!DB56*Calculateur!DD56*VLOOKUP('Données projet'!$B$13,Paramètres!$A$1:$I$89,3,0)*0.475*44/12</f>
        <v>8.7922270935700411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11.70134408303144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3.4</v>
      </c>
      <c r="DO56" s="12">
        <f>IF('Données projet'!$A$166&gt;35,DO55+DN56-DW55,IF(A56&lt;'Données projet'!$A$166,$DL$205^A56,IF(A56='Données projet'!$A$166,'Données projet'!$B$166,DO55+DN56-DW55)))</f>
        <v>108.19999999999997</v>
      </c>
      <c r="DP56" s="17">
        <f>DO56*VLOOKUP('Données projet'!$B$14,Paramètres!$A$1:$I$89,3,0)*VLOOKUP('Données projet'!$B$14,Paramètres!$A$1:$I$89,5,0)</f>
        <v>87.771839999999983</v>
      </c>
      <c r="DQ56" s="13">
        <f t="shared" si="43"/>
        <v>24.027064931094877</v>
      </c>
      <c r="DR56" s="20">
        <f t="shared" si="16"/>
        <v>194.71642608832352</v>
      </c>
      <c r="DS56" s="59">
        <f t="shared" si="17"/>
        <v>488.04975942165686</v>
      </c>
      <c r="DT56" s="59">
        <f ca="1">AVERAGE(OFFSET($DS$3,0,0,'Données projet'!$E$14+1,1))-AVERAGE(OFFSET($H$3,0,0,'Données projet'!$E$14+1,1))</f>
        <v>96.611230241682733</v>
      </c>
      <c r="DU56" s="59">
        <f t="shared" si="44"/>
        <v>78.711045514042041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1.3086642915428823</v>
      </c>
      <c r="EC56" s="21">
        <f>EXP(-LN(2)/2)*EC55+(1-EXP(-LN(2)/2))/(LN(2)/2)*DW56*DZ56*VLOOKUP('Données projet'!$B$14,Paramètres!$A$1:$I$89,3,0)*0.475*44/12</f>
        <v>0.78840633328418941</v>
      </c>
      <c r="ED56" s="22">
        <f t="shared" si="18"/>
        <v>2.0970706248270718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16.227472527472521</v>
      </c>
      <c r="EJ56" s="12">
        <f>IF('Données projet'!$A$192&gt;35,EJ55+EI56-ER55,IF(A56&lt;'Données projet'!$A$192,$EG$205^A56,IF(A56='Données projet'!$A$192,'Données projet'!$B$192,EJ55+EI56-ER55)))</f>
        <v>379.0252747252747</v>
      </c>
      <c r="EK56" s="17">
        <f>EJ56*VLOOKUP('Données projet'!$B$15,Paramètres!$A$1:$I$89,3,0)*VLOOKUP('Données projet'!$B$15,Paramètres!$A$1:$I$89,5,0)</f>
        <v>167.52917142857146</v>
      </c>
      <c r="EL56" s="13">
        <f t="shared" si="45"/>
        <v>42.536169523048684</v>
      </c>
      <c r="EM56" s="20">
        <f t="shared" si="19"/>
        <v>365.86380215740513</v>
      </c>
      <c r="EN56" s="59">
        <f t="shared" si="20"/>
        <v>659.19713549073845</v>
      </c>
      <c r="EO56" s="59">
        <f ca="1">AVERAGE(OFFSET($EN$3,0,0,'Données projet'!$E$15+1,1))-AVERAGE(OFFSET($H$3,0,0,'Données projet'!$E$15+1,1))</f>
        <v>188.61152573050066</v>
      </c>
      <c r="EP56" s="59">
        <f t="shared" si="46"/>
        <v>172.37050503841624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44.652303022013449</v>
      </c>
      <c r="EW56" s="21">
        <f>EXP(-LN(2)/25)*EW55+(1-EXP(-LN(2)/25))/(LN(2)/25)*Calculateur!ER56*Calculateur!ET56*VLOOKUP('Données projet'!$B$15,Paramètres!$A$1:$I$89,3,0)*0.475*44/12</f>
        <v>19.537676466770609</v>
      </c>
      <c r="EX56" s="21">
        <f>EXP(-LN(2)/2)*EX55+(1-EXP(-LN(2)/2))/(LN(2)/2)*ER56*EU56*VLOOKUP('Données projet'!$B$15,Paramètres!$A$1:$I$89,3,0)*0.475*44/12</f>
        <v>1.6230405845779965</v>
      </c>
      <c r="EY56" s="22">
        <f t="shared" si="21"/>
        <v>65.813020073362054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>
        <f>FE56*VLOOKUP('Données projet'!$B$16,Paramètres!$A$1:$I$89,3,0)*VLOOKUP('Données projet'!$B$16,Paramètres!$A$1:$I$89,5,0)</f>
        <v>0</v>
      </c>
      <c r="FG56" s="13" t="e">
        <f t="shared" si="47"/>
        <v>#NUM!</v>
      </c>
      <c r="FH56" s="20" t="e">
        <f t="shared" si="22"/>
        <v>#NUM!</v>
      </c>
      <c r="FI56" s="59" t="e">
        <f t="shared" si="23"/>
        <v>#NUM!</v>
      </c>
      <c r="FJ56" s="59">
        <f ca="1">AVERAGE(OFFSET($FI$3,0,0,'Données projet'!$E$16+1,1))-AVERAGE(OFFSET($H$3,0,0,'Données projet'!$E$16+1,1))</f>
        <v>0</v>
      </c>
      <c r="FK56" s="59">
        <f t="shared" si="48"/>
        <v>0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197.78572767493569</v>
      </c>
      <c r="T57" s="59">
        <f t="shared" si="34"/>
        <v>288.66487031729008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</v>
      </c>
      <c r="AI57" s="13">
        <f>IF('Données projet'!$A$62&gt;35,AI56+AH57-AQ56,IF(A57&lt;'Données projet'!$A$62,$AF$205^A57,IF(A57='Données projet'!$A$62,'Données projet'!$B$62,AI56+AH57-AQ56)))</f>
        <v>225.99999999999989</v>
      </c>
      <c r="AJ57" s="13">
        <f>AI57*VLOOKUP('Données projet'!$B$10,Paramètres!$A$1:$I$89,3,0)*VLOOKUP('Données projet'!$B$10,Paramètres!$A$1:$I$89,5,0)</f>
        <v>179.80559999999991</v>
      </c>
      <c r="AK57" s="13">
        <f t="shared" si="35"/>
        <v>45.278933028529984</v>
      </c>
      <c r="AL57" s="20">
        <f t="shared" si="4"/>
        <v>392.02222835802286</v>
      </c>
      <c r="AM57" s="59">
        <f t="shared" si="5"/>
        <v>685.35556169135612</v>
      </c>
      <c r="AN57" s="59">
        <f ca="1">AVERAGE(OFFSET($AM$3,0,0,'Données projet'!$E$10+1,1))-AVERAGE(OFFSET($H$3,0,0,'Données projet'!$E$10+1,1))</f>
        <v>219.43439115440339</v>
      </c>
      <c r="AO57" s="59">
        <f t="shared" si="36"/>
        <v>217.8880462742099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16.055448410037133</v>
      </c>
      <c r="AV57" s="21">
        <f>EXP(-LN(2)/25)*AV56+(1-EXP(-LN(2)/25))/(LN(2)/25)*Calculateur!AQ57*Calculateur!AS57*VLOOKUP('Données projet'!$B$10,Paramètres!$A$1:$I$89,3,0)*0.475*44/12</f>
        <v>12.50604622088014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28.561494630917274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4.5999999999999996</v>
      </c>
      <c r="BD57" s="12">
        <f>IF('Données projet'!$A$88&gt;35,BD56+BC57-BL56,IF(A57&lt;'Données projet'!$A$88,$BA$205^A57,IF(A57='Données projet'!$A$88,'Données projet'!$B$88,BD56+BC57-BL56)))</f>
        <v>153.39999999999998</v>
      </c>
      <c r="BE57" s="13">
        <f>BD57*VLOOKUP('Données projet'!$B$11,Paramètres!$A$1:$I$89,3,0)*VLOOKUP('Données projet'!$B$11,Paramètres!$A$1:$I$89,5,0)</f>
        <v>134.01024000000001</v>
      </c>
      <c r="BF57" s="13">
        <f t="shared" si="37"/>
        <v>34.921363182969436</v>
      </c>
      <c r="BG57" s="20">
        <f t="shared" si="7"/>
        <v>294.22254221033842</v>
      </c>
      <c r="BH57" s="59">
        <f t="shared" si="8"/>
        <v>587.55587554367173</v>
      </c>
      <c r="BI57" s="59">
        <f ca="1">AVERAGE(OFFSET($BH$3,0,0,'Données projet'!$E$11+1,1))-AVERAGE(OFFSET($H$3,0,0,'Données projet'!$E$11+1,1))</f>
        <v>175.73188403662408</v>
      </c>
      <c r="BJ57" s="59">
        <f t="shared" si="38"/>
        <v>152.02195399869032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2.7765870723302841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2.7765870723302841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6.3942307692307701</v>
      </c>
      <c r="BY57" s="12">
        <f>IF('Données projet'!$A$114&gt;35,BY56+BX57-CG56,IF(A57&lt;'Données projet'!$A$114,$BV$205^A57,IF(A57='Données projet'!$A$114,'Données projet'!$B$114,BY56+BX57-CG56)))</f>
        <v>127.28525641025638</v>
      </c>
      <c r="BZ57" s="13">
        <f>BY57*VLOOKUP('Données projet'!$B$12,Paramètres!$A$1:$I$89,3,0)*VLOOKUP('Données projet'!$B$12,Paramètres!$A$1:$I$89,5,0)</f>
        <v>115.16769999999995</v>
      </c>
      <c r="CA57" s="13">
        <f t="shared" si="39"/>
        <v>30.545262787038261</v>
      </c>
      <c r="CB57" s="20">
        <f t="shared" si="10"/>
        <v>253.78341018742489</v>
      </c>
      <c r="CC57" s="59">
        <f t="shared" si="11"/>
        <v>547.11674352075818</v>
      </c>
      <c r="CD57" s="59">
        <f ca="1">AVERAGE(OFFSET($CC$3,0,0,'Données projet'!$E$12+1,1))-AVERAGE(OFFSET($H$3,0,0,'Données projet'!$E$12+1,1))</f>
        <v>213.54857791046686</v>
      </c>
      <c r="CE57" s="59">
        <f t="shared" si="40"/>
        <v>138.46877538074244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143.36712</v>
      </c>
      <c r="CV57" s="13">
        <f t="shared" si="41"/>
        <v>37.067295228155103</v>
      </c>
      <c r="CW57" s="20">
        <f t="shared" si="13"/>
        <v>314.25660652237013</v>
      </c>
      <c r="CX57" s="59">
        <f t="shared" si="14"/>
        <v>607.58993985570351</v>
      </c>
      <c r="CY57" s="59">
        <f ca="1">AVERAGE(OFFSET($CX$3,0,0,'Données projet'!$E$13+1,1))-AVERAGE(OFFSET($H$3,0,0,'Données projet'!$E$13+1,1))</f>
        <v>161.87883827031436</v>
      </c>
      <c r="CZ57" s="59">
        <f t="shared" si="42"/>
        <v>163.02076389611869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2.8520709796842176</v>
      </c>
      <c r="DG57" s="21">
        <f>EXP(-LN(2)/25)*DG56+(1-EXP(-LN(2)/25))/(LN(2)/25)*Calculateur!DB57*Calculateur!DD57*VLOOKUP('Données projet'!$B$13,Paramètres!$A$1:$I$89,3,0)*0.475*44/12</f>
        <v>8.5518031813332396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11.403874161017457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3.4</v>
      </c>
      <c r="DO57" s="12">
        <f>IF('Données projet'!$A$166&gt;35,DO56+DN57-DW56,IF(A57&lt;'Données projet'!$A$166,$DL$205^A57,IF(A57='Données projet'!$A$166,'Données projet'!$B$166,DO56+DN57-DW56)))</f>
        <v>111.59999999999998</v>
      </c>
      <c r="DP57" s="17">
        <f>DO57*VLOOKUP('Données projet'!$B$14,Paramètres!$A$1:$I$89,3,0)*VLOOKUP('Données projet'!$B$14,Paramètres!$A$1:$I$89,5,0)</f>
        <v>90.52991999999999</v>
      </c>
      <c r="DQ57" s="13">
        <f t="shared" si="43"/>
        <v>24.69298523706777</v>
      </c>
      <c r="DR57" s="20">
        <f t="shared" si="16"/>
        <v>200.67989328789301</v>
      </c>
      <c r="DS57" s="59">
        <f t="shared" si="17"/>
        <v>494.01322662122629</v>
      </c>
      <c r="DT57" s="59">
        <f ca="1">AVERAGE(OFFSET($DS$3,0,0,'Données projet'!$E$14+1,1))-AVERAGE(OFFSET($H$3,0,0,'Données projet'!$E$14+1,1))</f>
        <v>96.611230241682733</v>
      </c>
      <c r="DU57" s="59">
        <f t="shared" si="44"/>
        <v>78.711045514042041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1.2728787976709781</v>
      </c>
      <c r="EC57" s="21">
        <f>EXP(-LN(2)/2)*EC56+(1-EXP(-LN(2)/2))/(LN(2)/2)*DW57*DZ57*VLOOKUP('Données projet'!$B$14,Paramètres!$A$1:$I$89,3,0)*0.475*44/12</f>
        <v>0.55748746459567167</v>
      </c>
      <c r="ED57" s="22">
        <f t="shared" si="18"/>
        <v>1.8303662622666499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16.227472527472521</v>
      </c>
      <c r="EJ57" s="12">
        <f>IF('Données projet'!$A$192&gt;35,EJ56+EI57-ER56,IF(A57&lt;'Données projet'!$A$192,$EG$205^A57,IF(A57='Données projet'!$A$192,'Données projet'!$B$192,EJ56+EI57-ER56)))</f>
        <v>395.25274725274721</v>
      </c>
      <c r="EK57" s="17">
        <f>EJ57*VLOOKUP('Données projet'!$B$15,Paramètres!$A$1:$I$89,3,0)*VLOOKUP('Données projet'!$B$15,Paramètres!$A$1:$I$89,5,0)</f>
        <v>174.7017142857143</v>
      </c>
      <c r="EL57" s="13">
        <f t="shared" si="45"/>
        <v>44.14137337262482</v>
      </c>
      <c r="EM57" s="20">
        <f t="shared" si="19"/>
        <v>381.15171100494064</v>
      </c>
      <c r="EN57" s="59">
        <f t="shared" si="20"/>
        <v>674.48504433827395</v>
      </c>
      <c r="EO57" s="59">
        <f ca="1">AVERAGE(OFFSET($EN$3,0,0,'Données projet'!$E$15+1,1))-AVERAGE(OFFSET($H$3,0,0,'Données projet'!$E$15+1,1))</f>
        <v>188.61152573050066</v>
      </c>
      <c r="EP57" s="59">
        <f t="shared" si="46"/>
        <v>172.37050503841624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43.776698594967357</v>
      </c>
      <c r="EW57" s="21">
        <f>EXP(-LN(2)/25)*EW56+(1-EXP(-LN(2)/25))/(LN(2)/25)*Calculateur!ER57*Calculateur!ET57*VLOOKUP('Données projet'!$B$15,Paramètres!$A$1:$I$89,3,0)*0.475*44/12</f>
        <v>19.003417676345016</v>
      </c>
      <c r="EX57" s="21">
        <f>EXP(-LN(2)/2)*EX56+(1-EXP(-LN(2)/2))/(LN(2)/2)*ER57*EU57*VLOOKUP('Données projet'!$B$15,Paramètres!$A$1:$I$89,3,0)*0.475*44/12</f>
        <v>1.1476630034960795</v>
      </c>
      <c r="EY57" s="22">
        <f t="shared" si="21"/>
        <v>63.927779274808451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>
        <f>FE57*VLOOKUP('Données projet'!$B$16,Paramètres!$A$1:$I$89,3,0)*VLOOKUP('Données projet'!$B$16,Paramètres!$A$1:$I$89,5,0)</f>
        <v>0</v>
      </c>
      <c r="FG57" s="13" t="e">
        <f t="shared" si="47"/>
        <v>#NUM!</v>
      </c>
      <c r="FH57" s="20" t="e">
        <f t="shared" si="22"/>
        <v>#NUM!</v>
      </c>
      <c r="FI57" s="59" t="e">
        <f t="shared" si="23"/>
        <v>#NUM!</v>
      </c>
      <c r="FJ57" s="59">
        <f ca="1">AVERAGE(OFFSET($FI$3,0,0,'Données projet'!$E$16+1,1))-AVERAGE(OFFSET($H$3,0,0,'Données projet'!$E$16+1,1))</f>
        <v>0</v>
      </c>
      <c r="FK57" s="59">
        <f t="shared" si="48"/>
        <v>0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197.78572767493569</v>
      </c>
      <c r="T58" s="59">
        <f t="shared" si="34"/>
        <v>288.66487031729008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232</v>
      </c>
      <c r="AG58" s="12">
        <f>VLOOKUP(A58,'Données projet'!$A$61:$I$81,9,0)</f>
        <v>6</v>
      </c>
      <c r="AH58" s="12">
        <f t="array" ref="AH58">INDEX(AG:AG,MIN(IF(ISNUMBER(AG58:AG254),ROW(AG58:AG254),"")))</f>
        <v>6</v>
      </c>
      <c r="AI58" s="13">
        <f>IF('Données projet'!$A$62&gt;35,AI57+AH58-AQ57,IF(A58&lt;'Données projet'!$A$62,$AF$205^A58,IF(A58='Données projet'!$A$62,'Données projet'!$B$62,AI57+AH58-AQ57)))</f>
        <v>231.99999999999989</v>
      </c>
      <c r="AJ58" s="13">
        <f>AI58*VLOOKUP('Données projet'!$B$10,Paramètres!$A$1:$I$89,3,0)*VLOOKUP('Données projet'!$B$10,Paramètres!$A$1:$I$89,5,0)</f>
        <v>184.57919999999993</v>
      </c>
      <c r="AK58" s="13">
        <f t="shared" si="35"/>
        <v>46.339479465836618</v>
      </c>
      <c r="AL58" s="20">
        <f t="shared" si="4"/>
        <v>402.18336673633195</v>
      </c>
      <c r="AM58" s="59">
        <f t="shared" si="5"/>
        <v>695.51670006966526</v>
      </c>
      <c r="AN58" s="59">
        <f ca="1">AVERAGE(OFFSET($AM$3,0,0,'Données projet'!$E$10+1,1))-AVERAGE(OFFSET($H$3,0,0,'Données projet'!$E$10+1,1))</f>
        <v>219.43439115440339</v>
      </c>
      <c r="AO58" s="59">
        <f t="shared" si="36"/>
        <v>217.8880462742099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13</v>
      </c>
      <c r="AR58" s="16">
        <f>IF(ISNA(VLOOKUP(A58,'Données projet'!$A$61:$I$81,5,0)),0%,VLOOKUP(A58,'Données projet'!$A$61:$I$81,5,0)*VLOOKUP('Données projet'!$B$10,Paramètres!$A$1:$I$89,7,0))</f>
        <v>0.40810000000000002</v>
      </c>
      <c r="AS58" s="16">
        <f>IF(ISNA(VLOOKUP(A58,'Données projet'!$A$61:$I$81,6,0)),0%,VLOOKUP(A58,'Données projet'!$A$61:$I$81,6,0)*VLOOKUP('Données projet'!$B$10,Paramètres!$A$1:$I$89,7,0))</f>
        <v>7.9500000000000001E-2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20.406687114381842</v>
      </c>
      <c r="AV58" s="21">
        <f>EXP(-LN(2)/25)*AV57+(1-EXP(-LN(2)/25))/(LN(2)/25)*Calculateur!AQ58*Calculateur!AS58*VLOOKUP('Données projet'!$B$10,Paramètres!$A$1:$I$89,3,0)*0.475*44/12</f>
        <v>13.069464638658904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33.476151753040746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158</v>
      </c>
      <c r="BB58" s="12">
        <f>VLOOKUP(A58,'Données projet'!$A$87:$I$107,9,0)</f>
        <v>4.5999999999999996</v>
      </c>
      <c r="BC58" s="12">
        <f t="array" ref="BC58">INDEX(BB:BB,MIN(IF(ISNUMBER(BB58:BB254),ROW(BB58:BB254),"")))</f>
        <v>4.5999999999999996</v>
      </c>
      <c r="BD58" s="12">
        <f>IF('Données projet'!$A$88&gt;35,BD57+BC58-BL57,IF(A58&lt;'Données projet'!$A$88,$BA$205^A58,IF(A58='Données projet'!$A$88,'Données projet'!$B$88,BD57+BC58-BL57)))</f>
        <v>157.99999999999997</v>
      </c>
      <c r="BE58" s="13">
        <f>BD58*VLOOKUP('Données projet'!$B$11,Paramètres!$A$1:$I$89,3,0)*VLOOKUP('Données projet'!$B$11,Paramètres!$A$1:$I$89,5,0)</f>
        <v>138.02879999999999</v>
      </c>
      <c r="BF58" s="13">
        <f t="shared" si="37"/>
        <v>35.845059256813073</v>
      </c>
      <c r="BG58" s="20">
        <f t="shared" si="7"/>
        <v>302.83030487228274</v>
      </c>
      <c r="BH58" s="59">
        <f t="shared" si="8"/>
        <v>596.16363820561605</v>
      </c>
      <c r="BI58" s="59">
        <f ca="1">AVERAGE(OFFSET($BH$3,0,0,'Données projet'!$E$11+1,1))-AVERAGE(OFFSET($H$3,0,0,'Données projet'!$E$11+1,1))</f>
        <v>175.73188403662408</v>
      </c>
      <c r="BJ58" s="59">
        <f t="shared" si="38"/>
        <v>152.02195399869032</v>
      </c>
      <c r="BK58" s="15">
        <f>IF(ISNA(VLOOKUP(A58,'Données projet'!$A$87:$I$107,3,0)),0,VLOOKUP(A58,'Données projet'!$A$87:$I$107,3,0))</f>
        <v>7</v>
      </c>
      <c r="BL58" s="15" t="str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0.215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5.5960898415651226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5.5960898415651226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6.3942307692307701</v>
      </c>
      <c r="BY58" s="12">
        <f>IF('Données projet'!$A$114&gt;35,BY57+BX58-CG57,IF(A58&lt;'Données projet'!$A$114,$BV$205^A58,IF(A58='Données projet'!$A$114,'Données projet'!$B$114,BY57+BX58-CG57)))</f>
        <v>133.67948717948715</v>
      </c>
      <c r="BZ58" s="13">
        <f>BY58*VLOOKUP('Données projet'!$B$12,Paramètres!$A$1:$I$89,3,0)*VLOOKUP('Données projet'!$B$12,Paramètres!$A$1:$I$89,5,0)</f>
        <v>120.95319999999997</v>
      </c>
      <c r="CA58" s="13">
        <f t="shared" si="39"/>
        <v>31.897215065171491</v>
      </c>
      <c r="CB58" s="20">
        <f t="shared" si="10"/>
        <v>266.21447290517364</v>
      </c>
      <c r="CC58" s="59">
        <f t="shared" si="11"/>
        <v>559.54780623850695</v>
      </c>
      <c r="CD58" s="59">
        <f ca="1">AVERAGE(OFFSET($CC$3,0,0,'Données projet'!$E$12+1,1))-AVERAGE(OFFSET($H$3,0,0,'Données projet'!$E$12+1,1))</f>
        <v>213.54857791046686</v>
      </c>
      <c r="CE58" s="59">
        <f t="shared" si="40"/>
        <v>138.46877538074244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147.18600000000001</v>
      </c>
      <c r="CV58" s="13">
        <f t="shared" si="41"/>
        <v>37.938390882441361</v>
      </c>
      <c r="CW58" s="20">
        <f t="shared" si="13"/>
        <v>322.4249807869187</v>
      </c>
      <c r="CX58" s="59">
        <f t="shared" si="14"/>
        <v>615.75831412025195</v>
      </c>
      <c r="CY58" s="59">
        <f ca="1">AVERAGE(OFFSET($CX$3,0,0,'Données projet'!$E$13+1,1))-AVERAGE(OFFSET($H$3,0,0,'Données projet'!$E$13+1,1))</f>
        <v>161.87883827031436</v>
      </c>
      <c r="CZ58" s="59">
        <f t="shared" si="42"/>
        <v>163.02076389611869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0.1908</v>
      </c>
      <c r="DD58" s="16">
        <f>IF(ISNA(VLOOKUP(A58,'Données projet'!$A$139:$I$159,6,0)),0%,VLOOKUP(A58,'Données projet'!$A$139:$I$159,6,0)*VLOOKUP('Données projet'!$B$13,Paramètres!$A$1:$I$89,7,0))</f>
        <v>0.1908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4.6420638839918622</v>
      </c>
      <c r="DG58" s="21">
        <f>EXP(-LN(2)/25)*DG57+(1-EXP(-LN(2)/25))/(LN(2)/25)*Calculateur!DB58*Calculateur!DD58*VLOOKUP('Données projet'!$B$13,Paramètres!$A$1:$I$89,3,0)*0.475*44/12</f>
        <v>10.156605858767772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14.798669742759635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115</v>
      </c>
      <c r="DM58" s="12">
        <f>VLOOKUP(A58,'Données projet'!$A$165:$I$185,9,0)</f>
        <v>3.4</v>
      </c>
      <c r="DN58" s="12">
        <f t="array" ref="DN58">INDEX(DM:DM,MIN(IF(ISNUMBER(DM58:DM254),ROW(DM58:DM254),"")))</f>
        <v>3.4</v>
      </c>
      <c r="DO58" s="12">
        <f>IF('Données projet'!$A$166&gt;35,DO57+DN58-DW57,IF(A58&lt;'Données projet'!$A$166,$DL$205^A58,IF(A58='Données projet'!$A$166,'Données projet'!$B$166,DO57+DN58-DW57)))</f>
        <v>114.99999999999999</v>
      </c>
      <c r="DP58" s="17">
        <f>DO58*VLOOKUP('Données projet'!$B$14,Paramètres!$A$1:$I$89,3,0)*VLOOKUP('Données projet'!$B$14,Paramètres!$A$1:$I$89,5,0)</f>
        <v>93.287999999999997</v>
      </c>
      <c r="DQ58" s="13">
        <f t="shared" si="43"/>
        <v>25.356547829040977</v>
      </c>
      <c r="DR58" s="20">
        <f t="shared" si="16"/>
        <v>206.63925413557968</v>
      </c>
      <c r="DS58" s="59">
        <f t="shared" si="17"/>
        <v>499.97258746891299</v>
      </c>
      <c r="DT58" s="59">
        <f ca="1">AVERAGE(OFFSET($DS$3,0,0,'Données projet'!$E$14+1,1))-AVERAGE(OFFSET($H$3,0,0,'Données projet'!$E$14+1,1))</f>
        <v>96.611230241682733</v>
      </c>
      <c r="DU58" s="59">
        <f t="shared" si="44"/>
        <v>78.711045514042041</v>
      </c>
      <c r="DV58" s="15">
        <f>IF(ISNA(VLOOKUP(A58,'Données projet'!$A$165:$I$185,3,0)),0,VLOOKUP(A58,'Données projet'!$A$165:$I$185,3,0))</f>
        <v>7</v>
      </c>
      <c r="DW58" s="15">
        <f>IF(ISNA(VLOOKUP(A58,'Données projet'!$A$165:$I$185,4,0)),0,VLOOKUP(A58,'Données projet'!$A$165:$I$185,4,0))</f>
        <v>8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0.129</v>
      </c>
      <c r="DZ58" s="16">
        <f>IF(ISNA(VLOOKUP(A58,'Données projet'!$A$165:$I$185,7,0)),0%,VLOOKUP(A58,'Données projet'!$A$165:$I$185,7,0))</f>
        <v>0.3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2.1598818098961114</v>
      </c>
      <c r="EC58" s="21">
        <f>EXP(-LN(2)/2)*EC57+(1-EXP(-LN(2)/2))/(LN(2)/2)*DW58*DZ58*VLOOKUP('Données projet'!$B$14,Paramètres!$A$1:$I$89,3,0)*0.475*44/12</f>
        <v>2.2311368461490328</v>
      </c>
      <c r="ED58" s="22">
        <f t="shared" si="18"/>
        <v>4.3910186560451443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16.227472527472521</v>
      </c>
      <c r="EJ58" s="12">
        <f>IF('Données projet'!$A$192&gt;35,EJ57+EI58-ER57,IF(A58&lt;'Données projet'!$A$192,$EG$205^A58,IF(A58='Données projet'!$A$192,'Données projet'!$B$192,EJ57+EI58-ER57)))</f>
        <v>411.48021978021973</v>
      </c>
      <c r="EK58" s="17">
        <f>EJ58*VLOOKUP('Données projet'!$B$15,Paramètres!$A$1:$I$89,3,0)*VLOOKUP('Données projet'!$B$15,Paramètres!$A$1:$I$89,5,0)</f>
        <v>181.87425714285715</v>
      </c>
      <c r="EL58" s="13">
        <f t="shared" si="45"/>
        <v>45.738922124894664</v>
      </c>
      <c r="EM58" s="20">
        <f t="shared" si="19"/>
        <v>396.4262872246677</v>
      </c>
      <c r="EN58" s="59">
        <f t="shared" si="20"/>
        <v>689.75962055800096</v>
      </c>
      <c r="EO58" s="59">
        <f ca="1">AVERAGE(OFFSET($EN$3,0,0,'Données projet'!$E$15+1,1))-AVERAGE(OFFSET($H$3,0,0,'Données projet'!$E$15+1,1))</f>
        <v>188.61152573050066</v>
      </c>
      <c r="EP58" s="59">
        <f t="shared" si="46"/>
        <v>172.37050503841624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42.918264236669671</v>
      </c>
      <c r="EW58" s="21">
        <f>EXP(-LN(2)/25)*EW57+(1-EXP(-LN(2)/25))/(LN(2)/25)*Calculateur!ER58*Calculateur!ET58*VLOOKUP('Données projet'!$B$15,Paramètres!$A$1:$I$89,3,0)*0.475*44/12</f>
        <v>18.48376822063906</v>
      </c>
      <c r="EX58" s="21">
        <f>EXP(-LN(2)/2)*EX57+(1-EXP(-LN(2)/2))/(LN(2)/2)*ER58*EU58*VLOOKUP('Données projet'!$B$15,Paramètres!$A$1:$I$89,3,0)*0.475*44/12</f>
        <v>0.81152029228899825</v>
      </c>
      <c r="EY58" s="22">
        <f t="shared" si="21"/>
        <v>62.213552749597731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>
        <f>FE58*VLOOKUP('Données projet'!$B$16,Paramètres!$A$1:$I$89,3,0)*VLOOKUP('Données projet'!$B$16,Paramètres!$A$1:$I$89,5,0)</f>
        <v>0</v>
      </c>
      <c r="FG58" s="13" t="e">
        <f t="shared" si="47"/>
        <v>#NUM!</v>
      </c>
      <c r="FH58" s="20" t="e">
        <f t="shared" si="22"/>
        <v>#NUM!</v>
      </c>
      <c r="FI58" s="59" t="e">
        <f t="shared" si="23"/>
        <v>#NUM!</v>
      </c>
      <c r="FJ58" s="59">
        <f ca="1">AVERAGE(OFFSET($FI$3,0,0,'Données projet'!$E$16+1,1))-AVERAGE(OFFSET($H$3,0,0,'Données projet'!$E$16+1,1))</f>
        <v>0</v>
      </c>
      <c r="FK58" s="59">
        <f t="shared" si="48"/>
        <v>0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197.78572767493569</v>
      </c>
      <c r="T59" s="59">
        <f t="shared" si="34"/>
        <v>288.66487031729008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5.2</v>
      </c>
      <c r="AI59" s="13">
        <f>IF('Données projet'!$A$62&gt;35,AI58+AH59-AQ58,IF(A59&lt;'Données projet'!$A$62,$AF$205^A59,IF(A59='Données projet'!$A$62,'Données projet'!$B$62,AI58+AH59-AQ58)))</f>
        <v>224.19999999999987</v>
      </c>
      <c r="AJ59" s="13">
        <f>AI59*VLOOKUP('Données projet'!$B$10,Paramètres!$A$1:$I$89,3,0)*VLOOKUP('Données projet'!$B$10,Paramètres!$A$1:$I$89,5,0)</f>
        <v>178.37351999999993</v>
      </c>
      <c r="AK59" s="13">
        <f t="shared" si="35"/>
        <v>44.960133388294842</v>
      </c>
      <c r="AL59" s="20">
        <f t="shared" si="4"/>
        <v>388.97277965128006</v>
      </c>
      <c r="AM59" s="59">
        <f t="shared" si="5"/>
        <v>682.30611298461338</v>
      </c>
      <c r="AN59" s="59">
        <f ca="1">AVERAGE(OFFSET($AM$3,0,0,'Données projet'!$E$10+1,1))-AVERAGE(OFFSET($H$3,0,0,'Données projet'!$E$10+1,1))</f>
        <v>219.43439115440339</v>
      </c>
      <c r="AO59" s="59">
        <f t="shared" si="36"/>
        <v>217.8880462742099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20.006524426918929</v>
      </c>
      <c r="AV59" s="21">
        <f>EXP(-LN(2)/25)*AV58+(1-EXP(-LN(2)/25))/(LN(2)/25)*Calculateur!AQ59*Calculateur!AS59*VLOOKUP('Données projet'!$B$10,Paramètres!$A$1:$I$89,3,0)*0.475*44/12</f>
        <v>12.712079440821501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32.718603867740427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4.2</v>
      </c>
      <c r="BD59" s="12">
        <f>IF('Données projet'!$A$88&gt;35,BD58+BC59-BL58,IF(A59&lt;'Données projet'!$A$88,$BA$205^A59,IF(A59='Données projet'!$A$88,'Données projet'!$B$88,BD58+BC59-BL58)))</f>
        <v>148.19999999999996</v>
      </c>
      <c r="BE59" s="13">
        <f>BD59*VLOOKUP('Données projet'!$B$11,Paramètres!$A$1:$I$89,3,0)*VLOOKUP('Données projet'!$B$11,Paramètres!$A$1:$I$89,5,0)</f>
        <v>129.46751999999998</v>
      </c>
      <c r="BF59" s="13">
        <f t="shared" si="37"/>
        <v>33.873289462262882</v>
      </c>
      <c r="BG59" s="20">
        <f t="shared" si="7"/>
        <v>284.48524314677445</v>
      </c>
      <c r="BH59" s="59">
        <f t="shared" si="8"/>
        <v>577.81857648010782</v>
      </c>
      <c r="BI59" s="59">
        <f ca="1">AVERAGE(OFFSET($BH$3,0,0,'Données projet'!$E$11+1,1))-AVERAGE(OFFSET($H$3,0,0,'Données projet'!$E$11+1,1))</f>
        <v>175.73188403662408</v>
      </c>
      <c r="BJ59" s="59">
        <f t="shared" si="38"/>
        <v>152.02195399869032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5.44306447056195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5.44306447056195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6.3942307692307701</v>
      </c>
      <c r="BY59" s="12">
        <f>IF('Données projet'!$A$114&gt;35,BY58+BX59-CG58,IF(A59&lt;'Données projet'!$A$114,$BV$205^A59,IF(A59='Données projet'!$A$114,'Données projet'!$B$114,BY58+BX59-CG58)))</f>
        <v>140.07371794871793</v>
      </c>
      <c r="BZ59" s="13">
        <f>BY59*VLOOKUP('Données projet'!$B$12,Paramètres!$A$1:$I$89,3,0)*VLOOKUP('Données projet'!$B$12,Paramètres!$A$1:$I$89,5,0)</f>
        <v>126.73869999999998</v>
      </c>
      <c r="CA59" s="13">
        <f t="shared" si="39"/>
        <v>33.241657959244336</v>
      </c>
      <c r="CB59" s="20">
        <f t="shared" si="10"/>
        <v>278.63245677901716</v>
      </c>
      <c r="CC59" s="59">
        <f t="shared" si="11"/>
        <v>571.96579011235053</v>
      </c>
      <c r="CD59" s="59">
        <f ca="1">AVERAGE(OFFSET($CC$3,0,0,'Données projet'!$E$12+1,1))-AVERAGE(OFFSET($H$3,0,0,'Données projet'!$E$12+1,1))</f>
        <v>213.54857791046686</v>
      </c>
      <c r="CE59" s="59">
        <f t="shared" si="40"/>
        <v>138.46877538074244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141.61680000000001</v>
      </c>
      <c r="CV59" s="13">
        <f t="shared" si="41"/>
        <v>36.66714378804366</v>
      </c>
      <c r="CW59" s="20">
        <f t="shared" si="13"/>
        <v>310.5112020975094</v>
      </c>
      <c r="CX59" s="59">
        <f t="shared" si="14"/>
        <v>603.84453543084271</v>
      </c>
      <c r="CY59" s="59">
        <f ca="1">AVERAGE(OFFSET($CX$3,0,0,'Données projet'!$E$13+1,1))-AVERAGE(OFFSET($H$3,0,0,'Données projet'!$E$13+1,1))</f>
        <v>161.87883827031436</v>
      </c>
      <c r="CZ59" s="59">
        <f t="shared" si="42"/>
        <v>163.02076389611869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4.5510358426061757</v>
      </c>
      <c r="DG59" s="21">
        <f>EXP(-LN(2)/25)*DG58+(1-EXP(-LN(2)/25))/(LN(2)/25)*Calculateur!DB59*Calculateur!DD59*VLOOKUP('Données projet'!$B$13,Paramètres!$A$1:$I$89,3,0)*0.475*44/12</f>
        <v>9.8788729374470794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14.429908780053255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3.2</v>
      </c>
      <c r="DO59" s="12">
        <f>IF('Données projet'!$A$166&gt;35,DO58+DN59-DW58,IF(A59&lt;'Données projet'!$A$166,$DL$205^A59,IF(A59='Données projet'!$A$166,'Données projet'!$B$166,DO58+DN59-DW58)))</f>
        <v>110.19999999999999</v>
      </c>
      <c r="DP59" s="17">
        <f>DO59*VLOOKUP('Données projet'!$B$14,Paramètres!$A$1:$I$89,3,0)*VLOOKUP('Données projet'!$B$14,Paramètres!$A$1:$I$89,5,0)</f>
        <v>89.394239999999996</v>
      </c>
      <c r="DQ59" s="13">
        <f t="shared" si="43"/>
        <v>24.419072895797868</v>
      </c>
      <c r="DR59" s="20">
        <f t="shared" si="16"/>
        <v>198.2248532935146</v>
      </c>
      <c r="DS59" s="59">
        <f t="shared" si="17"/>
        <v>491.55818662684794</v>
      </c>
      <c r="DT59" s="59">
        <f ca="1">AVERAGE(OFFSET($DS$3,0,0,'Données projet'!$E$14+1,1))-AVERAGE(OFFSET($H$3,0,0,'Données projet'!$E$14+1,1))</f>
        <v>96.611230241682733</v>
      </c>
      <c r="DU59" s="59">
        <f t="shared" si="44"/>
        <v>78.711045514042041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2.1008197282212544</v>
      </c>
      <c r="EC59" s="21">
        <f>EXP(-LN(2)/2)*EC58+(1-EXP(-LN(2)/2))/(LN(2)/2)*DW59*DZ59*VLOOKUP('Données projet'!$B$14,Paramètres!$A$1:$I$89,3,0)*0.475*44/12</f>
        <v>1.577651993667148</v>
      </c>
      <c r="ED59" s="22">
        <f t="shared" si="18"/>
        <v>3.6784717218884024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427.7076923076923</v>
      </c>
      <c r="EH59" s="12">
        <f>VLOOKUP(A59,'Données projet'!$A$191:$I$211,9,0)</f>
        <v>16.227472527472521</v>
      </c>
      <c r="EI59" s="12">
        <f t="array" ref="EI59">INDEX(EH:EH,MIN(IF(ISNUMBER(EH59:EH255),ROW(EH59:EH255),"")))</f>
        <v>16.227472527472521</v>
      </c>
      <c r="EJ59" s="12">
        <f>IF('Données projet'!$A$192&gt;35,EJ58+EI59-ER58,IF(A59&lt;'Données projet'!$A$192,$EG$205^A59,IF(A59='Données projet'!$A$192,'Données projet'!$B$192,EJ58+EI59-ER58)))</f>
        <v>427.70769230769224</v>
      </c>
      <c r="EK59" s="17">
        <f>EJ59*VLOOKUP('Données projet'!$B$15,Paramètres!$A$1:$I$89,3,0)*VLOOKUP('Données projet'!$B$15,Paramètres!$A$1:$I$89,5,0)</f>
        <v>189.04679999999996</v>
      </c>
      <c r="EL59" s="13">
        <f t="shared" si="45"/>
        <v>47.329152218170634</v>
      </c>
      <c r="EM59" s="20">
        <f t="shared" si="19"/>
        <v>411.68811677998042</v>
      </c>
      <c r="EN59" s="59">
        <f t="shared" si="20"/>
        <v>705.02145011331368</v>
      </c>
      <c r="EO59" s="59">
        <f ca="1">AVERAGE(OFFSET($EN$3,0,0,'Données projet'!$E$15+1,1))-AVERAGE(OFFSET($H$3,0,0,'Données projet'!$E$15+1,1))</f>
        <v>188.61152573050066</v>
      </c>
      <c r="EP59" s="59">
        <f t="shared" si="46"/>
        <v>172.37050503841624</v>
      </c>
      <c r="EQ59" s="15">
        <f>IF(ISNA(VLOOKUP(A59,'Données projet'!$A$191:$I$211,3,0)),0,VLOOKUP(A59,'Données projet'!$A$191:$I$211,3,0))</f>
        <v>6</v>
      </c>
      <c r="ER59" s="15">
        <f>IF(ISNA(VLOOKUP(A59,'Données projet'!$A$191:$I$211,4,0)),0,VLOOKUP(A59,'Données projet'!$A$191:$I$211,4,0))</f>
        <v>75.869230769230768</v>
      </c>
      <c r="ES59" s="16">
        <f>IF(ISNA(VLOOKUP(A59,'Données projet'!$A$191:$I$211,5,0)),0%,VLOOKUP(A59,'Données projet'!$A$191:$I$211,5,0)*VLOOKUP('Données projet'!$B$15,Paramètres!$A$1:$I$89,7,0))</f>
        <v>0.38500000000000001</v>
      </c>
      <c r="ET59" s="16">
        <f>IF(ISNA(VLOOKUP(A59,'Données projet'!$A$191:$I$211,6,0)),0%,VLOOKUP(A59,'Données projet'!$A$191:$I$211,6,0)*VLOOKUP('Données projet'!$B$15,Paramètres!$A$1:$I$89,7,0))</f>
        <v>9.240000000000001E-2</v>
      </c>
      <c r="EU59" s="16">
        <f>IF(ISNA(VLOOKUP(A59,'Données projet'!$A$191:$I$211,7,0)),0%,VLOOKUP(A59,'Données projet'!$A$191:$I$211,7,0))</f>
        <v>0.13200000000000001</v>
      </c>
      <c r="EV59" s="21">
        <f>EXP(-LN(2)/35)*EV58+(1-EXP(-LN(2)/35))/(LN(2)/35)*ER59*ES59*VLOOKUP('Données projet'!$B$15,Paramètres!$A$1:$I$89,3,0)*0.475*44/12</f>
        <v>59.203495190761188</v>
      </c>
      <c r="EW59" s="21">
        <f>EXP(-LN(2)/25)*EW58+(1-EXP(-LN(2)/25))/(LN(2)/25)*Calculateur!ER59*Calculateur!ET59*VLOOKUP('Données projet'!$B$15,Paramètres!$A$1:$I$89,3,0)*0.475*44/12</f>
        <v>22.072583904636375</v>
      </c>
      <c r="EX59" s="21">
        <f>EXP(-LN(2)/2)*EX58+(1-EXP(-LN(2)/2))/(LN(2)/2)*ER59*EU59*VLOOKUP('Données projet'!$B$15,Paramètres!$A$1:$I$89,3,0)*0.475*44/12</f>
        <v>5.5856740708940249</v>
      </c>
      <c r="EY59" s="22">
        <f t="shared" si="21"/>
        <v>86.861753166291592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>
        <f>FE59*VLOOKUP('Données projet'!$B$16,Paramètres!$A$1:$I$89,3,0)*VLOOKUP('Données projet'!$B$16,Paramètres!$A$1:$I$89,5,0)</f>
        <v>0</v>
      </c>
      <c r="FG59" s="13" t="e">
        <f t="shared" si="47"/>
        <v>#NUM!</v>
      </c>
      <c r="FH59" s="20" t="e">
        <f t="shared" si="22"/>
        <v>#NUM!</v>
      </c>
      <c r="FI59" s="59" t="e">
        <f t="shared" si="23"/>
        <v>#NUM!</v>
      </c>
      <c r="FJ59" s="59">
        <f ca="1">AVERAGE(OFFSET($FI$3,0,0,'Données projet'!$E$16+1,1))-AVERAGE(OFFSET($H$3,0,0,'Données projet'!$E$16+1,1))</f>
        <v>0</v>
      </c>
      <c r="FK59" s="59">
        <f t="shared" si="48"/>
        <v>0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197.78572767493569</v>
      </c>
      <c r="T60" s="59">
        <f t="shared" si="34"/>
        <v>288.66487031729008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5.2</v>
      </c>
      <c r="AI60" s="13">
        <f>IF('Données projet'!$A$62&gt;35,AI59+AH60-AQ59,IF(A60&lt;'Données projet'!$A$62,$AF$205^A60,IF(A60='Données projet'!$A$62,'Données projet'!$B$62,AI59+AH60-AQ59)))</f>
        <v>229.39999999999986</v>
      </c>
      <c r="AJ60" s="13">
        <f>AI60*VLOOKUP('Données projet'!$B$10,Paramètres!$A$1:$I$89,3,0)*VLOOKUP('Données projet'!$B$10,Paramètres!$A$1:$I$89,5,0)</f>
        <v>182.51063999999988</v>
      </c>
      <c r="AK60" s="13">
        <f t="shared" si="35"/>
        <v>45.880306213791371</v>
      </c>
      <c r="AL60" s="20">
        <f t="shared" si="4"/>
        <v>397.78089798901971</v>
      </c>
      <c r="AM60" s="59">
        <f t="shared" si="5"/>
        <v>691.11423132235302</v>
      </c>
      <c r="AN60" s="59">
        <f ca="1">AVERAGE(OFFSET($AM$3,0,0,'Données projet'!$E$10+1,1))-AVERAGE(OFFSET($H$3,0,0,'Données projet'!$E$10+1,1))</f>
        <v>219.43439115440339</v>
      </c>
      <c r="AO60" s="59">
        <f t="shared" si="36"/>
        <v>217.8880462742099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19.614208685682026</v>
      </c>
      <c r="AV60" s="21">
        <f>EXP(-LN(2)/25)*AV59+(1-EXP(-LN(2)/25))/(LN(2)/25)*Calculateur!AQ60*Calculateur!AS60*VLOOKUP('Données projet'!$B$10,Paramètres!$A$1:$I$89,3,0)*0.475*44/12</f>
        <v>12.364466960013033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31.978675645695059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4.2</v>
      </c>
      <c r="BD60" s="12">
        <f>IF('Données projet'!$A$88&gt;35,BD59+BC60-BL59,IF(A60&lt;'Données projet'!$A$88,$BA$205^A60,IF(A60='Données projet'!$A$88,'Données projet'!$B$88,BD59+BC60-BL59)))</f>
        <v>152.39999999999995</v>
      </c>
      <c r="BE60" s="13">
        <f>BD60*VLOOKUP('Données projet'!$B$11,Paramètres!$A$1:$I$89,3,0)*VLOOKUP('Données projet'!$B$11,Paramètres!$A$1:$I$89,5,0)</f>
        <v>133.13663999999997</v>
      </c>
      <c r="BF60" s="13">
        <f t="shared" si="37"/>
        <v>34.720135986247143</v>
      </c>
      <c r="BG60" s="20">
        <f t="shared" si="7"/>
        <v>292.35055150938035</v>
      </c>
      <c r="BH60" s="59">
        <f t="shared" si="8"/>
        <v>585.68388484271372</v>
      </c>
      <c r="BI60" s="59">
        <f ca="1">AVERAGE(OFFSET($BH$3,0,0,'Données projet'!$E$11+1,1))-AVERAGE(OFFSET($H$3,0,0,'Données projet'!$E$11+1,1))</f>
        <v>175.73188403662408</v>
      </c>
      <c r="BJ60" s="59">
        <f t="shared" si="38"/>
        <v>152.02195399869032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5.2942235863761136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5.2942235863761136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6.3942307692307701</v>
      </c>
      <c r="BY60" s="12">
        <f>IF('Données projet'!$A$114&gt;35,BY59+BX60-CG59,IF(A60&lt;'Données projet'!$A$114,$BV$205^A60,IF(A60='Données projet'!$A$114,'Données projet'!$B$114,BY59+BX60-CG59)))</f>
        <v>146.4679487179487</v>
      </c>
      <c r="BZ60" s="13">
        <f>BY60*VLOOKUP('Données projet'!$B$12,Paramètres!$A$1:$I$89,3,0)*VLOOKUP('Données projet'!$B$12,Paramètres!$A$1:$I$89,5,0)</f>
        <v>132.52419999999998</v>
      </c>
      <c r="CA60" s="13">
        <f t="shared" si="39"/>
        <v>34.578973423062216</v>
      </c>
      <c r="CB60" s="20">
        <f t="shared" si="10"/>
        <v>291.03802704516664</v>
      </c>
      <c r="CC60" s="59">
        <f t="shared" si="11"/>
        <v>584.37136037849996</v>
      </c>
      <c r="CD60" s="59">
        <f ca="1">AVERAGE(OFFSET($CC$3,0,0,'Données projet'!$E$12+1,1))-AVERAGE(OFFSET($H$3,0,0,'Données projet'!$E$12+1,1))</f>
        <v>213.54857791046686</v>
      </c>
      <c r="CE60" s="59">
        <f t="shared" si="40"/>
        <v>138.46877538074244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144.79920000000001</v>
      </c>
      <c r="CV60" s="13">
        <f t="shared" si="41"/>
        <v>37.394268839921317</v>
      </c>
      <c r="CW60" s="20">
        <f t="shared" si="13"/>
        <v>317.32029156286296</v>
      </c>
      <c r="CX60" s="59">
        <f t="shared" si="14"/>
        <v>610.65362489619633</v>
      </c>
      <c r="CY60" s="59">
        <f ca="1">AVERAGE(OFFSET($CX$3,0,0,'Données projet'!$E$13+1,1))-AVERAGE(OFFSET($H$3,0,0,'Données projet'!$E$13+1,1))</f>
        <v>161.87883827031436</v>
      </c>
      <c r="CZ60" s="59">
        <f t="shared" si="42"/>
        <v>163.02076389611869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4.4617928055904397</v>
      </c>
      <c r="DG60" s="21">
        <f>EXP(-LN(2)/25)*DG59+(1-EXP(-LN(2)/25))/(LN(2)/25)*Calculateur!DB60*Calculateur!DD60*VLOOKUP('Données projet'!$B$13,Paramètres!$A$1:$I$89,3,0)*0.475*44/12</f>
        <v>9.6087346374652398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14.070527443055679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3.2</v>
      </c>
      <c r="DO60" s="12">
        <f>IF('Données projet'!$A$166&gt;35,DO59+DN60-DW59,IF(A60&lt;'Données projet'!$A$166,$DL$205^A60,IF(A60='Données projet'!$A$166,'Données projet'!$B$166,DO59+DN60-DW59)))</f>
        <v>113.39999999999999</v>
      </c>
      <c r="DP60" s="17">
        <f>DO60*VLOOKUP('Données projet'!$B$14,Paramètres!$A$1:$I$89,3,0)*VLOOKUP('Données projet'!$B$14,Paramètres!$A$1:$I$89,5,0)</f>
        <v>91.990079999999992</v>
      </c>
      <c r="DQ60" s="13">
        <f t="shared" si="43"/>
        <v>25.044571724233414</v>
      </c>
      <c r="DR60" s="20">
        <f t="shared" si="16"/>
        <v>203.83535175303984</v>
      </c>
      <c r="DS60" s="59">
        <f t="shared" si="17"/>
        <v>497.16868508637316</v>
      </c>
      <c r="DT60" s="59">
        <f ca="1">AVERAGE(OFFSET($DS$3,0,0,'Données projet'!$E$14+1,1))-AVERAGE(OFFSET($H$3,0,0,'Données projet'!$E$14+1,1))</f>
        <v>96.611230241682733</v>
      </c>
      <c r="DU60" s="59">
        <f t="shared" si="44"/>
        <v>78.711045514042041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2.043372702275736</v>
      </c>
      <c r="EC60" s="21">
        <f>EXP(-LN(2)/2)*EC59+(1-EXP(-LN(2)/2))/(LN(2)/2)*DW60*DZ60*VLOOKUP('Données projet'!$B$14,Paramètres!$A$1:$I$89,3,0)*0.475*44/12</f>
        <v>1.1155684230745166</v>
      </c>
      <c r="ED60" s="22">
        <f t="shared" si="18"/>
        <v>3.1589411253502524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14.839560439560453</v>
      </c>
      <c r="EJ60" s="12">
        <f>IF('Données projet'!$A$192&gt;35,EJ59+EI60-ER59,IF(A60&lt;'Données projet'!$A$192,$EG$205^A60,IF(A60='Données projet'!$A$192,'Données projet'!$B$192,EJ59+EI60-ER59)))</f>
        <v>366.67802197802189</v>
      </c>
      <c r="EK60" s="17">
        <f>EJ60*VLOOKUP('Données projet'!$B$15,Paramètres!$A$1:$I$89,3,0)*VLOOKUP('Données projet'!$B$15,Paramètres!$A$1:$I$89,5,0)</f>
        <v>162.07168571428571</v>
      </c>
      <c r="EL60" s="13">
        <f t="shared" si="45"/>
        <v>41.309439460778606</v>
      </c>
      <c r="EM60" s="20">
        <f t="shared" si="19"/>
        <v>354.22212634657035</v>
      </c>
      <c r="EN60" s="59">
        <f t="shared" si="20"/>
        <v>647.55545967990361</v>
      </c>
      <c r="EO60" s="59">
        <f ca="1">AVERAGE(OFFSET($EN$3,0,0,'Données projet'!$E$15+1,1))-AVERAGE(OFFSET($H$3,0,0,'Données projet'!$E$15+1,1))</f>
        <v>188.61152573050066</v>
      </c>
      <c r="EP60" s="59">
        <f t="shared" si="46"/>
        <v>172.37050503841624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58.042550760636807</v>
      </c>
      <c r="EW60" s="21">
        <f>EXP(-LN(2)/25)*EW59+(1-EXP(-LN(2)/25))/(LN(2)/25)*Calculateur!ER60*Calculateur!ET60*VLOOKUP('Données projet'!$B$15,Paramètres!$A$1:$I$89,3,0)*0.475*44/12</f>
        <v>21.469007937017352</v>
      </c>
      <c r="EX60" s="21">
        <f>EXP(-LN(2)/2)*EX59+(1-EXP(-LN(2)/2))/(LN(2)/2)*ER60*EU60*VLOOKUP('Données projet'!$B$15,Paramètres!$A$1:$I$89,3,0)*0.475*44/12</f>
        <v>3.9496680130270336</v>
      </c>
      <c r="EY60" s="22">
        <f t="shared" si="21"/>
        <v>83.461226710681188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>
        <f>FE60*VLOOKUP('Données projet'!$B$16,Paramètres!$A$1:$I$89,3,0)*VLOOKUP('Données projet'!$B$16,Paramètres!$A$1:$I$89,5,0)</f>
        <v>0</v>
      </c>
      <c r="FG60" s="13" t="e">
        <f t="shared" si="47"/>
        <v>#NUM!</v>
      </c>
      <c r="FH60" s="20" t="e">
        <f t="shared" si="22"/>
        <v>#NUM!</v>
      </c>
      <c r="FI60" s="59" t="e">
        <f t="shared" si="23"/>
        <v>#NUM!</v>
      </c>
      <c r="FJ60" s="59">
        <f ca="1">AVERAGE(OFFSET($FI$3,0,0,'Données projet'!$E$16+1,1))-AVERAGE(OFFSET($H$3,0,0,'Données projet'!$E$16+1,1))</f>
        <v>0</v>
      </c>
      <c r="FK60" s="59">
        <f t="shared" si="48"/>
        <v>0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0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197.78572767493569</v>
      </c>
      <c r="T61" s="59">
        <f t="shared" si="34"/>
        <v>288.66487031729008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5.2</v>
      </c>
      <c r="AI61" s="13">
        <f>IF('Données projet'!$A$62&gt;35,AI60+AH61-AQ60,IF(A61&lt;'Données projet'!$A$62,$AF$205^A61,IF(A61='Données projet'!$A$62,'Données projet'!$B$62,AI60+AH61-AQ60)))</f>
        <v>234.59999999999985</v>
      </c>
      <c r="AJ61" s="13">
        <f>AI61*VLOOKUP('Données projet'!$B$10,Paramètres!$A$1:$I$89,3,0)*VLOOKUP('Données projet'!$B$10,Paramètres!$A$1:$I$89,5,0)</f>
        <v>186.64775999999989</v>
      </c>
      <c r="AK61" s="13">
        <f t="shared" si="35"/>
        <v>46.79805411155214</v>
      </c>
      <c r="AL61" s="20">
        <f t="shared" si="4"/>
        <v>406.58479291095313</v>
      </c>
      <c r="AM61" s="59">
        <f t="shared" si="5"/>
        <v>699.91812624428644</v>
      </c>
      <c r="AN61" s="59">
        <f ca="1">AVERAGE(OFFSET($AM$3,0,0,'Données projet'!$E$10+1,1))-AVERAGE(OFFSET($H$3,0,0,'Données projet'!$E$10+1,1))</f>
        <v>219.43439115440339</v>
      </c>
      <c r="AO61" s="59">
        <f t="shared" si="36"/>
        <v>217.8880462742099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19.229586016841804</v>
      </c>
      <c r="AV61" s="21">
        <f>EXP(-LN(2)/25)*AV60+(1-EXP(-LN(2)/25))/(LN(2)/25)*Calculateur!AQ61*Calculateur!AS61*VLOOKUP('Données projet'!$B$10,Paramètres!$A$1:$I$89,3,0)*0.475*44/12</f>
        <v>12.026359960772419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31.255945977614225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4.2</v>
      </c>
      <c r="BD61" s="12">
        <f>IF('Données projet'!$A$88&gt;35,BD60+BC61-BL60,IF(A61&lt;'Données projet'!$A$88,$BA$205^A61,IF(A61='Données projet'!$A$88,'Données projet'!$B$88,BD60+BC61-BL60)))</f>
        <v>156.59999999999994</v>
      </c>
      <c r="BE61" s="13">
        <f>BD61*VLOOKUP('Données projet'!$B$11,Paramètres!$A$1:$I$89,3,0)*VLOOKUP('Données projet'!$B$11,Paramètres!$A$1:$I$89,5,0)</f>
        <v>136.80575999999996</v>
      </c>
      <c r="BF61" s="13">
        <f t="shared" si="37"/>
        <v>35.564269922997305</v>
      </c>
      <c r="BG61" s="20">
        <f t="shared" si="7"/>
        <v>300.21113544922025</v>
      </c>
      <c r="BH61" s="59">
        <f t="shared" si="8"/>
        <v>593.54446878255362</v>
      </c>
      <c r="BI61" s="59">
        <f ca="1">AVERAGE(OFFSET($BH$3,0,0,'Données projet'!$E$11+1,1))-AVERAGE(OFFSET($H$3,0,0,'Données projet'!$E$11+1,1))</f>
        <v>175.73188403662408</v>
      </c>
      <c r="BJ61" s="59">
        <f t="shared" si="38"/>
        <v>152.02195399869032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5.1494527639955407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5.1494527639955407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6.3942307692307701</v>
      </c>
      <c r="BY61" s="12">
        <f>IF('Données projet'!$A$114&gt;35,BY60+BX61-CG60,IF(A61&lt;'Données projet'!$A$114,$BV$205^A61,IF(A61='Données projet'!$A$114,'Données projet'!$B$114,BY60+BX61-CG60)))</f>
        <v>152.86217948717947</v>
      </c>
      <c r="BZ61" s="13">
        <f>BY61*VLOOKUP('Données projet'!$B$12,Paramètres!$A$1:$I$89,3,0)*VLOOKUP('Données projet'!$B$12,Paramètres!$A$1:$I$89,5,0)</f>
        <v>138.30969999999999</v>
      </c>
      <c r="CA61" s="13">
        <f t="shared" si="39"/>
        <v>35.909508175318372</v>
      </c>
      <c r="CB61" s="20">
        <f t="shared" si="10"/>
        <v>303.43178757201281</v>
      </c>
      <c r="CC61" s="59">
        <f t="shared" si="11"/>
        <v>596.76512090534607</v>
      </c>
      <c r="CD61" s="59">
        <f ca="1">AVERAGE(OFFSET($CC$3,0,0,'Données projet'!$E$12+1,1))-AVERAGE(OFFSET($H$3,0,0,'Données projet'!$E$12+1,1))</f>
        <v>213.54857791046686</v>
      </c>
      <c r="CE61" s="59">
        <f t="shared" si="40"/>
        <v>138.46877538074244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147.98160000000001</v>
      </c>
      <c r="CV61" s="13">
        <f t="shared" si="41"/>
        <v>38.119535949375617</v>
      </c>
      <c r="CW61" s="20">
        <f t="shared" si="13"/>
        <v>324.12614511182926</v>
      </c>
      <c r="CX61" s="59">
        <f t="shared" si="14"/>
        <v>617.45947844516263</v>
      </c>
      <c r="CY61" s="59">
        <f ca="1">AVERAGE(OFFSET($CX$3,0,0,'Données projet'!$E$13+1,1))-AVERAGE(OFFSET($H$3,0,0,'Données projet'!$E$13+1,1))</f>
        <v>161.87883827031436</v>
      </c>
      <c r="CZ61" s="59">
        <f t="shared" si="42"/>
        <v>163.02076389611869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4.3742997700977044</v>
      </c>
      <c r="DG61" s="21">
        <f>EXP(-LN(2)/25)*DG60+(1-EXP(-LN(2)/25))/(LN(2)/25)*Calculateur!DB61*Calculateur!DD61*VLOOKUP('Données projet'!$B$13,Paramètres!$A$1:$I$89,3,0)*0.475*44/12</f>
        <v>9.3459832835023597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13.720283053600063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3.2</v>
      </c>
      <c r="DO61" s="12">
        <f>IF('Données projet'!$A$166&gt;35,DO60+DN61-DW60,IF(A61&lt;'Données projet'!$A$166,$DL$205^A61,IF(A61='Données projet'!$A$166,'Données projet'!$B$166,DO60+DN61-DW60)))</f>
        <v>116.6</v>
      </c>
      <c r="DP61" s="17">
        <f>DO61*VLOOKUP('Données projet'!$B$14,Paramètres!$A$1:$I$89,3,0)*VLOOKUP('Données projet'!$B$14,Paramètres!$A$1:$I$89,5,0)</f>
        <v>94.585920000000002</v>
      </c>
      <c r="DQ61" s="13">
        <f t="shared" si="43"/>
        <v>25.668019086997319</v>
      </c>
      <c r="DR61" s="20">
        <f t="shared" si="16"/>
        <v>209.44227724318696</v>
      </c>
      <c r="DS61" s="59">
        <f t="shared" si="17"/>
        <v>502.77561057652031</v>
      </c>
      <c r="DT61" s="59">
        <f ca="1">AVERAGE(OFFSET($DS$3,0,0,'Données projet'!$E$14+1,1))-AVERAGE(OFFSET($H$3,0,0,'Données projet'!$E$14+1,1))</f>
        <v>96.611230241682733</v>
      </c>
      <c r="DU61" s="59">
        <f t="shared" si="44"/>
        <v>78.711045514042041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1.9874965682757058</v>
      </c>
      <c r="EC61" s="21">
        <f>EXP(-LN(2)/2)*EC60+(1-EXP(-LN(2)/2))/(LN(2)/2)*DW61*DZ61*VLOOKUP('Données projet'!$B$14,Paramètres!$A$1:$I$89,3,0)*0.475*44/12</f>
        <v>0.78882599683357413</v>
      </c>
      <c r="ED61" s="22">
        <f t="shared" si="18"/>
        <v>2.7763225651092798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14.839560439560453</v>
      </c>
      <c r="EJ61" s="12">
        <f>IF('Données projet'!$A$192&gt;35,EJ60+EI61-ER60,IF(A61&lt;'Données projet'!$A$192,$EG$205^A61,IF(A61='Données projet'!$A$192,'Données projet'!$B$192,EJ60+EI61-ER60)))</f>
        <v>381.51758241758233</v>
      </c>
      <c r="EK61" s="17">
        <f>EJ61*VLOOKUP('Données projet'!$B$15,Paramètres!$A$1:$I$89,3,0)*VLOOKUP('Données projet'!$B$15,Paramètres!$A$1:$I$89,5,0)</f>
        <v>168.63077142857142</v>
      </c>
      <c r="EL61" s="13">
        <f t="shared" si="45"/>
        <v>42.783217750341748</v>
      </c>
      <c r="EM61" s="20">
        <f t="shared" si="19"/>
        <v>368.2126978199405</v>
      </c>
      <c r="EN61" s="59">
        <f t="shared" si="20"/>
        <v>661.54603115327382</v>
      </c>
      <c r="EO61" s="59">
        <f ca="1">AVERAGE(OFFSET($EN$3,0,0,'Données projet'!$E$15+1,1))-AVERAGE(OFFSET($H$3,0,0,'Données projet'!$E$15+1,1))</f>
        <v>188.61152573050066</v>
      </c>
      <c r="EP61" s="59">
        <f t="shared" si="46"/>
        <v>172.37050503841624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56.904371742680979</v>
      </c>
      <c r="EW61" s="21">
        <f>EXP(-LN(2)/25)*EW60+(1-EXP(-LN(2)/25))/(LN(2)/25)*Calculateur!ER61*Calculateur!ET61*VLOOKUP('Données projet'!$B$15,Paramètres!$A$1:$I$89,3,0)*0.475*44/12</f>
        <v>20.881936785973554</v>
      </c>
      <c r="EX61" s="21">
        <f>EXP(-LN(2)/2)*EX60+(1-EXP(-LN(2)/2))/(LN(2)/2)*ER61*EU61*VLOOKUP('Données projet'!$B$15,Paramètres!$A$1:$I$89,3,0)*0.475*44/12</f>
        <v>2.7928370354470129</v>
      </c>
      <c r="EY61" s="22">
        <f t="shared" si="21"/>
        <v>80.579145564101538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>
        <f>FE61*VLOOKUP('Données projet'!$B$16,Paramètres!$A$1:$I$89,3,0)*VLOOKUP('Données projet'!$B$16,Paramètres!$A$1:$I$89,5,0)</f>
        <v>0</v>
      </c>
      <c r="FG61" s="13" t="e">
        <f t="shared" si="47"/>
        <v>#NUM!</v>
      </c>
      <c r="FH61" s="20" t="e">
        <f t="shared" si="22"/>
        <v>#NUM!</v>
      </c>
      <c r="FI61" s="59" t="e">
        <f t="shared" si="23"/>
        <v>#NUM!</v>
      </c>
      <c r="FJ61" s="59">
        <f ca="1">AVERAGE(OFFSET($FI$3,0,0,'Données projet'!$E$16+1,1))-AVERAGE(OFFSET($H$3,0,0,'Données projet'!$E$16+1,1))</f>
        <v>0</v>
      </c>
      <c r="FK61" s="59">
        <f t="shared" si="48"/>
        <v>0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0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197.78572767493569</v>
      </c>
      <c r="T62" s="59">
        <f t="shared" si="34"/>
        <v>288.66487031729008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5.2</v>
      </c>
      <c r="AI62" s="13">
        <f>IF('Données projet'!$A$62&gt;35,AI61+AH62-AQ61,IF(A62&lt;'Données projet'!$A$62,$AF$205^A62,IF(A62='Données projet'!$A$62,'Données projet'!$B$62,AI61+AH62-AQ61)))</f>
        <v>239.79999999999984</v>
      </c>
      <c r="AJ62" s="13">
        <f>AI62*VLOOKUP('Données projet'!$B$10,Paramètres!$A$1:$I$89,3,0)*VLOOKUP('Données projet'!$B$10,Paramètres!$A$1:$I$89,5,0)</f>
        <v>190.78487999999987</v>
      </c>
      <c r="AK62" s="13">
        <f t="shared" si="35"/>
        <v>47.713437020051622</v>
      </c>
      <c r="AL62" s="20">
        <f t="shared" si="4"/>
        <v>415.384568809923</v>
      </c>
      <c r="AM62" s="59">
        <f t="shared" si="5"/>
        <v>708.71790214325631</v>
      </c>
      <c r="AN62" s="59">
        <f ca="1">AVERAGE(OFFSET($AM$3,0,0,'Données projet'!$E$10+1,1))-AVERAGE(OFFSET($H$3,0,0,'Données projet'!$E$10+1,1))</f>
        <v>219.43439115440339</v>
      </c>
      <c r="AO62" s="59">
        <f t="shared" si="36"/>
        <v>217.8880462742099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18.852505563940873</v>
      </c>
      <c r="AV62" s="21">
        <f>EXP(-LN(2)/25)*AV61+(1-EXP(-LN(2)/25))/(LN(2)/25)*Calculateur!AQ62*Calculateur!AS62*VLOOKUP('Données projet'!$B$10,Paramètres!$A$1:$I$89,3,0)*0.475*44/12</f>
        <v>11.697498515206314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30.550004079147186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4.2</v>
      </c>
      <c r="BD62" s="12">
        <f>IF('Données projet'!$A$88&gt;35,BD61+BC62-BL61,IF(A62&lt;'Données projet'!$A$88,$BA$205^A62,IF(A62='Données projet'!$A$88,'Données projet'!$B$88,BD61+BC62-BL61)))</f>
        <v>160.79999999999993</v>
      </c>
      <c r="BE62" s="13">
        <f>BD62*VLOOKUP('Données projet'!$B$11,Paramètres!$A$1:$I$89,3,0)*VLOOKUP('Données projet'!$B$11,Paramètres!$A$1:$I$89,5,0)</f>
        <v>140.47487999999996</v>
      </c>
      <c r="BF62" s="13">
        <f t="shared" si="37"/>
        <v>36.405772385199683</v>
      </c>
      <c r="BG62" s="20">
        <f t="shared" si="7"/>
        <v>308.06713623755604</v>
      </c>
      <c r="BH62" s="59">
        <f t="shared" si="8"/>
        <v>601.4004695708893</v>
      </c>
      <c r="BI62" s="59">
        <f ca="1">AVERAGE(OFFSET($BH$3,0,0,'Données projet'!$E$11+1,1))-AVERAGE(OFFSET($H$3,0,0,'Données projet'!$E$11+1,1))</f>
        <v>175.73188403662408</v>
      </c>
      <c r="BJ62" s="59">
        <f t="shared" si="38"/>
        <v>152.02195399869032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5.0086407073661308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5.0086407073661308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159.25641025641025</v>
      </c>
      <c r="BW62" s="12">
        <f>VLOOKUP(A62,'Données projet'!$A$113:$I$133,9,0)</f>
        <v>6.3942307692307701</v>
      </c>
      <c r="BX62" s="12">
        <f t="array" ref="BX62">INDEX(BW:BW,MIN(IF(ISNUMBER(BW62:BW258),ROW(BW62:BW258),"")))</f>
        <v>6.3942307692307701</v>
      </c>
      <c r="BY62" s="12">
        <f>IF('Données projet'!$A$114&gt;35,BY61+BX62-CG61,IF(A62&lt;'Données projet'!$A$114,$BV$205^A62,IF(A62='Données projet'!$A$114,'Données projet'!$B$114,BY61+BX62-CG61)))</f>
        <v>159.25641025641025</v>
      </c>
      <c r="BZ62" s="13">
        <f>BY62*VLOOKUP('Données projet'!$B$12,Paramètres!$A$1:$I$89,3,0)*VLOOKUP('Données projet'!$B$12,Paramètres!$A$1:$I$89,5,0)</f>
        <v>144.09520000000001</v>
      </c>
      <c r="CA62" s="13">
        <f t="shared" si="39"/>
        <v>37.23357828719589</v>
      </c>
      <c r="CB62" s="20">
        <f t="shared" si="10"/>
        <v>315.81428885019949</v>
      </c>
      <c r="CC62" s="59">
        <f t="shared" si="11"/>
        <v>609.1476221835328</v>
      </c>
      <c r="CD62" s="59">
        <f ca="1">AVERAGE(OFFSET($CC$3,0,0,'Données projet'!$E$12+1,1))-AVERAGE(OFFSET($H$3,0,0,'Données projet'!$E$12+1,1))</f>
        <v>213.54857791046686</v>
      </c>
      <c r="CE62" s="59">
        <f t="shared" si="40"/>
        <v>138.46877538074244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38.942307692307693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151.16400000000002</v>
      </c>
      <c r="CV62" s="13">
        <f t="shared" si="41"/>
        <v>38.84298967415998</v>
      </c>
      <c r="CW62" s="20">
        <f t="shared" si="13"/>
        <v>330.92884034916193</v>
      </c>
      <c r="CX62" s="59">
        <f t="shared" si="14"/>
        <v>624.26217368249524</v>
      </c>
      <c r="CY62" s="59">
        <f ca="1">AVERAGE(OFFSET($CX$3,0,0,'Données projet'!$E$13+1,1))-AVERAGE(OFFSET($H$3,0,0,'Données projet'!$E$13+1,1))</f>
        <v>161.87883827031436</v>
      </c>
      <c r="CZ62" s="59">
        <f t="shared" si="42"/>
        <v>163.02076389611869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4.2885224196654992</v>
      </c>
      <c r="DG62" s="21">
        <f>EXP(-LN(2)/25)*DG61+(1-EXP(-LN(2)/25))/(LN(2)/25)*Calculateur!DB62*Calculateur!DD62*VLOOKUP('Données projet'!$B$13,Paramètres!$A$1:$I$89,3,0)*0.475*44/12</f>
        <v>9.0904168791310873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13.378939298796586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3.2</v>
      </c>
      <c r="DO62" s="12">
        <f>IF('Données projet'!$A$166&gt;35,DO61+DN62-DW61,IF(A62&lt;'Données projet'!$A$166,$DL$205^A62,IF(A62='Données projet'!$A$166,'Données projet'!$B$166,DO61+DN62-DW61)))</f>
        <v>119.8</v>
      </c>
      <c r="DP62" s="17">
        <f>DO62*VLOOKUP('Données projet'!$B$14,Paramètres!$A$1:$I$89,3,0)*VLOOKUP('Données projet'!$B$14,Paramètres!$A$1:$I$89,5,0)</f>
        <v>97.181759999999997</v>
      </c>
      <c r="DQ62" s="13">
        <f t="shared" si="43"/>
        <v>26.289477754135703</v>
      </c>
      <c r="DR62" s="20">
        <f t="shared" si="16"/>
        <v>215.04573908845296</v>
      </c>
      <c r="DS62" s="59">
        <f t="shared" si="17"/>
        <v>508.3790724217863</v>
      </c>
      <c r="DT62" s="59">
        <f ca="1">AVERAGE(OFFSET($DS$3,0,0,'Données projet'!$E$14+1,1))-AVERAGE(OFFSET($H$3,0,0,'Données projet'!$E$14+1,1))</f>
        <v>96.611230241682733</v>
      </c>
      <c r="DU62" s="59">
        <f t="shared" si="44"/>
        <v>78.711045514042041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1.9331483700983045</v>
      </c>
      <c r="EC62" s="21">
        <f>EXP(-LN(2)/2)*EC61+(1-EXP(-LN(2)/2))/(LN(2)/2)*DW62*DZ62*VLOOKUP('Données projet'!$B$14,Paramètres!$A$1:$I$89,3,0)*0.475*44/12</f>
        <v>0.55778421153725832</v>
      </c>
      <c r="ED62" s="22">
        <f t="shared" si="18"/>
        <v>2.4909325816355627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14.839560439560453</v>
      </c>
      <c r="EJ62" s="12">
        <f>IF('Données projet'!$A$192&gt;35,EJ61+EI62-ER61,IF(A62&lt;'Données projet'!$A$192,$EG$205^A62,IF(A62='Données projet'!$A$192,'Données projet'!$B$192,EJ61+EI62-ER61)))</f>
        <v>396.35714285714278</v>
      </c>
      <c r="EK62" s="17">
        <f>EJ62*VLOOKUP('Données projet'!$B$15,Paramètres!$A$1:$I$89,3,0)*VLOOKUP('Données projet'!$B$15,Paramètres!$A$1:$I$89,5,0)</f>
        <v>175.18985714285714</v>
      </c>
      <c r="EL62" s="13">
        <f t="shared" si="45"/>
        <v>44.250336802068873</v>
      </c>
      <c r="EM62" s="20">
        <f t="shared" si="19"/>
        <v>382.19167112074615</v>
      </c>
      <c r="EN62" s="59">
        <f t="shared" si="20"/>
        <v>675.52500445407941</v>
      </c>
      <c r="EO62" s="59">
        <f ca="1">AVERAGE(OFFSET($EN$3,0,0,'Données projet'!$E$15+1,1))-AVERAGE(OFFSET($H$3,0,0,'Données projet'!$E$15+1,1))</f>
        <v>188.61152573050066</v>
      </c>
      <c r="EP62" s="59">
        <f t="shared" si="46"/>
        <v>172.37050503841624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55.788511721046618</v>
      </c>
      <c r="EW62" s="21">
        <f>EXP(-LN(2)/25)*EW61+(1-EXP(-LN(2)/25))/(LN(2)/25)*Calculateur!ER62*Calculateur!ET62*VLOOKUP('Données projet'!$B$15,Paramètres!$A$1:$I$89,3,0)*0.475*44/12</f>
        <v>20.310919126427777</v>
      </c>
      <c r="EX62" s="21">
        <f>EXP(-LN(2)/2)*EX61+(1-EXP(-LN(2)/2))/(LN(2)/2)*ER62*EU62*VLOOKUP('Données projet'!$B$15,Paramètres!$A$1:$I$89,3,0)*0.475*44/12</f>
        <v>1.9748340065135173</v>
      </c>
      <c r="EY62" s="22">
        <f t="shared" si="21"/>
        <v>78.074264853987913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>
        <f>FE62*VLOOKUP('Données projet'!$B$16,Paramètres!$A$1:$I$89,3,0)*VLOOKUP('Données projet'!$B$16,Paramètres!$A$1:$I$89,5,0)</f>
        <v>0</v>
      </c>
      <c r="FG62" s="13" t="e">
        <f t="shared" si="47"/>
        <v>#NUM!</v>
      </c>
      <c r="FH62" s="20" t="e">
        <f t="shared" si="22"/>
        <v>#NUM!</v>
      </c>
      <c r="FI62" s="59" t="e">
        <f t="shared" si="23"/>
        <v>#NUM!</v>
      </c>
      <c r="FJ62" s="59">
        <f ca="1">AVERAGE(OFFSET($FI$3,0,0,'Données projet'!$E$16+1,1))-AVERAGE(OFFSET($H$3,0,0,'Données projet'!$E$16+1,1))</f>
        <v>0</v>
      </c>
      <c r="FK62" s="59">
        <f t="shared" si="48"/>
        <v>0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0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197.78572767493569</v>
      </c>
      <c r="T63" s="59">
        <f t="shared" si="34"/>
        <v>288.66487031729008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245</v>
      </c>
      <c r="AG63" s="12">
        <f>VLOOKUP(A63,'Données projet'!$A$61:$I$81,9,0)</f>
        <v>5.2</v>
      </c>
      <c r="AH63" s="12">
        <f t="array" ref="AH63">INDEX(AG:AG,MIN(IF(ISNUMBER(AG63:AG259),ROW(AG63:AG259),"")))</f>
        <v>5.2</v>
      </c>
      <c r="AI63" s="13">
        <f>IF('Données projet'!$A$62&gt;35,AI62+AH63-AQ62,IF(A63&lt;'Données projet'!$A$62,$AF$205^A63,IF(A63='Données projet'!$A$62,'Données projet'!$B$62,AI62+AH63-AQ62)))</f>
        <v>244.99999999999983</v>
      </c>
      <c r="AJ63" s="13">
        <f>AI63*VLOOKUP('Données projet'!$B$10,Paramètres!$A$1:$I$89,3,0)*VLOOKUP('Données projet'!$B$10,Paramètres!$A$1:$I$89,5,0)</f>
        <v>194.92199999999988</v>
      </c>
      <c r="AK63" s="13">
        <f t="shared" si="35"/>
        <v>48.626512129794925</v>
      </c>
      <c r="AL63" s="20">
        <f t="shared" si="4"/>
        <v>424.18032529272591</v>
      </c>
      <c r="AM63" s="59">
        <f t="shared" si="5"/>
        <v>717.51365862605917</v>
      </c>
      <c r="AN63" s="59">
        <f ca="1">AVERAGE(OFFSET($AM$3,0,0,'Données projet'!$E$10+1,1))-AVERAGE(OFFSET($H$3,0,0,'Données projet'!$E$10+1,1))</f>
        <v>219.43439115440339</v>
      </c>
      <c r="AO63" s="59">
        <f t="shared" si="36"/>
        <v>217.8880462742099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12</v>
      </c>
      <c r="AR63" s="16">
        <f>IF(ISNA(VLOOKUP(A63,'Données projet'!$A$61:$I$81,5,0)),0%,VLOOKUP(A63,'Données projet'!$A$61:$I$81,5,0)*VLOOKUP('Données projet'!$B$10,Paramètres!$A$1:$I$89,7,0))</f>
        <v>0.43990000000000001</v>
      </c>
      <c r="AS63" s="16">
        <f>IF(ISNA(VLOOKUP(A63,'Données projet'!$A$61:$I$81,6,0)),0%,VLOOKUP(A63,'Données projet'!$A$61:$I$81,6,0)*VLOOKUP('Données projet'!$B$10,Paramètres!$A$1:$I$89,7,0))</f>
        <v>4.24E-2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23.125588609334091</v>
      </c>
      <c r="AV63" s="21">
        <f>EXP(-LN(2)/25)*AV62+(1-EXP(-LN(2)/25))/(LN(2)/25)*Calculateur!AQ63*Calculateur!AS63*VLOOKUP('Données projet'!$B$10,Paramètres!$A$1:$I$89,3,0)*0.475*44/12</f>
        <v>11.823363666229437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34.948952275563528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165</v>
      </c>
      <c r="BB63" s="12">
        <f>VLOOKUP(A63,'Données projet'!$A$87:$I$107,9,0)</f>
        <v>4.2</v>
      </c>
      <c r="BC63" s="12">
        <f t="array" ref="BC63">INDEX(BB:BB,MIN(IF(ISNUMBER(BB63:BB259),ROW(BB63:BB259),"")))</f>
        <v>4.2</v>
      </c>
      <c r="BD63" s="12">
        <f>IF('Données projet'!$A$88&gt;35,BD62+BC63-BL62,IF(A63&lt;'Données projet'!$A$88,$BA$205^A63,IF(A63='Données projet'!$A$88,'Données projet'!$B$88,BD62+BC63-BL62)))</f>
        <v>164.99999999999991</v>
      </c>
      <c r="BE63" s="13">
        <f>BD63*VLOOKUP('Données projet'!$B$11,Paramètres!$A$1:$I$89,3,0)*VLOOKUP('Données projet'!$B$11,Paramètres!$A$1:$I$89,5,0)</f>
        <v>144.14399999999995</v>
      </c>
      <c r="BF63" s="13">
        <f t="shared" si="37"/>
        <v>37.244720006976216</v>
      </c>
      <c r="BG63" s="20">
        <f t="shared" si="7"/>
        <v>315.91868734548348</v>
      </c>
      <c r="BH63" s="59">
        <f t="shared" si="8"/>
        <v>609.25202067881673</v>
      </c>
      <c r="BI63" s="59">
        <f ca="1">AVERAGE(OFFSET($BH$3,0,0,'Données projet'!$E$11+1,1))-AVERAGE(OFFSET($H$3,0,0,'Données projet'!$E$11+1,1))</f>
        <v>175.73188403662408</v>
      </c>
      <c r="BJ63" s="59">
        <f t="shared" si="38"/>
        <v>152.02195399869032</v>
      </c>
      <c r="BK63" s="15">
        <f>IF(ISNA(VLOOKUP(A63,'Données projet'!$A$87:$I$107,3,0)),0,VLOOKUP(A63,'Données projet'!$A$87:$I$107,3,0))</f>
        <v>8</v>
      </c>
      <c r="BL63" s="15" t="str">
        <f>IF(ISNA(VLOOKUP(A63,'Données projet'!$A$87:$I$107,4,0)),0,VLOOKUP(A63,'Données projet'!$A$87:$I$107,4,0))</f>
        <v>13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0.215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7.5602915176621668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7.5602915176621668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5.9431089743589762</v>
      </c>
      <c r="BY63" s="12">
        <f>IF('Données projet'!$A$114&gt;35,BY62+BX63-CG62,IF(A63&lt;'Données projet'!$A$114,$BV$205^A63,IF(A63='Données projet'!$A$114,'Données projet'!$B$114,BY62+BX63-CG62)))</f>
        <v>126.25721153846153</v>
      </c>
      <c r="BZ63" s="13">
        <f>BY63*VLOOKUP('Données projet'!$B$12,Paramètres!$A$1:$I$89,3,0)*VLOOKUP('Données projet'!$B$12,Paramètres!$A$1:$I$89,5,0)</f>
        <v>114.23752499999999</v>
      </c>
      <c r="CA63" s="13">
        <f t="shared" si="39"/>
        <v>30.327171529636239</v>
      </c>
      <c r="CB63" s="20">
        <f t="shared" si="10"/>
        <v>251.78351312244976</v>
      </c>
      <c r="CC63" s="59">
        <f t="shared" si="11"/>
        <v>545.11684645578305</v>
      </c>
      <c r="CD63" s="59">
        <f ca="1">AVERAGE(OFFSET($CC$3,0,0,'Données projet'!$E$12+1,1))-AVERAGE(OFFSET($H$3,0,0,'Données projet'!$E$12+1,1))</f>
        <v>213.54857791046686</v>
      </c>
      <c r="CE63" s="59">
        <f t="shared" si="40"/>
        <v>138.46877538074244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154.34639999999999</v>
      </c>
      <c r="CV63" s="13">
        <f t="shared" si="41"/>
        <v>39.56467258871259</v>
      </c>
      <c r="CW63" s="20">
        <f t="shared" si="13"/>
        <v>337.72845142534106</v>
      </c>
      <c r="CX63" s="59">
        <f t="shared" si="14"/>
        <v>631.06178475867432</v>
      </c>
      <c r="CY63" s="59">
        <f ca="1">AVERAGE(OFFSET($CX$3,0,0,'Données projet'!$E$13+1,1))-AVERAGE(OFFSET($H$3,0,0,'Données projet'!$E$13+1,1))</f>
        <v>161.87883827031436</v>
      </c>
      <c r="CZ63" s="59">
        <f t="shared" si="42"/>
        <v>163.02076389611869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0.23320000000000002</v>
      </c>
      <c r="DD63" s="16">
        <f>IF(ISNA(VLOOKUP(A63,'Données projet'!$A$139:$I$159,6,0)),0%,VLOOKUP(A63,'Données projet'!$A$139:$I$159,6,0)*VLOOKUP('Données projet'!$B$13,Paramètres!$A$1:$I$89,7,0))</f>
        <v>0.23320000000000002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6.0503473873839768</v>
      </c>
      <c r="DG63" s="21">
        <f>EXP(-LN(2)/25)*DG62+(1-EXP(-LN(2)/25))/(LN(2)/25)*Calculateur!DB63*Calculateur!DD63*VLOOKUP('Données projet'!$B$13,Paramètres!$A$1:$I$89,3,0)*0.475*44/12</f>
        <v>10.680491136674874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16.73083852405885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123</v>
      </c>
      <c r="DM63" s="12">
        <f>VLOOKUP(A63,'Données projet'!$A$165:$I$185,9,0)</f>
        <v>3.2</v>
      </c>
      <c r="DN63" s="12">
        <f t="array" ref="DN63">INDEX(DM:DM,MIN(IF(ISNUMBER(DM63:DM259),ROW(DM63:DM259),"")))</f>
        <v>3.2</v>
      </c>
      <c r="DO63" s="12">
        <f>IF('Données projet'!$A$166&gt;35,DO62+DN63-DW62,IF(A63&lt;'Données projet'!$A$166,$DL$205^A63,IF(A63='Données projet'!$A$166,'Données projet'!$B$166,DO62+DN63-DW62)))</f>
        <v>123</v>
      </c>
      <c r="DP63" s="17">
        <f>DO63*VLOOKUP('Données projet'!$B$14,Paramètres!$A$1:$I$89,3,0)*VLOOKUP('Données projet'!$B$14,Paramètres!$A$1:$I$89,5,0)</f>
        <v>99.777600000000007</v>
      </c>
      <c r="DQ63" s="13">
        <f t="shared" si="43"/>
        <v>26.909006951444532</v>
      </c>
      <c r="DR63" s="20">
        <f t="shared" si="16"/>
        <v>220.64584044043252</v>
      </c>
      <c r="DS63" s="59">
        <f t="shared" si="17"/>
        <v>513.97917377376587</v>
      </c>
      <c r="DT63" s="59">
        <f ca="1">AVERAGE(OFFSET($DS$3,0,0,'Données projet'!$E$14+1,1))-AVERAGE(OFFSET($H$3,0,0,'Données projet'!$E$14+1,1))</f>
        <v>96.611230241682733</v>
      </c>
      <c r="DU63" s="59">
        <f t="shared" si="44"/>
        <v>78.711045514042041</v>
      </c>
      <c r="DV63" s="15">
        <f>IF(ISNA(VLOOKUP(A63,'Données projet'!$A$165:$I$185,3,0)),0,VLOOKUP(A63,'Données projet'!$A$165:$I$185,3,0))</f>
        <v>8</v>
      </c>
      <c r="DW63" s="15">
        <f>IF(ISNA(VLOOKUP(A63,'Données projet'!$A$165:$I$185,4,0)),0,VLOOKUP(A63,'Données projet'!$A$165:$I$185,4,0))</f>
        <v>8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0.129</v>
      </c>
      <c r="DZ63" s="16">
        <f>IF(ISNA(VLOOKUP(A63,'Données projet'!$A$165:$I$185,7,0)),0%,VLOOKUP(A63,'Données projet'!$A$165:$I$185,7,0))</f>
        <v>0.3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2.8020962761433452</v>
      </c>
      <c r="EC63" s="21">
        <f>EXP(-LN(2)/2)*EC62+(1-EXP(-LN(2)/2))/(LN(2)/2)*DW63*DZ63*VLOOKUP('Données projet'!$B$14,Paramètres!$A$1:$I$89,3,0)*0.475*44/12</f>
        <v>2.231346677923725</v>
      </c>
      <c r="ED63" s="22">
        <f t="shared" si="18"/>
        <v>5.0334429540670698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14.839560439560453</v>
      </c>
      <c r="EJ63" s="12">
        <f>IF('Données projet'!$A$192&gt;35,EJ62+EI63-ER62,IF(A63&lt;'Données projet'!$A$192,$EG$205^A63,IF(A63='Données projet'!$A$192,'Données projet'!$B$192,EJ62+EI63-ER62)))</f>
        <v>411.19670329670322</v>
      </c>
      <c r="EK63" s="17">
        <f>EJ63*VLOOKUP('Données projet'!$B$15,Paramètres!$A$1:$I$89,3,0)*VLOOKUP('Données projet'!$B$15,Paramètres!$A$1:$I$89,5,0)</f>
        <v>181.74894285714285</v>
      </c>
      <c r="EL63" s="13">
        <f t="shared" si="45"/>
        <v>45.711074484428558</v>
      </c>
      <c r="EM63" s="20">
        <f t="shared" si="19"/>
        <v>396.1595302032369</v>
      </c>
      <c r="EN63" s="59">
        <f t="shared" si="20"/>
        <v>689.49286353657021</v>
      </c>
      <c r="EO63" s="59">
        <f ca="1">AVERAGE(OFFSET($EN$3,0,0,'Données projet'!$E$15+1,1))-AVERAGE(OFFSET($H$3,0,0,'Données projet'!$E$15+1,1))</f>
        <v>188.61152573050066</v>
      </c>
      <c r="EP63" s="59">
        <f t="shared" si="46"/>
        <v>172.37050503841624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54.694533033829096</v>
      </c>
      <c r="EW63" s="21">
        <f>EXP(-LN(2)/25)*EW62+(1-EXP(-LN(2)/25))/(LN(2)/25)*Calculateur!ER63*Calculateur!ET63*VLOOKUP('Données projet'!$B$15,Paramètres!$A$1:$I$89,3,0)*0.475*44/12</f>
        <v>19.755515974810795</v>
      </c>
      <c r="EX63" s="21">
        <f>EXP(-LN(2)/2)*EX62+(1-EXP(-LN(2)/2))/(LN(2)/2)*ER63*EU63*VLOOKUP('Données projet'!$B$15,Paramètres!$A$1:$I$89,3,0)*0.475*44/12</f>
        <v>1.3964185177235067</v>
      </c>
      <c r="EY63" s="22">
        <f t="shared" si="21"/>
        <v>75.846467526363398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>
        <f>FE63*VLOOKUP('Données projet'!$B$16,Paramètres!$A$1:$I$89,3,0)*VLOOKUP('Données projet'!$B$16,Paramètres!$A$1:$I$89,5,0)</f>
        <v>0</v>
      </c>
      <c r="FG63" s="13" t="e">
        <f t="shared" si="47"/>
        <v>#NUM!</v>
      </c>
      <c r="FH63" s="20" t="e">
        <f t="shared" si="22"/>
        <v>#NUM!</v>
      </c>
      <c r="FI63" s="59" t="e">
        <f t="shared" si="23"/>
        <v>#NUM!</v>
      </c>
      <c r="FJ63" s="59">
        <f ca="1">AVERAGE(OFFSET($FI$3,0,0,'Données projet'!$E$16+1,1))-AVERAGE(OFFSET($H$3,0,0,'Données projet'!$E$16+1,1))</f>
        <v>0</v>
      </c>
      <c r="FK63" s="59">
        <f t="shared" si="48"/>
        <v>0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0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197.78572767493569</v>
      </c>
      <c r="T64" s="59">
        <f t="shared" si="34"/>
        <v>288.66487031729008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4.4000000000000004</v>
      </c>
      <c r="AI64" s="13">
        <f>IF('Données projet'!$A$62&gt;35,AI63+AH64-AQ63,IF(A64&lt;'Données projet'!$A$62,$AF$205^A64,IF(A64='Données projet'!$A$62,'Données projet'!$B$62,AI63+AH64-AQ63)))</f>
        <v>237.39999999999984</v>
      </c>
      <c r="AJ64" s="13">
        <f>AI64*VLOOKUP('Données projet'!$B$10,Paramètres!$A$1:$I$89,3,0)*VLOOKUP('Données projet'!$B$10,Paramètres!$A$1:$I$89,5,0)</f>
        <v>188.87543999999988</v>
      </c>
      <c r="AK64" s="13">
        <f t="shared" si="35"/>
        <v>47.291242769027726</v>
      </c>
      <c r="AL64" s="20">
        <f t="shared" si="4"/>
        <v>411.32363915605634</v>
      </c>
      <c r="AM64" s="59">
        <f t="shared" si="5"/>
        <v>704.65697248938966</v>
      </c>
      <c r="AN64" s="59">
        <f ca="1">AVERAGE(OFFSET($AM$3,0,0,'Données projet'!$E$10+1,1))-AVERAGE(OFFSET($H$3,0,0,'Données projet'!$E$10+1,1))</f>
        <v>219.43439115440339</v>
      </c>
      <c r="AO64" s="59">
        <f t="shared" si="36"/>
        <v>217.8880462742099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22.672109921921326</v>
      </c>
      <c r="AV64" s="21">
        <f>EXP(-LN(2)/25)*AV63+(1-EXP(-LN(2)/25))/(LN(2)/25)*Calculateur!AQ64*Calculateur!AS64*VLOOKUP('Données projet'!$B$10,Paramètres!$A$1:$I$89,3,0)*0.475*44/12</f>
        <v>11.500053165012719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34.172163086934049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3.8</v>
      </c>
      <c r="BD64" s="12">
        <f>IF('Données projet'!$A$88&gt;35,BD63+BC64-BL63,IF(A64&lt;'Données projet'!$A$88,$BA$205^A64,IF(A64='Données projet'!$A$88,'Données projet'!$B$88,BD63+BC64-BL63)))</f>
        <v>155.79999999999993</v>
      </c>
      <c r="BE64" s="13">
        <f>BD64*VLOOKUP('Données projet'!$B$11,Paramètres!$A$1:$I$89,3,0)*VLOOKUP('Données projet'!$B$11,Paramètres!$A$1:$I$89,5,0)</f>
        <v>136.10687999999993</v>
      </c>
      <c r="BF64" s="13">
        <f t="shared" si="37"/>
        <v>35.403687803916242</v>
      </c>
      <c r="BG64" s="20">
        <f t="shared" si="7"/>
        <v>298.71423892515395</v>
      </c>
      <c r="BH64" s="59">
        <f t="shared" si="8"/>
        <v>592.04757225848721</v>
      </c>
      <c r="BI64" s="59">
        <f ca="1">AVERAGE(OFFSET($BH$3,0,0,'Données projet'!$E$11+1,1))-AVERAGE(OFFSET($H$3,0,0,'Données projet'!$E$11+1,1))</f>
        <v>175.73188403662408</v>
      </c>
      <c r="BJ64" s="59">
        <f t="shared" si="38"/>
        <v>152.02195399869032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7.353554948533243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7.353554948533243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5.9431089743589762</v>
      </c>
      <c r="BY64" s="12">
        <f>IF('Données projet'!$A$114&gt;35,BY63+BX64-CG63,IF(A64&lt;'Données projet'!$A$114,$BV$205^A64,IF(A64='Données projet'!$A$114,'Données projet'!$B$114,BY63+BX64-CG63)))</f>
        <v>132.2003205128205</v>
      </c>
      <c r="BZ64" s="13">
        <f>BY64*VLOOKUP('Données projet'!$B$12,Paramètres!$A$1:$I$89,3,0)*VLOOKUP('Données projet'!$B$12,Paramètres!$A$1:$I$89,5,0)</f>
        <v>119.61484999999999</v>
      </c>
      <c r="CA64" s="13">
        <f t="shared" si="39"/>
        <v>31.585152581402479</v>
      </c>
      <c r="CB64" s="20">
        <f t="shared" si="10"/>
        <v>263.34000449594265</v>
      </c>
      <c r="CC64" s="59">
        <f t="shared" si="11"/>
        <v>556.67333782927597</v>
      </c>
      <c r="CD64" s="59">
        <f ca="1">AVERAGE(OFFSET($CC$3,0,0,'Données projet'!$E$12+1,1))-AVERAGE(OFFSET($H$3,0,0,'Données projet'!$E$12+1,1))</f>
        <v>213.54857791046686</v>
      </c>
      <c r="CE64" s="59">
        <f t="shared" si="40"/>
        <v>138.46877538074244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149.89104</v>
      </c>
      <c r="CV64" s="13">
        <f t="shared" si="41"/>
        <v>38.553823022751281</v>
      </c>
      <c r="CW64" s="20">
        <f t="shared" si="13"/>
        <v>328.20813643129185</v>
      </c>
      <c r="CX64" s="59">
        <f t="shared" si="14"/>
        <v>621.54146976462516</v>
      </c>
      <c r="CY64" s="59">
        <f ca="1">AVERAGE(OFFSET($CX$3,0,0,'Données projet'!$E$13+1,1))-AVERAGE(OFFSET($H$3,0,0,'Données projet'!$E$13+1,1))</f>
        <v>161.87883827031436</v>
      </c>
      <c r="CZ64" s="59">
        <f t="shared" si="42"/>
        <v>163.02076389611869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5.9317037654648921</v>
      </c>
      <c r="DG64" s="21">
        <f>EXP(-LN(2)/25)*DG63+(1-EXP(-LN(2)/25))/(LN(2)/25)*Calculateur!DB64*Calculateur!DD64*VLOOKUP('Données projet'!$B$13,Paramètres!$A$1:$I$89,3,0)*0.475*44/12</f>
        <v>10.388432544879882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16.320136310344772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</v>
      </c>
      <c r="DO64" s="12">
        <f>IF('Données projet'!$A$166&gt;35,DO63+DN64-DW63,IF(A64&lt;'Données projet'!$A$166,$DL$205^A64,IF(A64='Données projet'!$A$166,'Données projet'!$B$166,DO63+DN64-DW63)))</f>
        <v>118</v>
      </c>
      <c r="DP64" s="17">
        <f>DO64*VLOOKUP('Données projet'!$B$14,Paramètres!$A$1:$I$89,3,0)*VLOOKUP('Données projet'!$B$14,Paramètres!$A$1:$I$89,5,0)</f>
        <v>95.721600000000009</v>
      </c>
      <c r="DQ64" s="13">
        <f t="shared" si="43"/>
        <v>25.940148386449934</v>
      </c>
      <c r="DR64" s="20">
        <f t="shared" si="16"/>
        <v>211.89421177306698</v>
      </c>
      <c r="DS64" s="59">
        <f t="shared" si="17"/>
        <v>505.22754510640027</v>
      </c>
      <c r="DT64" s="59">
        <f ca="1">AVERAGE(OFFSET($DS$3,0,0,'Données projet'!$E$14+1,1))-AVERAGE(OFFSET($H$3,0,0,'Données projet'!$E$14+1,1))</f>
        <v>96.611230241682733</v>
      </c>
      <c r="DU64" s="59">
        <f t="shared" si="44"/>
        <v>78.711045514042041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2.7254728061163664</v>
      </c>
      <c r="EC64" s="21">
        <f>EXP(-LN(2)/2)*EC63+(1-EXP(-LN(2)/2))/(LN(2)/2)*DW64*DZ64*VLOOKUP('Données projet'!$B$14,Paramètres!$A$1:$I$89,3,0)*0.475*44/12</f>
        <v>1.5778003671379413</v>
      </c>
      <c r="ED64" s="22">
        <f t="shared" si="18"/>
        <v>4.3032731732543077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14.839560439560453</v>
      </c>
      <c r="EJ64" s="12">
        <f>IF('Données projet'!$A$192&gt;35,EJ63+EI64-ER63,IF(A64&lt;'Données projet'!$A$192,$EG$205^A64,IF(A64='Données projet'!$A$192,'Données projet'!$B$192,EJ63+EI64-ER63)))</f>
        <v>426.03626373626366</v>
      </c>
      <c r="EK64" s="17">
        <f>EJ64*VLOOKUP('Données projet'!$B$15,Paramètres!$A$1:$I$89,3,0)*VLOOKUP('Données projet'!$B$15,Paramètres!$A$1:$I$89,5,0)</f>
        <v>188.30802857142857</v>
      </c>
      <c r="EL64" s="13">
        <f t="shared" si="45"/>
        <v>47.165687473293119</v>
      </c>
      <c r="EM64" s="20">
        <f t="shared" si="19"/>
        <v>410.11672211122362</v>
      </c>
      <c r="EN64" s="59">
        <f t="shared" si="20"/>
        <v>703.45005544455694</v>
      </c>
      <c r="EO64" s="59">
        <f ca="1">AVERAGE(OFFSET($EN$3,0,0,'Données projet'!$E$15+1,1))-AVERAGE(OFFSET($H$3,0,0,'Données projet'!$E$15+1,1))</f>
        <v>188.61152573050066</v>
      </c>
      <c r="EP64" s="59">
        <f t="shared" si="46"/>
        <v>172.37050503841624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53.622006601406795</v>
      </c>
      <c r="EW64" s="21">
        <f>EXP(-LN(2)/25)*EW63+(1-EXP(-LN(2)/25))/(LN(2)/25)*Calculateur!ER64*Calculateur!ET64*VLOOKUP('Données projet'!$B$15,Paramètres!$A$1:$I$89,3,0)*0.475*44/12</f>
        <v>19.215300351582162</v>
      </c>
      <c r="EX64" s="21">
        <f>EXP(-LN(2)/2)*EX63+(1-EXP(-LN(2)/2))/(LN(2)/2)*ER64*EU64*VLOOKUP('Données projet'!$B$15,Paramètres!$A$1:$I$89,3,0)*0.475*44/12</f>
        <v>0.98741700325675874</v>
      </c>
      <c r="EY64" s="22">
        <f t="shared" si="21"/>
        <v>73.824723956245705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>
        <f>FE64*VLOOKUP('Données projet'!$B$16,Paramètres!$A$1:$I$89,3,0)*VLOOKUP('Données projet'!$B$16,Paramètres!$A$1:$I$89,5,0)</f>
        <v>0</v>
      </c>
      <c r="FG64" s="13" t="e">
        <f t="shared" si="47"/>
        <v>#NUM!</v>
      </c>
      <c r="FH64" s="20" t="e">
        <f t="shared" si="22"/>
        <v>#NUM!</v>
      </c>
      <c r="FI64" s="59" t="e">
        <f t="shared" si="23"/>
        <v>#NUM!</v>
      </c>
      <c r="FJ64" s="59">
        <f ca="1">AVERAGE(OFFSET($FI$3,0,0,'Données projet'!$E$16+1,1))-AVERAGE(OFFSET($H$3,0,0,'Données projet'!$E$16+1,1))</f>
        <v>0</v>
      </c>
      <c r="FK64" s="59">
        <f t="shared" si="48"/>
        <v>0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0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197.78572767493569</v>
      </c>
      <c r="T65" s="59">
        <f t="shared" si="34"/>
        <v>288.66487031729008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4.4000000000000004</v>
      </c>
      <c r="AI65" s="13">
        <f>IF('Données projet'!$A$62&gt;35,AI64+AH65-AQ64,IF(A65&lt;'Données projet'!$A$62,$AF$205^A65,IF(A65='Données projet'!$A$62,'Données projet'!$B$62,AI64+AH65-AQ64)))</f>
        <v>241.79999999999984</v>
      </c>
      <c r="AJ65" s="13">
        <f>AI65*VLOOKUP('Données projet'!$B$10,Paramètres!$A$1:$I$89,3,0)*VLOOKUP('Données projet'!$B$10,Paramètres!$A$1:$I$89,5,0)</f>
        <v>192.37607999999989</v>
      </c>
      <c r="AK65" s="13">
        <f t="shared" si="35"/>
        <v>48.064889828485896</v>
      </c>
      <c r="AL65" s="20">
        <f t="shared" si="4"/>
        <v>418.76802245127936</v>
      </c>
      <c r="AM65" s="59">
        <f t="shared" si="5"/>
        <v>712.10135578461268</v>
      </c>
      <c r="AN65" s="59">
        <f ca="1">AVERAGE(OFFSET($AM$3,0,0,'Données projet'!$E$10+1,1))-AVERAGE(OFFSET($H$3,0,0,'Données projet'!$E$10+1,1))</f>
        <v>219.43439115440339</v>
      </c>
      <c r="AO65" s="59">
        <f t="shared" si="36"/>
        <v>217.8880462742099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22.227523674974037</v>
      </c>
      <c r="AV65" s="21">
        <f>EXP(-LN(2)/25)*AV64+(1-EXP(-LN(2)/25))/(LN(2)/25)*Calculateur!AQ65*Calculateur!AS65*VLOOKUP('Données projet'!$B$10,Paramètres!$A$1:$I$89,3,0)*0.475*44/12</f>
        <v>11.185583606453934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33.413107281427969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3.8</v>
      </c>
      <c r="BD65" s="12">
        <f>IF('Données projet'!$A$88&gt;35,BD64+BC65-BL64,IF(A65&lt;'Données projet'!$A$88,$BA$205^A65,IF(A65='Données projet'!$A$88,'Données projet'!$B$88,BD64+BC65-BL64)))</f>
        <v>159.59999999999994</v>
      </c>
      <c r="BE65" s="13">
        <f>BD65*VLOOKUP('Données projet'!$B$11,Paramètres!$A$1:$I$89,3,0)*VLOOKUP('Données projet'!$B$11,Paramètres!$A$1:$I$89,5,0)</f>
        <v>139.42655999999997</v>
      </c>
      <c r="BF65" s="13">
        <f t="shared" si="37"/>
        <v>36.165607079455818</v>
      </c>
      <c r="BG65" s="20">
        <f t="shared" si="7"/>
        <v>305.82302433005208</v>
      </c>
      <c r="BH65" s="59">
        <f t="shared" si="8"/>
        <v>599.15635766338539</v>
      </c>
      <c r="BI65" s="59">
        <f ca="1">AVERAGE(OFFSET($BH$3,0,0,'Données projet'!$E$11+1,1))-AVERAGE(OFFSET($H$3,0,0,'Données projet'!$E$11+1,1))</f>
        <v>175.73188403662408</v>
      </c>
      <c r="BJ65" s="59">
        <f t="shared" si="38"/>
        <v>152.02195399869032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7.1524716017589531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7.1524716017589531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5.9431089743589762</v>
      </c>
      <c r="BY65" s="12">
        <f>IF('Données projet'!$A$114&gt;35,BY64+BX65-CG64,IF(A65&lt;'Données projet'!$A$114,$BV$205^A65,IF(A65='Données projet'!$A$114,'Données projet'!$B$114,BY64+BX65-CG64)))</f>
        <v>138.14342948717947</v>
      </c>
      <c r="BZ65" s="13">
        <f>BY65*VLOOKUP('Données projet'!$B$12,Paramètres!$A$1:$I$89,3,0)*VLOOKUP('Données projet'!$B$12,Paramètres!$A$1:$I$89,5,0)</f>
        <v>124.99217499999997</v>
      </c>
      <c r="CA65" s="13">
        <f t="shared" si="39"/>
        <v>32.836565726562206</v>
      </c>
      <c r="CB65" s="20">
        <f t="shared" si="10"/>
        <v>274.88505676542917</v>
      </c>
      <c r="CC65" s="59">
        <f t="shared" si="11"/>
        <v>568.21839009876248</v>
      </c>
      <c r="CD65" s="59">
        <f ca="1">AVERAGE(OFFSET($CC$3,0,0,'Données projet'!$E$12+1,1))-AVERAGE(OFFSET($H$3,0,0,'Données projet'!$E$12+1,1))</f>
        <v>213.54857791046686</v>
      </c>
      <c r="CE65" s="59">
        <f t="shared" si="40"/>
        <v>138.46877538074244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152.59608000000003</v>
      </c>
      <c r="CV65" s="13">
        <f t="shared" si="41"/>
        <v>39.167963646360036</v>
      </c>
      <c r="CW65" s="20">
        <f t="shared" si="13"/>
        <v>333.98904268407705</v>
      </c>
      <c r="CX65" s="59">
        <f t="shared" si="14"/>
        <v>627.32237601741031</v>
      </c>
      <c r="CY65" s="59">
        <f ca="1">AVERAGE(OFFSET($CX$3,0,0,'Données projet'!$E$13+1,1))-AVERAGE(OFFSET($H$3,0,0,'Données projet'!$E$13+1,1))</f>
        <v>161.87883827031436</v>
      </c>
      <c r="CZ65" s="59">
        <f t="shared" si="42"/>
        <v>163.02076389611869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5.8153866726061763</v>
      </c>
      <c r="DG65" s="21">
        <f>EXP(-LN(2)/25)*DG64+(1-EXP(-LN(2)/25))/(LN(2)/25)*Calculateur!DB65*Calculateur!DD65*VLOOKUP('Données projet'!$B$13,Paramètres!$A$1:$I$89,3,0)*0.475*44/12</f>
        <v>10.104360310636217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15.919746983242394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</v>
      </c>
      <c r="DO65" s="12">
        <f>IF('Données projet'!$A$166&gt;35,DO64+DN65-DW64,IF(A65&lt;'Données projet'!$A$166,$DL$205^A65,IF(A65='Données projet'!$A$166,'Données projet'!$B$166,DO64+DN65-DW64)))</f>
        <v>121</v>
      </c>
      <c r="DP65" s="17">
        <f>DO65*VLOOKUP('Données projet'!$B$14,Paramètres!$A$1:$I$89,3,0)*VLOOKUP('Données projet'!$B$14,Paramètres!$A$1:$I$89,5,0)</f>
        <v>98.155200000000008</v>
      </c>
      <c r="DQ65" s="13">
        <f t="shared" si="43"/>
        <v>26.522024238465775</v>
      </c>
      <c r="DR65" s="20">
        <f t="shared" si="16"/>
        <v>217.14616554866123</v>
      </c>
      <c r="DS65" s="59">
        <f t="shared" si="17"/>
        <v>510.47949888199457</v>
      </c>
      <c r="DT65" s="59">
        <f ca="1">AVERAGE(OFFSET($DS$3,0,0,'Données projet'!$E$14+1,1))-AVERAGE(OFFSET($H$3,0,0,'Données projet'!$E$14+1,1))</f>
        <v>96.611230241682733</v>
      </c>
      <c r="DU65" s="59">
        <f t="shared" si="44"/>
        <v>78.711045514042041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2.6509446089067286</v>
      </c>
      <c r="EC65" s="21">
        <f>EXP(-LN(2)/2)*EC64+(1-EXP(-LN(2)/2))/(LN(2)/2)*DW65*DZ65*VLOOKUP('Données projet'!$B$14,Paramètres!$A$1:$I$89,3,0)*0.475*44/12</f>
        <v>1.1156733389618627</v>
      </c>
      <c r="ED65" s="22">
        <f t="shared" si="18"/>
        <v>3.7666179478685913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14.839560439560453</v>
      </c>
      <c r="EJ65" s="12">
        <f>IF('Données projet'!$A$192&gt;35,EJ64+EI65-ER64,IF(A65&lt;'Données projet'!$A$192,$EG$205^A65,IF(A65='Données projet'!$A$192,'Données projet'!$B$192,EJ64+EI65-ER64)))</f>
        <v>440.87582417582411</v>
      </c>
      <c r="EK65" s="17">
        <f>EJ65*VLOOKUP('Données projet'!$B$15,Paramètres!$A$1:$I$89,3,0)*VLOOKUP('Données projet'!$B$15,Paramètres!$A$1:$I$89,5,0)</f>
        <v>194.86711428571428</v>
      </c>
      <c r="EL65" s="13">
        <f t="shared" si="45"/>
        <v>48.614413549630321</v>
      </c>
      <c r="EM65" s="20">
        <f t="shared" si="19"/>
        <v>424.06366097989184</v>
      </c>
      <c r="EN65" s="59">
        <f t="shared" si="20"/>
        <v>717.39699431322515</v>
      </c>
      <c r="EO65" s="59">
        <f ca="1">AVERAGE(OFFSET($EN$3,0,0,'Données projet'!$E$15+1,1))-AVERAGE(OFFSET($H$3,0,0,'Données projet'!$E$15+1,1))</f>
        <v>188.61152573050066</v>
      </c>
      <c r="EP65" s="59">
        <f t="shared" si="46"/>
        <v>172.37050503841624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52.570511758147767</v>
      </c>
      <c r="EW65" s="21">
        <f>EXP(-LN(2)/25)*EW64+(1-EXP(-LN(2)/25))/(LN(2)/25)*Calculateur!ER65*Calculateur!ET65*VLOOKUP('Données projet'!$B$15,Paramètres!$A$1:$I$89,3,0)*0.475*44/12</f>
        <v>18.689856952979419</v>
      </c>
      <c r="EX65" s="21">
        <f>EXP(-LN(2)/2)*EX64+(1-EXP(-LN(2)/2))/(LN(2)/2)*ER65*EU65*VLOOKUP('Données projet'!$B$15,Paramètres!$A$1:$I$89,3,0)*0.475*44/12</f>
        <v>0.69820925886175345</v>
      </c>
      <c r="EY65" s="22">
        <f t="shared" si="21"/>
        <v>71.958577969988937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>
        <f>FE65*VLOOKUP('Données projet'!$B$16,Paramètres!$A$1:$I$89,3,0)*VLOOKUP('Données projet'!$B$16,Paramètres!$A$1:$I$89,5,0)</f>
        <v>0</v>
      </c>
      <c r="FG65" s="13" t="e">
        <f t="shared" si="47"/>
        <v>#NUM!</v>
      </c>
      <c r="FH65" s="20" t="e">
        <f t="shared" si="22"/>
        <v>#NUM!</v>
      </c>
      <c r="FI65" s="59" t="e">
        <f t="shared" si="23"/>
        <v>#NUM!</v>
      </c>
      <c r="FJ65" s="59">
        <f ca="1">AVERAGE(OFFSET($FI$3,0,0,'Données projet'!$E$16+1,1))-AVERAGE(OFFSET($H$3,0,0,'Données projet'!$E$16+1,1))</f>
        <v>0</v>
      </c>
      <c r="FK65" s="59">
        <f t="shared" si="48"/>
        <v>0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0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197.78572767493569</v>
      </c>
      <c r="T66" s="59">
        <f t="shared" si="34"/>
        <v>288.66487031729008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4.4000000000000004</v>
      </c>
      <c r="AI66" s="13">
        <f>IF('Données projet'!$A$62&gt;35,AI65+AH66-AQ65,IF(A66&lt;'Données projet'!$A$62,$AF$205^A66,IF(A66='Données projet'!$A$62,'Données projet'!$B$62,AI65+AH66-AQ65)))</f>
        <v>246.19999999999985</v>
      </c>
      <c r="AJ66" s="13">
        <f>AI66*VLOOKUP('Données projet'!$B$10,Paramètres!$A$1:$I$89,3,0)*VLOOKUP('Données projet'!$B$10,Paramètres!$A$1:$I$89,5,0)</f>
        <v>195.87671999999989</v>
      </c>
      <c r="AK66" s="13">
        <f t="shared" si="35"/>
        <v>48.836899853879942</v>
      </c>
      <c r="AL66" s="20">
        <f t="shared" si="4"/>
        <v>426.20955457884071</v>
      </c>
      <c r="AM66" s="59">
        <f t="shared" si="5"/>
        <v>719.54288791217402</v>
      </c>
      <c r="AN66" s="59">
        <f ca="1">AVERAGE(OFFSET($AM$3,0,0,'Données projet'!$E$10+1,1))-AVERAGE(OFFSET($H$3,0,0,'Données projet'!$E$10+1,1))</f>
        <v>219.43439115440339</v>
      </c>
      <c r="AO66" s="59">
        <f t="shared" si="36"/>
        <v>217.8880462742099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21.791655493158551</v>
      </c>
      <c r="AV66" s="21">
        <f>EXP(-LN(2)/25)*AV65+(1-EXP(-LN(2)/25))/(LN(2)/25)*Calculateur!AQ66*Calculateur!AS66*VLOOKUP('Données projet'!$B$10,Paramètres!$A$1:$I$89,3,0)*0.475*44/12</f>
        <v>10.879713234511174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32.671368727669723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3.8</v>
      </c>
      <c r="BD66" s="12">
        <f>IF('Données projet'!$A$88&gt;35,BD65+BC66-BL65,IF(A66&lt;'Données projet'!$A$88,$BA$205^A66,IF(A66='Données projet'!$A$88,'Données projet'!$B$88,BD65+BC66-BL65)))</f>
        <v>163.39999999999995</v>
      </c>
      <c r="BE66" s="13">
        <f>BD66*VLOOKUP('Données projet'!$B$11,Paramètres!$A$1:$I$89,3,0)*VLOOKUP('Données projet'!$B$11,Paramètres!$A$1:$I$89,5,0)</f>
        <v>142.74623999999997</v>
      </c>
      <c r="BF66" s="13">
        <f t="shared" si="37"/>
        <v>36.925417462939514</v>
      </c>
      <c r="BG66" s="20">
        <f t="shared" si="7"/>
        <v>312.92813674795292</v>
      </c>
      <c r="BH66" s="59">
        <f t="shared" si="8"/>
        <v>606.26147008128623</v>
      </c>
      <c r="BI66" s="59">
        <f ca="1">AVERAGE(OFFSET($BH$3,0,0,'Données projet'!$E$11+1,1))-AVERAGE(OFFSET($H$3,0,0,'Données projet'!$E$11+1,1))</f>
        <v>175.73188403662408</v>
      </c>
      <c r="BJ66" s="59">
        <f t="shared" si="38"/>
        <v>152.02195399869032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6.9568868896767206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6.9568868896767206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5.9431089743589762</v>
      </c>
      <c r="BY66" s="12">
        <f>IF('Données projet'!$A$114&gt;35,BY65+BX66-CG65,IF(A66&lt;'Données projet'!$A$114,$BV$205^A66,IF(A66='Données projet'!$A$114,'Données projet'!$B$114,BY65+BX66-CG65)))</f>
        <v>144.08653846153845</v>
      </c>
      <c r="BZ66" s="13">
        <f>BY66*VLOOKUP('Données projet'!$B$12,Paramètres!$A$1:$I$89,3,0)*VLOOKUP('Données projet'!$B$12,Paramètres!$A$1:$I$89,5,0)</f>
        <v>130.36949999999999</v>
      </c>
      <c r="CA66" s="13">
        <f t="shared" si="39"/>
        <v>34.081725824623319</v>
      </c>
      <c r="CB66" s="20">
        <f t="shared" si="10"/>
        <v>286.41921831121891</v>
      </c>
      <c r="CC66" s="59">
        <f t="shared" si="11"/>
        <v>579.75255164455223</v>
      </c>
      <c r="CD66" s="59">
        <f ca="1">AVERAGE(OFFSET($CC$3,0,0,'Données projet'!$E$12+1,1))-AVERAGE(OFFSET($H$3,0,0,'Données projet'!$E$12+1,1))</f>
        <v>213.54857791046686</v>
      </c>
      <c r="CE66" s="59">
        <f t="shared" si="40"/>
        <v>138.46877538074244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155.30112000000003</v>
      </c>
      <c r="CV66" s="13">
        <f t="shared" si="41"/>
        <v>39.780838288983972</v>
      </c>
      <c r="CW66" s="20">
        <f t="shared" si="13"/>
        <v>339.76774401998046</v>
      </c>
      <c r="CX66" s="59">
        <f t="shared" si="14"/>
        <v>633.10107735331371</v>
      </c>
      <c r="CY66" s="59">
        <f ca="1">AVERAGE(OFFSET($CX$3,0,0,'Données projet'!$E$13+1,1))-AVERAGE(OFFSET($H$3,0,0,'Données projet'!$E$13+1,1))</f>
        <v>161.87883827031436</v>
      </c>
      <c r="CZ66" s="59">
        <f t="shared" si="42"/>
        <v>163.02076389611869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5.7013504869919984</v>
      </c>
      <c r="DG66" s="21">
        <f>EXP(-LN(2)/25)*DG65+(1-EXP(-LN(2)/25))/(LN(2)/25)*Calculateur!DB66*Calculateur!DD66*VLOOKUP('Données projet'!$B$13,Paramètres!$A$1:$I$89,3,0)*0.475*44/12</f>
        <v>9.8280560465766555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15.529406533568654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</v>
      </c>
      <c r="DO66" s="12">
        <f>IF('Données projet'!$A$166&gt;35,DO65+DN66-DW65,IF(A66&lt;'Données projet'!$A$166,$DL$205^A66,IF(A66='Données projet'!$A$166,'Données projet'!$B$166,DO65+DN66-DW65)))</f>
        <v>124</v>
      </c>
      <c r="DP66" s="17">
        <f>DO66*VLOOKUP('Données projet'!$B$14,Paramètres!$A$1:$I$89,3,0)*VLOOKUP('Données projet'!$B$14,Paramètres!$A$1:$I$89,5,0)</f>
        <v>100.58880000000001</v>
      </c>
      <c r="DQ66" s="13">
        <f t="shared" si="43"/>
        <v>27.102223064855139</v>
      </c>
      <c r="DR66" s="20">
        <f t="shared" si="16"/>
        <v>222.3951985046227</v>
      </c>
      <c r="DS66" s="59">
        <f t="shared" si="17"/>
        <v>515.72853183795598</v>
      </c>
      <c r="DT66" s="59">
        <f ca="1">AVERAGE(OFFSET($DS$3,0,0,'Données projet'!$E$14+1,1))-AVERAGE(OFFSET($H$3,0,0,'Données projet'!$E$14+1,1))</f>
        <v>96.611230241682733</v>
      </c>
      <c r="DU66" s="59">
        <f t="shared" si="44"/>
        <v>78.711045514042041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2.5784543891690559</v>
      </c>
      <c r="EC66" s="21">
        <f>EXP(-LN(2)/2)*EC65+(1-EXP(-LN(2)/2))/(LN(2)/2)*DW66*DZ66*VLOOKUP('Données projet'!$B$14,Paramètres!$A$1:$I$89,3,0)*0.475*44/12</f>
        <v>0.78890018356897074</v>
      </c>
      <c r="ED66" s="22">
        <f t="shared" si="18"/>
        <v>3.3673545727380265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>
        <f>VLOOKUP(A66,'Données projet'!$A$191:$I$211,2,0)</f>
        <v>455.71538461538466</v>
      </c>
      <c r="EH66" s="12">
        <f>VLOOKUP(A66,'Données projet'!$A$191:$I$211,9,0)</f>
        <v>14.839560439560453</v>
      </c>
      <c r="EI66" s="12">
        <f t="array" ref="EI66">INDEX(EH:EH,MIN(IF(ISNUMBER(EH66:EH262),ROW(EH66:EH262),"")))</f>
        <v>14.839560439560453</v>
      </c>
      <c r="EJ66" s="12">
        <f>IF('Données projet'!$A$192&gt;35,EJ65+EI66-ER65,IF(A66&lt;'Données projet'!$A$192,$EG$205^A66,IF(A66='Données projet'!$A$192,'Données projet'!$B$192,EJ65+EI66-ER65)))</f>
        <v>455.71538461538455</v>
      </c>
      <c r="EK66" s="17">
        <f>EJ66*VLOOKUP('Données projet'!$B$15,Paramètres!$A$1:$I$89,3,0)*VLOOKUP('Données projet'!$B$15,Paramètres!$A$1:$I$89,5,0)</f>
        <v>201.42619999999999</v>
      </c>
      <c r="EL66" s="13">
        <f t="shared" si="45"/>
        <v>50.057473579150077</v>
      </c>
      <c r="EM66" s="20">
        <f t="shared" si="19"/>
        <v>438.00073148368637</v>
      </c>
      <c r="EN66" s="59">
        <f t="shared" si="20"/>
        <v>731.33406481701968</v>
      </c>
      <c r="EO66" s="59">
        <f ca="1">AVERAGE(OFFSET($EN$3,0,0,'Données projet'!$E$15+1,1))-AVERAGE(OFFSET($H$3,0,0,'Données projet'!$E$15+1,1))</f>
        <v>188.61152573050066</v>
      </c>
      <c r="EP66" s="59">
        <f t="shared" si="46"/>
        <v>172.37050503841624</v>
      </c>
      <c r="EQ66" s="15">
        <f>IF(ISNA(VLOOKUP(A66,'Données projet'!$A$191:$I$211,3,0)),0,VLOOKUP(A66,'Données projet'!$A$191:$I$211,3,0))</f>
        <v>7</v>
      </c>
      <c r="ER66" s="15">
        <f>IF(ISNA(VLOOKUP(A66,'Données projet'!$A$191:$I$211,4,0)),0,VLOOKUP(A66,'Données projet'!$A$191:$I$211,4,0))</f>
        <v>79.723076923076917</v>
      </c>
      <c r="ES66" s="16">
        <f>IF(ISNA(VLOOKUP(A66,'Données projet'!$A$191:$I$211,5,0)),0%,VLOOKUP(A66,'Données projet'!$A$191:$I$211,5,0)*VLOOKUP('Données projet'!$B$15,Paramètres!$A$1:$I$89,7,0))</f>
        <v>0.38500000000000001</v>
      </c>
      <c r="ET66" s="16">
        <f>IF(ISNA(VLOOKUP(A66,'Données projet'!$A$191:$I$211,6,0)),0%,VLOOKUP(A66,'Données projet'!$A$191:$I$211,6,0)*VLOOKUP('Données projet'!$B$15,Paramètres!$A$1:$I$89,7,0))</f>
        <v>9.240000000000001E-2</v>
      </c>
      <c r="EU66" s="16">
        <f>IF(ISNA(VLOOKUP(A66,'Données projet'!$A$191:$I$211,7,0)),0%,VLOOKUP(A66,'Données projet'!$A$191:$I$211,7,0))</f>
        <v>0.13200000000000001</v>
      </c>
      <c r="EV66" s="21">
        <f>EXP(-LN(2)/35)*EV65+(1-EXP(-LN(2)/35))/(LN(2)/35)*ER66*ES66*VLOOKUP('Données projet'!$B$15,Paramètres!$A$1:$I$89,3,0)*0.475*44/12</f>
        <v>69.536440934590104</v>
      </c>
      <c r="EW66" s="21">
        <f>EXP(-LN(2)/25)*EW65+(1-EXP(-LN(2)/25))/(LN(2)/25)*Calculateur!ER66*Calculateur!ET66*VLOOKUP('Données projet'!$B$15,Paramètres!$A$1:$I$89,3,0)*0.475*44/12</f>
        <v>22.481008528344141</v>
      </c>
      <c r="EX66" s="21">
        <f>EXP(-LN(2)/2)*EX65+(1-EXP(-LN(2)/2))/(LN(2)/2)*ER66*EU66*VLOOKUP('Données projet'!$B$15,Paramètres!$A$1:$I$89,3,0)*0.475*44/12</f>
        <v>5.7601321441944346</v>
      </c>
      <c r="EY66" s="22">
        <f t="shared" si="21"/>
        <v>97.777581607128681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>
        <f>FE66*VLOOKUP('Données projet'!$B$16,Paramètres!$A$1:$I$89,3,0)*VLOOKUP('Données projet'!$B$16,Paramètres!$A$1:$I$89,5,0)</f>
        <v>0</v>
      </c>
      <c r="FG66" s="13" t="e">
        <f t="shared" si="47"/>
        <v>#NUM!</v>
      </c>
      <c r="FH66" s="20" t="e">
        <f t="shared" si="22"/>
        <v>#NUM!</v>
      </c>
      <c r="FI66" s="59" t="e">
        <f t="shared" si="23"/>
        <v>#NUM!</v>
      </c>
      <c r="FJ66" s="59">
        <f ca="1">AVERAGE(OFFSET($FI$3,0,0,'Données projet'!$E$16+1,1))-AVERAGE(OFFSET($H$3,0,0,'Données projet'!$E$16+1,1))</f>
        <v>0</v>
      </c>
      <c r="FK66" s="59">
        <f t="shared" si="48"/>
        <v>0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0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197.78572767493569</v>
      </c>
      <c r="T67" s="59">
        <f t="shared" si="34"/>
        <v>288.66487031729008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4.4000000000000004</v>
      </c>
      <c r="AI67" s="13">
        <f>IF('Données projet'!$A$62&gt;35,AI66+AH67-AQ66,IF(A67&lt;'Données projet'!$A$62,$AF$205^A67,IF(A67='Données projet'!$A$62,'Données projet'!$B$62,AI66+AH67-AQ66)))</f>
        <v>250.59999999999985</v>
      </c>
      <c r="AJ67" s="13">
        <f>AI67*VLOOKUP('Données projet'!$B$10,Paramètres!$A$1:$I$89,3,0)*VLOOKUP('Données projet'!$B$10,Paramètres!$A$1:$I$89,5,0)</f>
        <v>199.3773599999999</v>
      </c>
      <c r="AK67" s="13">
        <f t="shared" si="35"/>
        <v>49.607305476717762</v>
      </c>
      <c r="AL67" s="20">
        <f t="shared" si="4"/>
        <v>433.64829237194994</v>
      </c>
      <c r="AM67" s="59">
        <f t="shared" si="5"/>
        <v>726.98162570528325</v>
      </c>
      <c r="AN67" s="59">
        <f ca="1">AVERAGE(OFFSET($AM$3,0,0,'Données projet'!$E$10+1,1))-AVERAGE(OFFSET($H$3,0,0,'Données projet'!$E$10+1,1))</f>
        <v>219.43439115440339</v>
      </c>
      <c r="AO67" s="59">
        <f t="shared" si="36"/>
        <v>217.8880462742099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21.364334420535126</v>
      </c>
      <c r="AV67" s="21">
        <f>EXP(-LN(2)/25)*AV66+(1-EXP(-LN(2)/25))/(LN(2)/25)*Calculateur!AQ67*Calculateur!AS67*VLOOKUP('Données projet'!$B$10,Paramètres!$A$1:$I$89,3,0)*0.475*44/12</f>
        <v>10.582206903974212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31.94654132450934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3.8</v>
      </c>
      <c r="BD67" s="12">
        <f>IF('Données projet'!$A$88&gt;35,BD66+BC67-BL66,IF(A67&lt;'Données projet'!$A$88,$BA$205^A67,IF(A67='Données projet'!$A$88,'Données projet'!$B$88,BD66+BC67-BL66)))</f>
        <v>167.19999999999996</v>
      </c>
      <c r="BE67" s="13">
        <f>BD67*VLOOKUP('Données projet'!$B$11,Paramètres!$A$1:$I$89,3,0)*VLOOKUP('Données projet'!$B$11,Paramètres!$A$1:$I$89,5,0)</f>
        <v>146.06591999999998</v>
      </c>
      <c r="BF67" s="13">
        <f t="shared" si="37"/>
        <v>37.683173643014399</v>
      </c>
      <c r="BG67" s="20">
        <f t="shared" si="7"/>
        <v>320.02967142824997</v>
      </c>
      <c r="BH67" s="59">
        <f t="shared" si="8"/>
        <v>613.36300476158328</v>
      </c>
      <c r="BI67" s="59">
        <f ca="1">AVERAGE(OFFSET($BH$3,0,0,'Données projet'!$E$11+1,1))-AVERAGE(OFFSET($H$3,0,0,'Données projet'!$E$11+1,1))</f>
        <v>175.73188403662408</v>
      </c>
      <c r="BJ67" s="59">
        <f t="shared" si="38"/>
        <v>152.02195399869032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6.7666504518317296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6.7666504518317296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5.9431089743589762</v>
      </c>
      <c r="BY67" s="12">
        <f>IF('Données projet'!$A$114&gt;35,BY66+BX67-CG66,IF(A67&lt;'Données projet'!$A$114,$BV$205^A67,IF(A67='Données projet'!$A$114,'Données projet'!$B$114,BY66+BX67-CG66)))</f>
        <v>150.02964743589743</v>
      </c>
      <c r="BZ67" s="13">
        <f>BY67*VLOOKUP('Données projet'!$B$12,Paramètres!$A$1:$I$89,3,0)*VLOOKUP('Données projet'!$B$12,Paramètres!$A$1:$I$89,5,0)</f>
        <v>135.746825</v>
      </c>
      <c r="CA67" s="13">
        <f t="shared" si="39"/>
        <v>35.320920291530086</v>
      </c>
      <c r="CB67" s="20">
        <f t="shared" si="10"/>
        <v>297.94298971608151</v>
      </c>
      <c r="CC67" s="59">
        <f t="shared" si="11"/>
        <v>591.27632304941483</v>
      </c>
      <c r="CD67" s="59">
        <f ca="1">AVERAGE(OFFSET($CC$3,0,0,'Données projet'!$E$12+1,1))-AVERAGE(OFFSET($H$3,0,0,'Données projet'!$E$12+1,1))</f>
        <v>213.54857791046686</v>
      </c>
      <c r="CE67" s="59">
        <f t="shared" si="40"/>
        <v>138.46877538074244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158.00616000000002</v>
      </c>
      <c r="CV67" s="13">
        <f t="shared" si="41"/>
        <v>40.392471545814118</v>
      </c>
      <c r="CW67" s="20">
        <f t="shared" si="13"/>
        <v>345.54428327562624</v>
      </c>
      <c r="CX67" s="59">
        <f t="shared" si="14"/>
        <v>638.87761660895956</v>
      </c>
      <c r="CY67" s="59">
        <f ca="1">AVERAGE(OFFSET($CX$3,0,0,'Données projet'!$E$13+1,1))-AVERAGE(OFFSET($H$3,0,0,'Données projet'!$E$13+1,1))</f>
        <v>161.87883827031436</v>
      </c>
      <c r="CZ67" s="59">
        <f t="shared" si="42"/>
        <v>163.02076389611869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5.5895504814225099</v>
      </c>
      <c r="DG67" s="21">
        <f>EXP(-LN(2)/25)*DG66+(1-EXP(-LN(2)/25))/(LN(2)/25)*Calculateur!DB67*Calculateur!DD67*VLOOKUP('Données projet'!$B$13,Paramètres!$A$1:$I$89,3,0)*0.475*44/12</f>
        <v>9.5593073371480113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15.148857818570521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</v>
      </c>
      <c r="DO67" s="12">
        <f>IF('Données projet'!$A$166&gt;35,DO66+DN67-DW66,IF(A67&lt;'Données projet'!$A$166,$DL$205^A67,IF(A67='Données projet'!$A$166,'Données projet'!$B$166,DO66+DN67-DW66)))</f>
        <v>127</v>
      </c>
      <c r="DP67" s="17">
        <f>DO67*VLOOKUP('Données projet'!$B$14,Paramètres!$A$1:$I$89,3,0)*VLOOKUP('Données projet'!$B$14,Paramètres!$A$1:$I$89,5,0)</f>
        <v>103.02240000000002</v>
      </c>
      <c r="DQ67" s="13">
        <f t="shared" si="43"/>
        <v>27.680790106744656</v>
      </c>
      <c r="DR67" s="20">
        <f t="shared" si="16"/>
        <v>227.64138943591365</v>
      </c>
      <c r="DS67" s="59">
        <f t="shared" si="17"/>
        <v>520.97472276924691</v>
      </c>
      <c r="DT67" s="59">
        <f ca="1">AVERAGE(OFFSET($DS$3,0,0,'Données projet'!$E$14+1,1))-AVERAGE(OFFSET($H$3,0,0,'Données projet'!$E$14+1,1))</f>
        <v>96.611230241682733</v>
      </c>
      <c r="DU67" s="59">
        <f t="shared" si="44"/>
        <v>78.711045514042041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2.5079464183022049</v>
      </c>
      <c r="EC67" s="21">
        <f>EXP(-LN(2)/2)*EC66+(1-EXP(-LN(2)/2))/(LN(2)/2)*DW67*DZ67*VLOOKUP('Données projet'!$B$14,Paramètres!$A$1:$I$89,3,0)*0.475*44/12</f>
        <v>0.55783666948093136</v>
      </c>
      <c r="ED67" s="22">
        <f t="shared" si="18"/>
        <v>3.065783087783136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13.296703296703283</v>
      </c>
      <c r="EJ67" s="12">
        <f>IF('Données projet'!$A$192&gt;35,EJ66+EI67-ER66,IF(A67&lt;'Données projet'!$A$192,$EG$205^A67,IF(A67='Données projet'!$A$192,'Données projet'!$B$192,EJ66+EI67-ER66)))</f>
        <v>389.28901098901093</v>
      </c>
      <c r="EK67" s="17">
        <f>EJ67*VLOOKUP('Données projet'!$B$15,Paramètres!$A$1:$I$89,3,0)*VLOOKUP('Données projet'!$B$15,Paramètres!$A$1:$I$89,5,0)</f>
        <v>172.06574285714285</v>
      </c>
      <c r="EL67" s="13">
        <f t="shared" si="45"/>
        <v>43.552355539576439</v>
      </c>
      <c r="EM67" s="20">
        <f t="shared" si="19"/>
        <v>375.53485470761944</v>
      </c>
      <c r="EN67" s="59">
        <f t="shared" si="20"/>
        <v>668.86818804095276</v>
      </c>
      <c r="EO67" s="59">
        <f ca="1">AVERAGE(OFFSET($EN$3,0,0,'Données projet'!$E$15+1,1))-AVERAGE(OFFSET($H$3,0,0,'Données projet'!$E$15+1,1))</f>
        <v>188.61152573050066</v>
      </c>
      <c r="EP67" s="59">
        <f t="shared" si="46"/>
        <v>172.37050503841624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68.172873740903825</v>
      </c>
      <c r="EW67" s="21">
        <f>EXP(-LN(2)/25)*EW66+(1-EXP(-LN(2)/25))/(LN(2)/25)*Calculateur!ER67*Calculateur!ET67*VLOOKUP('Données projet'!$B$15,Paramètres!$A$1:$I$89,3,0)*0.475*44/12</f>
        <v>21.866264167911712</v>
      </c>
      <c r="EX67" s="21">
        <f>EXP(-LN(2)/2)*EX66+(1-EXP(-LN(2)/2))/(LN(2)/2)*ER67*EU67*VLOOKUP('Données projet'!$B$15,Paramètres!$A$1:$I$89,3,0)*0.475*44/12</f>
        <v>4.0730284996904933</v>
      </c>
      <c r="EY67" s="22">
        <f t="shared" si="21"/>
        <v>94.112166408506027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>
        <f>FE67*VLOOKUP('Données projet'!$B$16,Paramètres!$A$1:$I$89,3,0)*VLOOKUP('Données projet'!$B$16,Paramètres!$A$1:$I$89,5,0)</f>
        <v>0</v>
      </c>
      <c r="FG67" s="13" t="e">
        <f t="shared" si="47"/>
        <v>#NUM!</v>
      </c>
      <c r="FH67" s="20" t="e">
        <f t="shared" si="22"/>
        <v>#NUM!</v>
      </c>
      <c r="FI67" s="59" t="e">
        <f t="shared" si="23"/>
        <v>#NUM!</v>
      </c>
      <c r="FJ67" s="59">
        <f ca="1">AVERAGE(OFFSET($FI$3,0,0,'Données projet'!$E$16+1,1))-AVERAGE(OFFSET($H$3,0,0,'Données projet'!$E$16+1,1))</f>
        <v>0</v>
      </c>
      <c r="FK67" s="59">
        <f t="shared" si="48"/>
        <v>0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0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197.78572767493569</v>
      </c>
      <c r="T68" s="59">
        <f t="shared" si="34"/>
        <v>288.66487031729008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255</v>
      </c>
      <c r="AG68" s="12">
        <f>VLOOKUP(A68,'Données projet'!$A$61:$I$81,9,0)</f>
        <v>4.4000000000000004</v>
      </c>
      <c r="AH68" s="12">
        <f t="array" ref="AH68">INDEX(AG:AG,MIN(IF(ISNUMBER(AG68:AG264),ROW(AG68:AG264),"")))</f>
        <v>4.4000000000000004</v>
      </c>
      <c r="AI68" s="13">
        <f>IF('Données projet'!$A$62&gt;35,AI67+AH68-AQ67,IF(A68&lt;'Données projet'!$A$62,$AF$205^A68,IF(A68='Données projet'!$A$62,'Données projet'!$B$62,AI67+AH68-AQ67)))</f>
        <v>254.99999999999986</v>
      </c>
      <c r="AJ68" s="13">
        <f>AI68*VLOOKUP('Données projet'!$B$10,Paramètres!$A$1:$I$89,3,0)*VLOOKUP('Données projet'!$B$10,Paramètres!$A$1:$I$89,5,0)</f>
        <v>202.8779999999999</v>
      </c>
      <c r="AK68" s="13">
        <f t="shared" si="35"/>
        <v>50.376138116990084</v>
      </c>
      <c r="AL68" s="20">
        <f t="shared" ref="AL68:AL131" si="58">(AJ68+AK68)*0.475*44/12</f>
        <v>441.08429055375751</v>
      </c>
      <c r="AM68" s="59">
        <f t="shared" ref="AM68:AM131" si="59">AL68+(AD68+AE68)*44/12</f>
        <v>734.41762388709083</v>
      </c>
      <c r="AN68" s="59">
        <f ca="1">AVERAGE(OFFSET($AM$3,0,0,'Données projet'!$E$10+1,1))-AVERAGE(OFFSET($H$3,0,0,'Données projet'!$E$10+1,1))</f>
        <v>219.43439115440339</v>
      </c>
      <c r="AO68" s="59">
        <f t="shared" si="36"/>
        <v>217.8880462742099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11</v>
      </c>
      <c r="AR68" s="16">
        <f>IF(ISNA(VLOOKUP(A68,'Données projet'!$A$61:$I$81,5,0)),0%,VLOOKUP(A68,'Données projet'!$A$61:$I$81,5,0)*VLOOKUP('Données projet'!$B$10,Paramètres!$A$1:$I$89,7,0))</f>
        <v>0.43459999999999999</v>
      </c>
      <c r="AS68" s="16">
        <f>IF(ISNA(VLOOKUP(A68,'Données projet'!$A$61:$I$81,6,0)),0%,VLOOKUP(A68,'Données projet'!$A$61:$I$81,6,0)*VLOOKUP('Données projet'!$B$10,Paramètres!$A$1:$I$89,7,0))</f>
        <v>4.7699999999999999E-2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25.149989039157767</v>
      </c>
      <c r="AV68" s="21">
        <f>EXP(-LN(2)/25)*AV67+(1-EXP(-LN(2)/25))/(LN(2)/25)*Calculateur!AQ68*Calculateur!AS68*VLOOKUP('Données projet'!$B$10,Paramètres!$A$1:$I$89,3,0)*0.475*44/12</f>
        <v>10.75249894597793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35.902487985135693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171</v>
      </c>
      <c r="BB68" s="12">
        <f>VLOOKUP(A68,'Données projet'!$A$87:$I$107,9,0)</f>
        <v>3.8</v>
      </c>
      <c r="BC68" s="12">
        <f t="array" ref="BC68">INDEX(BB:BB,MIN(IF(ISNUMBER(BB68:BB264),ROW(BB68:BB264),"")))</f>
        <v>3.8</v>
      </c>
      <c r="BD68" s="12">
        <f>IF('Données projet'!$A$88&gt;35,BD67+BC68-BL67,IF(A68&lt;'Données projet'!$A$88,$BA$205^A68,IF(A68='Données projet'!$A$88,'Données projet'!$B$88,BD67+BC68-BL67)))</f>
        <v>170.99999999999997</v>
      </c>
      <c r="BE68" s="13">
        <f>BD68*VLOOKUP('Données projet'!$B$11,Paramètres!$A$1:$I$89,3,0)*VLOOKUP('Données projet'!$B$11,Paramètres!$A$1:$I$89,5,0)</f>
        <v>149.38559999999998</v>
      </c>
      <c r="BF68" s="13">
        <f t="shared" si="37"/>
        <v>38.438927680599591</v>
      </c>
      <c r="BG68" s="20">
        <f t="shared" ref="BG68:BG131" si="61">(BE68+BF68)*0.475*44/12</f>
        <v>327.1277190437109</v>
      </c>
      <c r="BH68" s="59">
        <f t="shared" ref="BH68:BH131" si="62">BG68+(AY68+AZ68)*44/12</f>
        <v>620.46105237704421</v>
      </c>
      <c r="BI68" s="59">
        <f ca="1">AVERAGE(OFFSET($BH$3,0,0,'Données projet'!$E$11+1,1))-AVERAGE(OFFSET($H$3,0,0,'Données projet'!$E$11+1,1))</f>
        <v>175.73188403662408</v>
      </c>
      <c r="BJ68" s="59">
        <f t="shared" si="38"/>
        <v>152.02195399869032</v>
      </c>
      <c r="BK68" s="15">
        <f>IF(ISNA(VLOOKUP(A68,'Données projet'!$A$87:$I$107,3,0)),0,VLOOKUP(A68,'Données projet'!$A$87:$I$107,3,0))</f>
        <v>9</v>
      </c>
      <c r="BL68" s="15" t="str">
        <f>IF(ISNA(VLOOKUP(A68,'Données projet'!$A$87:$I$107,4,0)),0,VLOOKUP(A68,'Données projet'!$A$87:$I$107,4,0))</f>
        <v>12</v>
      </c>
      <c r="BM68" s="16">
        <f>IF(ISNA(VLOOKUP(A68,'Données projet'!$A$87:$I$107,5,0)),0%,VLOOKUP(A68,'Données projet'!$A$87:$I$107,5,0)*VLOOKUP('Données projet'!$B$11,Paramètres!$A$1:$I$89,7,0))</f>
        <v>0.17200000000000001</v>
      </c>
      <c r="BN68" s="16">
        <f>IF(ISNA(VLOOKUP(A68,'Données projet'!$A$87:$I$107,6,0)),0%,VLOOKUP(A68,'Données projet'!$A$87:$I$107,6,0)*VLOOKUP('Données projet'!$B$11,Paramètres!$A$1:$I$89,7,0))</f>
        <v>0.17200000000000001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1.9932851382278101</v>
      </c>
      <c r="BQ68" s="21">
        <f>EXP(-LN(2)/25)*BQ67+(1-EXP(-LN(2)/25))/(LN(2)/25)*Calculateur!BL68*Calculateur!BN68*VLOOKUP('Données projet'!$B$11,Paramètres!$A$1:$I$89,3,0)*0.475*44/12</f>
        <v>8.5670528545211351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10.560337992748945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5.9431089743589762</v>
      </c>
      <c r="BY68" s="12">
        <f>IF('Données projet'!$A$114&gt;35,BY67+BX68-CG67,IF(A68&lt;'Données projet'!$A$114,$BV$205^A68,IF(A68='Données projet'!$A$114,'Données projet'!$B$114,BY67+BX68-CG67)))</f>
        <v>155.97275641025641</v>
      </c>
      <c r="BZ68" s="13">
        <f>BY68*VLOOKUP('Données projet'!$B$12,Paramètres!$A$1:$I$89,3,0)*VLOOKUP('Données projet'!$B$12,Paramètres!$A$1:$I$89,5,0)</f>
        <v>141.12414999999999</v>
      </c>
      <c r="CA68" s="13">
        <f t="shared" si="39"/>
        <v>36.554412483418083</v>
      </c>
      <c r="CB68" s="20">
        <f t="shared" ref="CB68:CB131" si="64">(BZ68+CA68)*0.475*44/12</f>
        <v>309.45682965861977</v>
      </c>
      <c r="CC68" s="59">
        <f t="shared" ref="CC68:CC131" si="65">CB68+(BT68+BU68)*44/12</f>
        <v>602.79016299195314</v>
      </c>
      <c r="CD68" s="59">
        <f ca="1">AVERAGE(OFFSET($CC$3,0,0,'Données projet'!$E$12+1,1))-AVERAGE(OFFSET($H$3,0,0,'Données projet'!$E$12+1,1))</f>
        <v>213.54857791046686</v>
      </c>
      <c r="CE68" s="59">
        <f t="shared" si="40"/>
        <v>138.46877538074244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160.71120000000002</v>
      </c>
      <c r="CV68" s="13">
        <f t="shared" si="41"/>
        <v>41.002887121655327</v>
      </c>
      <c r="CW68" s="20">
        <f t="shared" ref="CW68:CW131" si="67">(CU68+CV68)*0.475*44/12</f>
        <v>351.31870173688304</v>
      </c>
      <c r="CX68" s="59">
        <f t="shared" ref="CX68:CX131" si="68">CW68+(CO68+CP68)*44/12</f>
        <v>644.65203507021636</v>
      </c>
      <c r="CY68" s="59">
        <f ca="1">AVERAGE(OFFSET($CX$3,0,0,'Données projet'!$E$13+1,1))-AVERAGE(OFFSET($H$3,0,0,'Données projet'!$E$13+1,1))</f>
        <v>161.87883827031436</v>
      </c>
      <c r="CZ68" s="59">
        <f t="shared" si="42"/>
        <v>163.02076389611869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0.33390000000000003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7.8292958851153447</v>
      </c>
      <c r="DG68" s="21">
        <f>EXP(-LN(2)/25)*DG67+(1-EXP(-LN(2)/25))/(LN(2)/25)*Calculateur!DB68*Calculateur!DD68*VLOOKUP('Données projet'!$B$13,Paramètres!$A$1:$I$89,3,0)*0.475*44/12</f>
        <v>10.226519790032723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18.055815675148068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130</v>
      </c>
      <c r="DM68" s="12">
        <f>VLOOKUP(A68,'Données projet'!$A$165:$I$185,9,0)</f>
        <v>3</v>
      </c>
      <c r="DN68" s="12">
        <f t="array" ref="DN68">INDEX(DM:DM,MIN(IF(ISNUMBER(DM68:DM264),ROW(DM68:DM264),"")))</f>
        <v>3</v>
      </c>
      <c r="DO68" s="12">
        <f>IF('Données projet'!$A$166&gt;35,DO67+DN68-DW67,IF(A68&lt;'Données projet'!$A$166,$DL$205^A68,IF(A68='Données projet'!$A$166,'Données projet'!$B$166,DO67+DN68-DW67)))</f>
        <v>130</v>
      </c>
      <c r="DP68" s="17">
        <f>DO68*VLOOKUP('Données projet'!$B$14,Paramètres!$A$1:$I$89,3,0)*VLOOKUP('Données projet'!$B$14,Paramètres!$A$1:$I$89,5,0)</f>
        <v>105.45600000000002</v>
      </c>
      <c r="DQ68" s="13">
        <f t="shared" si="43"/>
        <v>28.257768345963573</v>
      </c>
      <c r="DR68" s="20">
        <f t="shared" ref="DR68:DR131" si="70">(DP68+DQ68)*0.475*44/12</f>
        <v>232.88481320255323</v>
      </c>
      <c r="DS68" s="59">
        <f t="shared" ref="DS68:DS131" si="71">DR68+(DJ68+DK68)*44/12</f>
        <v>526.21814653588649</v>
      </c>
      <c r="DT68" s="59">
        <f ca="1">AVERAGE(OFFSET($DS$3,0,0,'Données projet'!$E$14+1,1))-AVERAGE(OFFSET($H$3,0,0,'Données projet'!$E$14+1,1))</f>
        <v>96.611230241682733</v>
      </c>
      <c r="DU68" s="59">
        <f t="shared" si="44"/>
        <v>78.711045514042041</v>
      </c>
      <c r="DV68" s="15">
        <f>IF(ISNA(VLOOKUP(A68,'Données projet'!$A$165:$I$185,3,0)),0,VLOOKUP(A68,'Données projet'!$A$165:$I$185,3,0))</f>
        <v>9</v>
      </c>
      <c r="DW68" s="15">
        <f>IF(ISNA(VLOOKUP(A68,'Données projet'!$A$165:$I$185,4,0)),0,VLOOKUP(A68,'Données projet'!$A$165:$I$185,4,0))</f>
        <v>8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0.129</v>
      </c>
      <c r="DZ68" s="16">
        <f>IF(ISNA(VLOOKUP(A68,'Données projet'!$A$165:$I$185,7,0)),0%,VLOOKUP(A68,'Données projet'!$A$165:$I$185,7,0))</f>
        <v>0.3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3.3611764414917942</v>
      </c>
      <c r="EC68" s="21">
        <f>EXP(-LN(2)/2)*EC67+(1-EXP(-LN(2)/2))/(LN(2)/2)*DW68*DZ68*VLOOKUP('Données projet'!$B$14,Paramètres!$A$1:$I$89,3,0)*0.475*44/12</f>
        <v>2.2313837712914233</v>
      </c>
      <c r="ED68" s="22">
        <f t="shared" ref="ED68:ED131" si="72">SUM(EA68:EC68)</f>
        <v>5.5925602127832175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13.296703296703283</v>
      </c>
      <c r="EJ68" s="12">
        <f>IF('Données projet'!$A$192&gt;35,EJ67+EI68-ER67,IF(A68&lt;'Données projet'!$A$192,$EG$205^A68,IF(A68='Données projet'!$A$192,'Données projet'!$B$192,EJ67+EI68-ER67)))</f>
        <v>402.58571428571423</v>
      </c>
      <c r="EK68" s="17">
        <f>EJ68*VLOOKUP('Données projet'!$B$15,Paramètres!$A$1:$I$89,3,0)*VLOOKUP('Données projet'!$B$15,Paramètres!$A$1:$I$89,5,0)</f>
        <v>177.94288571428572</v>
      </c>
      <c r="EL68" s="13">
        <f t="shared" si="45"/>
        <v>44.864210423836944</v>
      </c>
      <c r="EM68" s="20">
        <f t="shared" ref="EM68:EM131" si="73">(EK68+EL68)*0.475*44/12</f>
        <v>388.05569244056363</v>
      </c>
      <c r="EN68" s="59">
        <f t="shared" ref="EN68:EN131" si="74">EM68+(EE68+EF68)*44/12</f>
        <v>681.38902577389695</v>
      </c>
      <c r="EO68" s="59">
        <f ca="1">AVERAGE(OFFSET($EN$3,0,0,'Données projet'!$E$15+1,1))-AVERAGE(OFFSET($H$3,0,0,'Données projet'!$E$15+1,1))</f>
        <v>188.61152573050066</v>
      </c>
      <c r="EP68" s="59">
        <f t="shared" si="46"/>
        <v>172.37050503841624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66.836045268191867</v>
      </c>
      <c r="EW68" s="21">
        <f>EXP(-LN(2)/25)*EW67+(1-EXP(-LN(2)/25))/(LN(2)/25)*Calculateur!ER68*Calculateur!ET68*VLOOKUP('Données projet'!$B$15,Paramètres!$A$1:$I$89,3,0)*0.475*44/12</f>
        <v>21.26833002434331</v>
      </c>
      <c r="EX68" s="21">
        <f>EXP(-LN(2)/2)*EX67+(1-EXP(-LN(2)/2))/(LN(2)/2)*ER68*EU68*VLOOKUP('Données projet'!$B$15,Paramètres!$A$1:$I$89,3,0)*0.475*44/12</f>
        <v>2.8800660720972178</v>
      </c>
      <c r="EY68" s="22">
        <f t="shared" ref="EY68:EY131" si="75">SUM(EV68:EX68)</f>
        <v>90.984441364632403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>
        <f>FE68*VLOOKUP('Données projet'!$B$16,Paramètres!$A$1:$I$89,3,0)*VLOOKUP('Données projet'!$B$16,Paramètres!$A$1:$I$89,5,0)</f>
        <v>0</v>
      </c>
      <c r="FG68" s="13" t="e">
        <f t="shared" si="47"/>
        <v>#NUM!</v>
      </c>
      <c r="FH68" s="20" t="e">
        <f t="shared" ref="FH68:FH131" si="76">(FF68+FG68)*0.475*44/12</f>
        <v>#NUM!</v>
      </c>
      <c r="FI68" s="59" t="e">
        <f t="shared" ref="FI68:FI131" si="77">FH68+(EZ68+FA68)*44/12</f>
        <v>#NUM!</v>
      </c>
      <c r="FJ68" s="59">
        <f ca="1">AVERAGE(OFFSET($FI$3,0,0,'Données projet'!$E$16+1,1))-AVERAGE(OFFSET($H$3,0,0,'Données projet'!$E$16+1,1))</f>
        <v>0</v>
      </c>
      <c r="FK68" s="59">
        <f t="shared" si="48"/>
        <v>0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0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197.78572767493569</v>
      </c>
      <c r="T69" s="59">
        <f t="shared" ref="T69:T132" si="88">$T$3</f>
        <v>288.66487031729008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3.8</v>
      </c>
      <c r="AI69" s="13">
        <f>IF('Données projet'!$A$62&gt;35,AI68+AH69-AQ68,IF(A69&lt;'Données projet'!$A$62,$AF$205^A69,IF(A69='Données projet'!$A$62,'Données projet'!$B$62,AI68+AH69-AQ68)))</f>
        <v>247.79999999999984</v>
      </c>
      <c r="AJ69" s="13">
        <f>AI69*VLOOKUP('Données projet'!$B$10,Paramètres!$A$1:$I$89,3,0)*VLOOKUP('Données projet'!$B$10,Paramètres!$A$1:$I$89,5,0)</f>
        <v>197.14967999999988</v>
      </c>
      <c r="AK69" s="13">
        <f t="shared" ref="AK69:AK132" si="89">EXP(-1.0587+0.8836*LN(AJ69)+0.284)</f>
        <v>49.11723130862363</v>
      </c>
      <c r="AL69" s="20">
        <f t="shared" si="58"/>
        <v>428.91487052918592</v>
      </c>
      <c r="AM69" s="59">
        <f t="shared" si="59"/>
        <v>722.24820386251918</v>
      </c>
      <c r="AN69" s="59">
        <f ca="1">AVERAGE(OFFSET($AM$3,0,0,'Données projet'!$E$10+1,1))-AVERAGE(OFFSET($H$3,0,0,'Données projet'!$E$10+1,1))</f>
        <v>219.43439115440339</v>
      </c>
      <c r="AO69" s="59">
        <f t="shared" ref="AO69:AO132" si="90">$AO$3</f>
        <v>217.8880462742099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24.656813094078501</v>
      </c>
      <c r="AV69" s="21">
        <f>EXP(-LN(2)/25)*AV68+(1-EXP(-LN(2)/25))/(LN(2)/25)*Calculateur!AQ69*Calculateur!AS69*VLOOKUP('Données projet'!$B$10,Paramètres!$A$1:$I$89,3,0)*0.475*44/12</f>
        <v>10.458471296850819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35.115284390929318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3.4</v>
      </c>
      <c r="BD69" s="12">
        <f>IF('Données projet'!$A$88&gt;35,BD68+BC69-BL68,IF(A69&lt;'Données projet'!$A$88,$BA$205^A69,IF(A69='Données projet'!$A$88,'Données projet'!$B$88,BD68+BC69-BL68)))</f>
        <v>162.39999999999998</v>
      </c>
      <c r="BE69" s="13">
        <f>BD69*VLOOKUP('Données projet'!$B$11,Paramètres!$A$1:$I$89,3,0)*VLOOKUP('Données projet'!$B$11,Paramètres!$A$1:$I$89,5,0)</f>
        <v>141.87264000000002</v>
      </c>
      <c r="BF69" s="13">
        <f t="shared" ref="BF69:BF132" si="91">EXP(-1.0587+0.8836*LN(BE69)+0.284)</f>
        <v>36.725668707420816</v>
      </c>
      <c r="BG69" s="20">
        <f t="shared" si="61"/>
        <v>311.05872099875796</v>
      </c>
      <c r="BH69" s="59">
        <f t="shared" si="62"/>
        <v>604.39205433209122</v>
      </c>
      <c r="BI69" s="59">
        <f ca="1">AVERAGE(OFFSET($BH$3,0,0,'Données projet'!$E$11+1,1))-AVERAGE(OFFSET($H$3,0,0,'Données projet'!$E$11+1,1))</f>
        <v>175.73188403662408</v>
      </c>
      <c r="BJ69" s="59">
        <f t="shared" ref="BJ69:BJ132" si="92">$BJ$3</f>
        <v>152.02195399869032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1.9541980324510484</v>
      </c>
      <c r="BQ69" s="21">
        <f>EXP(-LN(2)/25)*BQ68+(1-EXP(-LN(2)/25))/(LN(2)/25)*Calculateur!BL69*Calculateur!BN69*VLOOKUP('Données projet'!$B$11,Paramètres!$A$1:$I$89,3,0)*0.475*44/12</f>
        <v>8.3327863436925256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10.286984376143574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5.9431089743589762</v>
      </c>
      <c r="BY69" s="12">
        <f>IF('Données projet'!$A$114&gt;35,BY68+BX69-CG68,IF(A69&lt;'Données projet'!$A$114,$BV$205^A69,IF(A69='Données projet'!$A$114,'Données projet'!$B$114,BY68+BX69-CG68)))</f>
        <v>161.91586538461539</v>
      </c>
      <c r="BZ69" s="13">
        <f>BY69*VLOOKUP('Données projet'!$B$12,Paramètres!$A$1:$I$89,3,0)*VLOOKUP('Données projet'!$B$12,Paramètres!$A$1:$I$89,5,0)</f>
        <v>146.501475</v>
      </c>
      <c r="CA69" s="13">
        <f t="shared" ref="CA69:CA132" si="93">EXP(-1.0587+0.8836*LN(BZ69)+0.284)</f>
        <v>37.782444550133206</v>
      </c>
      <c r="CB69" s="20">
        <f t="shared" si="64"/>
        <v>320.96115988314858</v>
      </c>
      <c r="CC69" s="59">
        <f t="shared" si="65"/>
        <v>614.2944932164819</v>
      </c>
      <c r="CD69" s="59">
        <f ca="1">AVERAGE(OFFSET($CC$3,0,0,'Données projet'!$E$12+1,1))-AVERAGE(OFFSET($H$3,0,0,'Données projet'!$E$12+1,1))</f>
        <v>213.54857791046686</v>
      </c>
      <c r="CE69" s="59">
        <f t="shared" ref="CE69:CE132" si="94">$CE$3</f>
        <v>138.46877538074244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2.6</v>
      </c>
      <c r="CT69" s="12">
        <f>IF('Données projet'!$A$140&gt;35,CT68+CS69-DB68,IF(A69&lt;'Données projet'!$A$140,$CQ$205^A69,IF(A69='Données projet'!$A$140,'Données projet'!$B$140,CT68+CS69-DB68)))</f>
        <v>196.60000000000002</v>
      </c>
      <c r="CU69" s="17">
        <f>CT69*VLOOKUP('Données projet'!$B$13,Paramètres!$A$1:$I$89,3,0)*VLOOKUP('Données projet'!$B$13,Paramètres!$A$1:$I$89,5,0)</f>
        <v>156.41496000000004</v>
      </c>
      <c r="CV69" s="13">
        <f t="shared" ref="CV69:CV132" si="95">EXP(-1.0587+0.8836*LN(CU69)+0.284)</f>
        <v>40.032836247330962</v>
      </c>
      <c r="CW69" s="20">
        <f t="shared" si="67"/>
        <v>342.14657846410142</v>
      </c>
      <c r="CX69" s="59">
        <f t="shared" si="68"/>
        <v>635.47991179743474</v>
      </c>
      <c r="CY69" s="59">
        <f ca="1">AVERAGE(OFFSET($CX$3,0,0,'Données projet'!$E$13+1,1))-AVERAGE(OFFSET($H$3,0,0,'Données projet'!$E$13+1,1))</f>
        <v>161.87883827031436</v>
      </c>
      <c r="CZ69" s="59">
        <f t="shared" ref="CZ69:CZ132" si="96">$CZ$3</f>
        <v>163.02076389611869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7.675768168207191</v>
      </c>
      <c r="DG69" s="21">
        <f>EXP(-LN(2)/25)*DG68+(1-EXP(-LN(2)/25))/(LN(2)/25)*Calculateur!DB69*Calculateur!DD69*VLOOKUP('Données projet'!$B$13,Paramètres!$A$1:$I$89,3,0)*0.475*44/12</f>
        <v>9.9468750685849763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17.622643236792168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2.8</v>
      </c>
      <c r="DO69" s="12">
        <f>IF('Données projet'!$A$166&gt;35,DO68+DN69-DW68,IF(A69&lt;'Données projet'!$A$166,$DL$205^A69,IF(A69='Données projet'!$A$166,'Données projet'!$B$166,DO68+DN69-DW68)))</f>
        <v>124.80000000000001</v>
      </c>
      <c r="DP69" s="17">
        <f>DO69*VLOOKUP('Données projet'!$B$14,Paramètres!$A$1:$I$89,3,0)*VLOOKUP('Données projet'!$B$14,Paramètres!$A$1:$I$89,5,0)</f>
        <v>101.23776000000002</v>
      </c>
      <c r="DQ69" s="13">
        <f t="shared" ref="DQ69:DQ132" si="97">EXP(-1.0587+0.8836*LN(DP69)+0.284)</f>
        <v>27.256665348119011</v>
      </c>
      <c r="DR69" s="20">
        <f t="shared" si="70"/>
        <v>223.79445748130729</v>
      </c>
      <c r="DS69" s="59">
        <f t="shared" si="71"/>
        <v>517.12779081464055</v>
      </c>
      <c r="DT69" s="59">
        <f ca="1">AVERAGE(OFFSET($DS$3,0,0,'Données projet'!$E$14+1,1))-AVERAGE(OFFSET($H$3,0,0,'Données projet'!$E$14+1,1))</f>
        <v>96.611230241682733</v>
      </c>
      <c r="DU69" s="59">
        <f t="shared" ref="DU69:DU132" si="98">$DU$3</f>
        <v>78.711045514042041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3.269264894942614</v>
      </c>
      <c r="EC69" s="21">
        <f>EXP(-LN(2)/2)*EC68+(1-EXP(-LN(2)/2))/(LN(2)/2)*DW69*DZ69*VLOOKUP('Données projet'!$B$14,Paramètres!$A$1:$I$89,3,0)*0.475*44/12</f>
        <v>1.5778265961097777</v>
      </c>
      <c r="ED69" s="22">
        <f t="shared" si="72"/>
        <v>4.8470914910523915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13.296703296703283</v>
      </c>
      <c r="EJ69" s="12">
        <f>IF('Données projet'!$A$192&gt;35,EJ68+EI69-ER68,IF(A69&lt;'Données projet'!$A$192,$EG$205^A69,IF(A69='Données projet'!$A$192,'Données projet'!$B$192,EJ68+EI69-ER68)))</f>
        <v>415.88241758241753</v>
      </c>
      <c r="EK69" s="17">
        <f>EJ69*VLOOKUP('Données projet'!$B$15,Paramètres!$A$1:$I$89,3,0)*VLOOKUP('Données projet'!$B$15,Paramètres!$A$1:$I$89,5,0)</f>
        <v>183.82002857142859</v>
      </c>
      <c r="EL69" s="13">
        <f t="shared" ref="EL69:EL132" si="99">EXP(-1.0587+0.8836*LN(EK69)+0.284)</f>
        <v>46.171030611932501</v>
      </c>
      <c r="EM69" s="20">
        <f t="shared" si="73"/>
        <v>400.56776141102063</v>
      </c>
      <c r="EN69" s="59">
        <f t="shared" si="74"/>
        <v>693.90109474435394</v>
      </c>
      <c r="EO69" s="59">
        <f ca="1">AVERAGE(OFFSET($EN$3,0,0,'Données projet'!$E$15+1,1))-AVERAGE(OFFSET($H$3,0,0,'Données projet'!$E$15+1,1))</f>
        <v>188.61152573050066</v>
      </c>
      <c r="EP69" s="59">
        <f t="shared" ref="EP69:EP132" si="100">$EP$3</f>
        <v>172.37050503841624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65.525431186444933</v>
      </c>
      <c r="EW69" s="21">
        <f>EXP(-LN(2)/25)*EW68+(1-EXP(-LN(2)/25))/(LN(2)/25)*Calculateur!ER69*Calculateur!ET69*VLOOKUP('Données projet'!$B$15,Paramètres!$A$1:$I$89,3,0)*0.475*44/12</f>
        <v>20.686746421374774</v>
      </c>
      <c r="EX69" s="21">
        <f>EXP(-LN(2)/2)*EX68+(1-EXP(-LN(2)/2))/(LN(2)/2)*ER69*EU69*VLOOKUP('Données projet'!$B$15,Paramètres!$A$1:$I$89,3,0)*0.475*44/12</f>
        <v>2.0365142498452471</v>
      </c>
      <c r="EY69" s="22">
        <f t="shared" si="75"/>
        <v>88.248691857664966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>
        <f>FE69*VLOOKUP('Données projet'!$B$16,Paramètres!$A$1:$I$89,3,0)*VLOOKUP('Données projet'!$B$16,Paramètres!$A$1:$I$89,5,0)</f>
        <v>0</v>
      </c>
      <c r="FG69" s="13" t="e">
        <f t="shared" ref="FG69:FG132" si="101">EXP(-1.0587+0.8836*LN(FF69)+0.284)</f>
        <v>#NUM!</v>
      </c>
      <c r="FH69" s="20" t="e">
        <f t="shared" si="76"/>
        <v>#NUM!</v>
      </c>
      <c r="FI69" s="59" t="e">
        <f t="shared" si="77"/>
        <v>#NUM!</v>
      </c>
      <c r="FJ69" s="59">
        <f ca="1">AVERAGE(OFFSET($FI$3,0,0,'Données projet'!$E$16+1,1))-AVERAGE(OFFSET($H$3,0,0,'Données projet'!$E$16+1,1))</f>
        <v>0</v>
      </c>
      <c r="FK69" s="59">
        <f t="shared" ref="FK69:FK132" si="102">$FK$3</f>
        <v>0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0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197.78572767493569</v>
      </c>
      <c r="T70" s="59">
        <f t="shared" si="88"/>
        <v>288.66487031729008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3.8</v>
      </c>
      <c r="AI70" s="13">
        <f>IF('Données projet'!$A$62&gt;35,AI69+AH70-AQ69,IF(A70&lt;'Données projet'!$A$62,$AF$205^A70,IF(A70='Données projet'!$A$62,'Données projet'!$B$62,AI69+AH70-AQ69)))</f>
        <v>251.59999999999985</v>
      </c>
      <c r="AJ70" s="13">
        <f>AI70*VLOOKUP('Données projet'!$B$10,Paramètres!$A$1:$I$89,3,0)*VLOOKUP('Données projet'!$B$10,Paramètres!$A$1:$I$89,5,0)</f>
        <v>200.17295999999988</v>
      </c>
      <c r="AK70" s="13">
        <f t="shared" si="89"/>
        <v>49.782177185855986</v>
      </c>
      <c r="AL70" s="20">
        <f t="shared" si="58"/>
        <v>435.33853059869892</v>
      </c>
      <c r="AM70" s="59">
        <f t="shared" si="59"/>
        <v>728.67186393203224</v>
      </c>
      <c r="AN70" s="59">
        <f ca="1">AVERAGE(OFFSET($AM$3,0,0,'Données projet'!$E$10+1,1))-AVERAGE(OFFSET($H$3,0,0,'Données projet'!$E$10+1,1))</f>
        <v>219.43439115440339</v>
      </c>
      <c r="AO70" s="59">
        <f t="shared" si="90"/>
        <v>217.8880462742099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24.173308028474615</v>
      </c>
      <c r="AV70" s="21">
        <f>EXP(-LN(2)/25)*AV69+(1-EXP(-LN(2)/25))/(LN(2)/25)*Calculateur!AQ70*Calculateur!AS70*VLOOKUP('Données projet'!$B$10,Paramètres!$A$1:$I$89,3,0)*0.475*44/12</f>
        <v>10.17248384925133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34.345791877725944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3.4</v>
      </c>
      <c r="BD70" s="12">
        <f>IF('Données projet'!$A$88&gt;35,BD69+BC70-BL69,IF(A70&lt;'Données projet'!$A$88,$BA$205^A70,IF(A70='Données projet'!$A$88,'Données projet'!$B$88,BD69+BC70-BL69)))</f>
        <v>165.79999999999998</v>
      </c>
      <c r="BE70" s="13">
        <f>BD70*VLOOKUP('Données projet'!$B$11,Paramètres!$A$1:$I$89,3,0)*VLOOKUP('Données projet'!$B$11,Paramètres!$A$1:$I$89,5,0)</f>
        <v>144.84288000000001</v>
      </c>
      <c r="BF70" s="13">
        <f t="shared" si="91"/>
        <v>37.40423595784457</v>
      </c>
      <c r="BG70" s="20">
        <f t="shared" si="61"/>
        <v>317.41372695991265</v>
      </c>
      <c r="BH70" s="59">
        <f t="shared" si="62"/>
        <v>610.74706029324602</v>
      </c>
      <c r="BI70" s="59">
        <f ca="1">AVERAGE(OFFSET($BH$3,0,0,'Données projet'!$E$11+1,1))-AVERAGE(OFFSET($H$3,0,0,'Données projet'!$E$11+1,1))</f>
        <v>175.73188403662408</v>
      </c>
      <c r="BJ70" s="59">
        <f t="shared" si="92"/>
        <v>152.02195399869032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1.9158774009777886</v>
      </c>
      <c r="BQ70" s="21">
        <f>EXP(-LN(2)/25)*BQ69+(1-EXP(-LN(2)/25))/(LN(2)/25)*Calculateur!BL70*Calculateur!BN70*VLOOKUP('Données projet'!$B$11,Paramètres!$A$1:$I$89,3,0)*0.475*44/12</f>
        <v>8.1049258629220642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10.020803263899852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167.85897435897436</v>
      </c>
      <c r="BW70" s="12">
        <f>VLOOKUP(A70,'Données projet'!$A$113:$I$133,9,0)</f>
        <v>5.9431089743589762</v>
      </c>
      <c r="BX70" s="12">
        <f t="array" ref="BX70">INDEX(BW:BW,MIN(IF(ISNUMBER(BW70:BW266),ROW(BW70:BW266),"")))</f>
        <v>5.9431089743589762</v>
      </c>
      <c r="BY70" s="12">
        <f>IF('Données projet'!$A$114&gt;35,BY69+BX70-CG69,IF(A70&lt;'Données projet'!$A$114,$BV$205^A70,IF(A70='Données projet'!$A$114,'Données projet'!$B$114,BY69+BX70-CG69)))</f>
        <v>167.85897435897436</v>
      </c>
      <c r="BZ70" s="13">
        <f>BY70*VLOOKUP('Données projet'!$B$12,Paramètres!$A$1:$I$89,3,0)*VLOOKUP('Données projet'!$B$12,Paramètres!$A$1:$I$89,5,0)</f>
        <v>151.87880000000001</v>
      </c>
      <c r="CA70" s="13">
        <f t="shared" si="93"/>
        <v>39.005239858021888</v>
      </c>
      <c r="CB70" s="20">
        <f t="shared" si="64"/>
        <v>332.45636941938818</v>
      </c>
      <c r="CC70" s="59">
        <f t="shared" si="65"/>
        <v>625.7897027527215</v>
      </c>
      <c r="CD70" s="59">
        <f ca="1">AVERAGE(OFFSET($CC$3,0,0,'Données projet'!$E$12+1,1))-AVERAGE(OFFSET($H$3,0,0,'Données projet'!$E$12+1,1))</f>
        <v>213.54857791046686</v>
      </c>
      <c r="CE70" s="59">
        <f t="shared" si="94"/>
        <v>138.46877538074244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31.993589743589741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2.6</v>
      </c>
      <c r="CT70" s="12">
        <f>IF('Données projet'!$A$140&gt;35,CT69+CS70-DB69,IF(A70&lt;'Données projet'!$A$140,$CQ$205^A70,IF(A70='Données projet'!$A$140,'Données projet'!$B$140,CT69+CS70-DB69)))</f>
        <v>199.20000000000002</v>
      </c>
      <c r="CU70" s="17">
        <f>CT70*VLOOKUP('Données projet'!$B$13,Paramètres!$A$1:$I$89,3,0)*VLOOKUP('Données projet'!$B$13,Paramètres!$A$1:$I$89,5,0)</f>
        <v>158.48352000000003</v>
      </c>
      <c r="CV70" s="13">
        <f t="shared" si="95"/>
        <v>40.500279761408329</v>
      </c>
      <c r="CW70" s="20">
        <f t="shared" si="67"/>
        <v>346.56345125111949</v>
      </c>
      <c r="CX70" s="59">
        <f t="shared" si="68"/>
        <v>639.8967845844528</v>
      </c>
      <c r="CY70" s="59">
        <f ca="1">AVERAGE(OFFSET($CX$3,0,0,'Données projet'!$E$13+1,1))-AVERAGE(OFFSET($H$3,0,0,'Données projet'!$E$13+1,1))</f>
        <v>161.87883827031436</v>
      </c>
      <c r="CZ70" s="59">
        <f t="shared" si="96"/>
        <v>163.02076389611869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7.5252510361849456</v>
      </c>
      <c r="DG70" s="21">
        <f>EXP(-LN(2)/25)*DG69+(1-EXP(-LN(2)/25))/(LN(2)/25)*Calculateur!DB70*Calculateur!DD70*VLOOKUP('Données projet'!$B$13,Paramètres!$A$1:$I$89,3,0)*0.475*44/12</f>
        <v>9.6748772467510946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17.200128282936042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2.8</v>
      </c>
      <c r="DO70" s="12">
        <f>IF('Données projet'!$A$166&gt;35,DO69+DN70-DW69,IF(A70&lt;'Données projet'!$A$166,$DL$205^A70,IF(A70='Données projet'!$A$166,'Données projet'!$B$166,DO69+DN70-DW69)))</f>
        <v>127.60000000000001</v>
      </c>
      <c r="DP70" s="17">
        <f>DO70*VLOOKUP('Données projet'!$B$14,Paramètres!$A$1:$I$89,3,0)*VLOOKUP('Données projet'!$B$14,Paramètres!$A$1:$I$89,5,0)</f>
        <v>103.50912000000001</v>
      </c>
      <c r="DQ70" s="13">
        <f t="shared" si="97"/>
        <v>27.796311521265444</v>
      </c>
      <c r="DR70" s="20">
        <f t="shared" si="70"/>
        <v>228.69029323287066</v>
      </c>
      <c r="DS70" s="59">
        <f t="shared" si="71"/>
        <v>522.02362656620403</v>
      </c>
      <c r="DT70" s="59">
        <f ca="1">AVERAGE(OFFSET($DS$3,0,0,'Données projet'!$E$14+1,1))-AVERAGE(OFFSET($H$3,0,0,'Données projet'!$E$14+1,1))</f>
        <v>96.611230241682733</v>
      </c>
      <c r="DU70" s="59">
        <f t="shared" si="98"/>
        <v>78.711045514042041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3.1798666744672395</v>
      </c>
      <c r="EC70" s="21">
        <f>EXP(-LN(2)/2)*EC69+(1-EXP(-LN(2)/2))/(LN(2)/2)*DW70*DZ70*VLOOKUP('Données projet'!$B$14,Paramètres!$A$1:$I$89,3,0)*0.475*44/12</f>
        <v>1.1156918856457119</v>
      </c>
      <c r="ED70" s="22">
        <f t="shared" si="72"/>
        <v>4.2955585601129513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13.296703296703283</v>
      </c>
      <c r="EJ70" s="12">
        <f>IF('Données projet'!$A$192&gt;35,EJ69+EI70-ER69,IF(A70&lt;'Données projet'!$A$192,$EG$205^A70,IF(A70='Données projet'!$A$192,'Données projet'!$B$192,EJ69+EI70-ER69)))</f>
        <v>429.17912087912083</v>
      </c>
      <c r="EK70" s="17">
        <f>EJ70*VLOOKUP('Données projet'!$B$15,Paramètres!$A$1:$I$89,3,0)*VLOOKUP('Données projet'!$B$15,Paramètres!$A$1:$I$89,5,0)</f>
        <v>189.69717142857141</v>
      </c>
      <c r="EL70" s="13">
        <f t="shared" si="99"/>
        <v>47.472995539561055</v>
      </c>
      <c r="EM70" s="20">
        <f t="shared" si="73"/>
        <v>413.07137413616397</v>
      </c>
      <c r="EN70" s="59">
        <f t="shared" si="74"/>
        <v>706.40470746949723</v>
      </c>
      <c r="EO70" s="59">
        <f ca="1">AVERAGE(OFFSET($EN$3,0,0,'Données projet'!$E$15+1,1))-AVERAGE(OFFSET($H$3,0,0,'Données projet'!$E$15+1,1))</f>
        <v>188.61152573050066</v>
      </c>
      <c r="EP70" s="59">
        <f t="shared" si="100"/>
        <v>172.37050503841624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64.240517447445399</v>
      </c>
      <c r="EW70" s="21">
        <f>EXP(-LN(2)/25)*EW69+(1-EXP(-LN(2)/25))/(LN(2)/25)*Calculateur!ER70*Calculateur!ET70*VLOOKUP('Données projet'!$B$15,Paramètres!$A$1:$I$89,3,0)*0.475*44/12</f>
        <v>20.121066252613566</v>
      </c>
      <c r="EX70" s="21">
        <f>EXP(-LN(2)/2)*EX69+(1-EXP(-LN(2)/2))/(LN(2)/2)*ER70*EU70*VLOOKUP('Données projet'!$B$15,Paramètres!$A$1:$I$89,3,0)*0.475*44/12</f>
        <v>1.4400330360486091</v>
      </c>
      <c r="EY70" s="22">
        <f t="shared" si="75"/>
        <v>85.801616736107562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>
        <f>FE70*VLOOKUP('Données projet'!$B$16,Paramètres!$A$1:$I$89,3,0)*VLOOKUP('Données projet'!$B$16,Paramètres!$A$1:$I$89,5,0)</f>
        <v>0</v>
      </c>
      <c r="FG70" s="13" t="e">
        <f t="shared" si="101"/>
        <v>#NUM!</v>
      </c>
      <c r="FH70" s="20" t="e">
        <f t="shared" si="76"/>
        <v>#NUM!</v>
      </c>
      <c r="FI70" s="59" t="e">
        <f t="shared" si="77"/>
        <v>#NUM!</v>
      </c>
      <c r="FJ70" s="59">
        <f ca="1">AVERAGE(OFFSET($FI$3,0,0,'Données projet'!$E$16+1,1))-AVERAGE(OFFSET($H$3,0,0,'Données projet'!$E$16+1,1))</f>
        <v>0</v>
      </c>
      <c r="FK70" s="59">
        <f t="shared" si="102"/>
        <v>0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0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197.78572767493569</v>
      </c>
      <c r="T71" s="59">
        <f t="shared" si="88"/>
        <v>288.66487031729008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3.8</v>
      </c>
      <c r="AI71" s="13">
        <f>IF('Données projet'!$A$62&gt;35,AI70+AH71-AQ70,IF(A71&lt;'Données projet'!$A$62,$AF$205^A71,IF(A71='Données projet'!$A$62,'Données projet'!$B$62,AI70+AH71-AQ70)))</f>
        <v>255.39999999999986</v>
      </c>
      <c r="AJ71" s="13">
        <f>AI71*VLOOKUP('Données projet'!$B$10,Paramètres!$A$1:$I$89,3,0)*VLOOKUP('Données projet'!$B$10,Paramètres!$A$1:$I$89,5,0)</f>
        <v>203.1962399999999</v>
      </c>
      <c r="AK71" s="13">
        <f t="shared" si="89"/>
        <v>50.445955049216174</v>
      </c>
      <c r="AL71" s="20">
        <f t="shared" si="58"/>
        <v>441.76015637738465</v>
      </c>
      <c r="AM71" s="59">
        <f t="shared" si="59"/>
        <v>735.0934897107179</v>
      </c>
      <c r="AN71" s="59">
        <f ca="1">AVERAGE(OFFSET($AM$3,0,0,'Données projet'!$E$10+1,1))-AVERAGE(OFFSET($H$3,0,0,'Données projet'!$E$10+1,1))</f>
        <v>219.43439115440339</v>
      </c>
      <c r="AO71" s="59">
        <f t="shared" si="90"/>
        <v>217.8880462742099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23.699284202298252</v>
      </c>
      <c r="AV71" s="21">
        <f>EXP(-LN(2)/25)*AV70+(1-EXP(-LN(2)/25))/(LN(2)/25)*Calculateur!AQ71*Calculateur!AS71*VLOOKUP('Données projet'!$B$10,Paramètres!$A$1:$I$89,3,0)*0.475*44/12</f>
        <v>9.8943167434458772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33.593600945744129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3.4</v>
      </c>
      <c r="BD71" s="12">
        <f>IF('Données projet'!$A$88&gt;35,BD70+BC71-BL70,IF(A71&lt;'Données projet'!$A$88,$BA$205^A71,IF(A71='Données projet'!$A$88,'Données projet'!$B$88,BD70+BC71-BL70)))</f>
        <v>169.2</v>
      </c>
      <c r="BE71" s="13">
        <f>BD71*VLOOKUP('Données projet'!$B$11,Paramètres!$A$1:$I$89,3,0)*VLOOKUP('Données projet'!$B$11,Paramètres!$A$1:$I$89,5,0)</f>
        <v>147.81312000000003</v>
      </c>
      <c r="BF71" s="13">
        <f t="shared" si="91"/>
        <v>38.081185298782486</v>
      </c>
      <c r="BG71" s="20">
        <f t="shared" si="61"/>
        <v>323.76591506204619</v>
      </c>
      <c r="BH71" s="59">
        <f t="shared" si="62"/>
        <v>617.0992483953795</v>
      </c>
      <c r="BI71" s="59">
        <f ca="1">AVERAGE(OFFSET($BH$3,0,0,'Données projet'!$E$11+1,1))-AVERAGE(OFFSET($H$3,0,0,'Données projet'!$E$11+1,1))</f>
        <v>175.73188403662408</v>
      </c>
      <c r="BJ71" s="59">
        <f t="shared" si="92"/>
        <v>152.02195399869032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1.878308213714442</v>
      </c>
      <c r="BQ71" s="21">
        <f>EXP(-LN(2)/25)*BQ70+(1-EXP(-LN(2)/25))/(LN(2)/25)*Calculateur!BL71*Calculateur!BN71*VLOOKUP('Données projet'!$B$11,Paramètres!$A$1:$I$89,3,0)*0.475*44/12</f>
        <v>7.8832962389809333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9.7616044526953747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5.6899038461538431</v>
      </c>
      <c r="BY71" s="12">
        <f>IF('Données projet'!$A$114&gt;35,BY70+BX71-CG70,IF(A71&lt;'Données projet'!$A$114,$BV$205^A71,IF(A71='Données projet'!$A$114,'Données projet'!$B$114,BY70+BX71-CG70)))</f>
        <v>141.55528846153845</v>
      </c>
      <c r="BZ71" s="13">
        <f>BY71*VLOOKUP('Données projet'!$B$12,Paramètres!$A$1:$I$89,3,0)*VLOOKUP('Données projet'!$B$12,Paramètres!$A$1:$I$89,5,0)</f>
        <v>128.07922499999998</v>
      </c>
      <c r="CA71" s="13">
        <f t="shared" si="93"/>
        <v>33.552140849481908</v>
      </c>
      <c r="CB71" s="20">
        <f t="shared" si="64"/>
        <v>281.50796218784762</v>
      </c>
      <c r="CC71" s="59">
        <f t="shared" si="65"/>
        <v>574.84129552118088</v>
      </c>
      <c r="CD71" s="59">
        <f ca="1">AVERAGE(OFFSET($CC$3,0,0,'Données projet'!$E$12+1,1))-AVERAGE(OFFSET($H$3,0,0,'Données projet'!$E$12+1,1))</f>
        <v>213.54857791046686</v>
      </c>
      <c r="CE71" s="59">
        <f t="shared" si="94"/>
        <v>138.46877538074244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2.6</v>
      </c>
      <c r="CT71" s="12">
        <f>IF('Données projet'!$A$140&gt;35,CT70+CS71-DB70,IF(A71&lt;'Données projet'!$A$140,$CQ$205^A71,IF(A71='Données projet'!$A$140,'Données projet'!$B$140,CT70+CS71-DB70)))</f>
        <v>201.8</v>
      </c>
      <c r="CU71" s="17">
        <f>CT71*VLOOKUP('Données projet'!$B$13,Paramètres!$A$1:$I$89,3,0)*VLOOKUP('Données projet'!$B$13,Paramètres!$A$1:$I$89,5,0)</f>
        <v>160.55208000000002</v>
      </c>
      <c r="CV71" s="13">
        <f t="shared" si="95"/>
        <v>40.967013617152439</v>
      </c>
      <c r="CW71" s="20">
        <f t="shared" si="67"/>
        <v>350.97908804987384</v>
      </c>
      <c r="CX71" s="59">
        <f t="shared" si="68"/>
        <v>644.31242138320715</v>
      </c>
      <c r="CY71" s="59">
        <f ca="1">AVERAGE(OFFSET($CX$3,0,0,'Données projet'!$E$13+1,1))-AVERAGE(OFFSET($H$3,0,0,'Données projet'!$E$13+1,1))</f>
        <v>161.87883827031436</v>
      </c>
      <c r="CZ71" s="59">
        <f t="shared" si="96"/>
        <v>163.02076389611869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7.3776854533152711</v>
      </c>
      <c r="DG71" s="21">
        <f>EXP(-LN(2)/25)*DG70+(1-EXP(-LN(2)/25))/(LN(2)/25)*Calculateur!DB71*Calculateur!DD71*VLOOKUP('Données projet'!$B$13,Paramètres!$A$1:$I$89,3,0)*0.475*44/12</f>
        <v>9.410317219659003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16.788002672974272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2.8</v>
      </c>
      <c r="DO71" s="12">
        <f>IF('Données projet'!$A$166&gt;35,DO70+DN71-DW70,IF(A71&lt;'Données projet'!$A$166,$DL$205^A71,IF(A71='Données projet'!$A$166,'Données projet'!$B$166,DO70+DN71-DW70)))</f>
        <v>130.4</v>
      </c>
      <c r="DP71" s="17">
        <f>DO71*VLOOKUP('Données projet'!$B$14,Paramètres!$A$1:$I$89,3,0)*VLOOKUP('Données projet'!$B$14,Paramètres!$A$1:$I$89,5,0)</f>
        <v>105.78048000000001</v>
      </c>
      <c r="DQ71" s="13">
        <f t="shared" si="97"/>
        <v>28.334580954973664</v>
      </c>
      <c r="DR71" s="20">
        <f t="shared" si="70"/>
        <v>233.5837311632458</v>
      </c>
      <c r="DS71" s="59">
        <f t="shared" si="71"/>
        <v>526.91706449657909</v>
      </c>
      <c r="DT71" s="59">
        <f ca="1">AVERAGE(OFFSET($DS$3,0,0,'Données projet'!$E$14+1,1))-AVERAGE(OFFSET($H$3,0,0,'Données projet'!$E$14+1,1))</f>
        <v>96.611230241682733</v>
      </c>
      <c r="DU71" s="59">
        <f t="shared" si="98"/>
        <v>78.711045514042041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3.0929130530320119</v>
      </c>
      <c r="EC71" s="21">
        <f>EXP(-LN(2)/2)*EC70+(1-EXP(-LN(2)/2))/(LN(2)/2)*DW71*DZ71*VLOOKUP('Données projet'!$B$14,Paramètres!$A$1:$I$89,3,0)*0.475*44/12</f>
        <v>0.78891329805488908</v>
      </c>
      <c r="ED71" s="22">
        <f t="shared" si="72"/>
        <v>3.8818263510869011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13.296703296703283</v>
      </c>
      <c r="EJ71" s="12">
        <f>IF('Données projet'!$A$192&gt;35,EJ70+EI71-ER70,IF(A71&lt;'Données projet'!$A$192,$EG$205^A71,IF(A71='Données projet'!$A$192,'Données projet'!$B$192,EJ70+EI71-ER70)))</f>
        <v>442.47582417582413</v>
      </c>
      <c r="EK71" s="17">
        <f>EJ71*VLOOKUP('Données projet'!$B$15,Paramètres!$A$1:$I$89,3,0)*VLOOKUP('Données projet'!$B$15,Paramètres!$A$1:$I$89,5,0)</f>
        <v>195.57431428571428</v>
      </c>
      <c r="EL71" s="13">
        <f t="shared" si="99"/>
        <v>48.770272892364588</v>
      </c>
      <c r="EM71" s="20">
        <f t="shared" si="73"/>
        <v>425.56682266848742</v>
      </c>
      <c r="EN71" s="59">
        <f t="shared" si="74"/>
        <v>718.90015600182073</v>
      </c>
      <c r="EO71" s="59">
        <f ca="1">AVERAGE(OFFSET($EN$3,0,0,'Données projet'!$E$15+1,1))-AVERAGE(OFFSET($H$3,0,0,'Données projet'!$E$15+1,1))</f>
        <v>188.61152573050066</v>
      </c>
      <c r="EP71" s="59">
        <f t="shared" si="100"/>
        <v>172.37050503841624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62.980800083147649</v>
      </c>
      <c r="EW71" s="21">
        <f>EXP(-LN(2)/25)*EW70+(1-EXP(-LN(2)/25))/(LN(2)/25)*Calculateur!ER71*Calculateur!ET71*VLOOKUP('Données projet'!$B$15,Paramètres!$A$1:$I$89,3,0)*0.475*44/12</f>
        <v>19.570854637814961</v>
      </c>
      <c r="EX71" s="21">
        <f>EXP(-LN(2)/2)*EX70+(1-EXP(-LN(2)/2))/(LN(2)/2)*ER71*EU71*VLOOKUP('Données projet'!$B$15,Paramètres!$A$1:$I$89,3,0)*0.475*44/12</f>
        <v>1.0182571249226235</v>
      </c>
      <c r="EY71" s="22">
        <f t="shared" si="75"/>
        <v>83.56991184588523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>
        <f>FE71*VLOOKUP('Données projet'!$B$16,Paramètres!$A$1:$I$89,3,0)*VLOOKUP('Données projet'!$B$16,Paramètres!$A$1:$I$89,5,0)</f>
        <v>0</v>
      </c>
      <c r="FG71" s="13" t="e">
        <f t="shared" si="101"/>
        <v>#NUM!</v>
      </c>
      <c r="FH71" s="20" t="e">
        <f t="shared" si="76"/>
        <v>#NUM!</v>
      </c>
      <c r="FI71" s="59" t="e">
        <f t="shared" si="77"/>
        <v>#NUM!</v>
      </c>
      <c r="FJ71" s="59">
        <f ca="1">AVERAGE(OFFSET($FI$3,0,0,'Données projet'!$E$16+1,1))-AVERAGE(OFFSET($H$3,0,0,'Données projet'!$E$16+1,1))</f>
        <v>0</v>
      </c>
      <c r="FK71" s="59">
        <f t="shared" si="102"/>
        <v>0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0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197.78572767493569</v>
      </c>
      <c r="T72" s="59">
        <f t="shared" si="88"/>
        <v>288.66487031729008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3.8</v>
      </c>
      <c r="AI72" s="13">
        <f>IF('Données projet'!$A$62&gt;35,AI71+AH72-AQ71,IF(A72&lt;'Données projet'!$A$62,$AF$205^A72,IF(A72='Données projet'!$A$62,'Données projet'!$B$62,AI71+AH72-AQ71)))</f>
        <v>259.19999999999987</v>
      </c>
      <c r="AJ72" s="13">
        <f>AI72*VLOOKUP('Données projet'!$B$10,Paramètres!$A$1:$I$89,3,0)*VLOOKUP('Données projet'!$B$10,Paramètres!$A$1:$I$89,5,0)</f>
        <v>206.21951999999993</v>
      </c>
      <c r="AK72" s="13">
        <f t="shared" si="89"/>
        <v>51.10858428464028</v>
      </c>
      <c r="AL72" s="20">
        <f t="shared" si="58"/>
        <v>448.17978162908167</v>
      </c>
      <c r="AM72" s="59">
        <f t="shared" si="59"/>
        <v>741.51311496241499</v>
      </c>
      <c r="AN72" s="59">
        <f ca="1">AVERAGE(OFFSET($AM$3,0,0,'Données projet'!$E$10+1,1))-AVERAGE(OFFSET($H$3,0,0,'Données projet'!$E$10+1,1))</f>
        <v>219.43439115440339</v>
      </c>
      <c r="AO72" s="59">
        <f t="shared" si="90"/>
        <v>217.8880462742099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23.234555694227222</v>
      </c>
      <c r="AV72" s="21">
        <f>EXP(-LN(2)/25)*AV71+(1-EXP(-LN(2)/25))/(LN(2)/25)*Calculateur!AQ72*Calculateur!AS72*VLOOKUP('Données projet'!$B$10,Paramètres!$A$1:$I$89,3,0)*0.475*44/12</f>
        <v>9.6237561317768456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32.858311826004069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3.4</v>
      </c>
      <c r="BD72" s="12">
        <f>IF('Données projet'!$A$88&gt;35,BD71+BC72-BL71,IF(A72&lt;'Données projet'!$A$88,$BA$205^A72,IF(A72='Données projet'!$A$88,'Données projet'!$B$88,BD71+BC72-BL71)))</f>
        <v>172.6</v>
      </c>
      <c r="BE72" s="13">
        <f>BD72*VLOOKUP('Données projet'!$B$11,Paramètres!$A$1:$I$89,3,0)*VLOOKUP('Données projet'!$B$11,Paramètres!$A$1:$I$89,5,0)</f>
        <v>150.78336000000002</v>
      </c>
      <c r="BF72" s="13">
        <f t="shared" si="91"/>
        <v>38.756552988230183</v>
      </c>
      <c r="BG72" s="20">
        <f t="shared" si="61"/>
        <v>330.11534845450086</v>
      </c>
      <c r="BH72" s="59">
        <f t="shared" si="62"/>
        <v>623.44868178783418</v>
      </c>
      <c r="BI72" s="59">
        <f ca="1">AVERAGE(OFFSET($BH$3,0,0,'Données projet'!$E$11+1,1))-AVERAGE(OFFSET($H$3,0,0,'Données projet'!$E$11+1,1))</f>
        <v>175.73188403662408</v>
      </c>
      <c r="BJ72" s="59">
        <f t="shared" si="92"/>
        <v>152.02195399869032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1.8414757352983881</v>
      </c>
      <c r="BQ72" s="21">
        <f>EXP(-LN(2)/25)*BQ71+(1-EXP(-LN(2)/25))/(LN(2)/25)*Calculateur!BL72*Calculateur!BN72*VLOOKUP('Données projet'!$B$11,Paramètres!$A$1:$I$89,3,0)*0.475*44/12</f>
        <v>7.6677270887614677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9.5092028240598552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5.6899038461538431</v>
      </c>
      <c r="BY72" s="12">
        <f>IF('Données projet'!$A$114&gt;35,BY71+BX72-CG71,IF(A72&lt;'Données projet'!$A$114,$BV$205^A72,IF(A72='Données projet'!$A$114,'Données projet'!$B$114,BY71+BX72-CG71)))</f>
        <v>147.24519230769229</v>
      </c>
      <c r="BZ72" s="13">
        <f>BY72*VLOOKUP('Données projet'!$B$12,Paramètres!$A$1:$I$89,3,0)*VLOOKUP('Données projet'!$B$12,Paramètres!$A$1:$I$89,5,0)</f>
        <v>133.22744999999998</v>
      </c>
      <c r="CA72" s="13">
        <f t="shared" si="93"/>
        <v>34.741060528773644</v>
      </c>
      <c r="CB72" s="20">
        <f t="shared" si="64"/>
        <v>292.545155837614</v>
      </c>
      <c r="CC72" s="59">
        <f t="shared" si="65"/>
        <v>585.87848917094732</v>
      </c>
      <c r="CD72" s="59">
        <f ca="1">AVERAGE(OFFSET($CC$3,0,0,'Données projet'!$E$12+1,1))-AVERAGE(OFFSET($H$3,0,0,'Données projet'!$E$12+1,1))</f>
        <v>213.54857791046686</v>
      </c>
      <c r="CE72" s="59">
        <f t="shared" si="94"/>
        <v>138.46877538074244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2.6</v>
      </c>
      <c r="CT72" s="12">
        <f>IF('Données projet'!$A$140&gt;35,CT71+CS72-DB71,IF(A72&lt;'Données projet'!$A$140,$CQ$205^A72,IF(A72='Données projet'!$A$140,'Données projet'!$B$140,CT71+CS72-DB71)))</f>
        <v>204.4</v>
      </c>
      <c r="CU72" s="17">
        <f>CT72*VLOOKUP('Données projet'!$B$13,Paramètres!$A$1:$I$89,3,0)*VLOOKUP('Données projet'!$B$13,Paramètres!$A$1:$I$89,5,0)</f>
        <v>162.62064000000001</v>
      </c>
      <c r="CV72" s="13">
        <f t="shared" si="95"/>
        <v>41.433048015026095</v>
      </c>
      <c r="CW72" s="20">
        <f t="shared" si="67"/>
        <v>355.39350662617045</v>
      </c>
      <c r="CX72" s="59">
        <f t="shared" si="68"/>
        <v>648.72683995950376</v>
      </c>
      <c r="CY72" s="59">
        <f ca="1">AVERAGE(OFFSET($CX$3,0,0,'Données projet'!$E$13+1,1))-AVERAGE(OFFSET($H$3,0,0,'Données projet'!$E$13+1,1))</f>
        <v>161.87883827031436</v>
      </c>
      <c r="CZ72" s="59">
        <f t="shared" si="96"/>
        <v>163.02076389611869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7.2330135415195524</v>
      </c>
      <c r="DG72" s="21">
        <f>EXP(-LN(2)/25)*DG71+(1-EXP(-LN(2)/25))/(LN(2)/25)*Calculateur!DB72*Calculateur!DD72*VLOOKUP('Données projet'!$B$13,Paramètres!$A$1:$I$89,3,0)*0.475*44/12</f>
        <v>9.1529916004203518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16.386005141939904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2.8</v>
      </c>
      <c r="DO72" s="12">
        <f>IF('Données projet'!$A$166&gt;35,DO71+DN72-DW71,IF(A72&lt;'Données projet'!$A$166,$DL$205^A72,IF(A72='Données projet'!$A$166,'Données projet'!$B$166,DO71+DN72-DW71)))</f>
        <v>133.20000000000002</v>
      </c>
      <c r="DP72" s="17">
        <f>DO72*VLOOKUP('Données projet'!$B$14,Paramètres!$A$1:$I$89,3,0)*VLOOKUP('Données projet'!$B$14,Paramètres!$A$1:$I$89,5,0)</f>
        <v>108.05184000000001</v>
      </c>
      <c r="DQ72" s="13">
        <f t="shared" si="97"/>
        <v>28.871506616044705</v>
      </c>
      <c r="DR72" s="20">
        <f t="shared" si="70"/>
        <v>238.47482868961117</v>
      </c>
      <c r="DS72" s="59">
        <f t="shared" si="71"/>
        <v>531.80816202294454</v>
      </c>
      <c r="DT72" s="59">
        <f ca="1">AVERAGE(OFFSET($DS$3,0,0,'Données projet'!$E$14+1,1))-AVERAGE(OFFSET($H$3,0,0,'Données projet'!$E$14+1,1))</f>
        <v>96.611230241682733</v>
      </c>
      <c r="DU72" s="59">
        <f t="shared" si="98"/>
        <v>78.711045514042041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3.0083371829476229</v>
      </c>
      <c r="EC72" s="21">
        <f>EXP(-LN(2)/2)*EC71+(1-EXP(-LN(2)/2))/(LN(2)/2)*DW72*DZ72*VLOOKUP('Données projet'!$B$14,Paramètres!$A$1:$I$89,3,0)*0.475*44/12</f>
        <v>0.55784594282285604</v>
      </c>
      <c r="ED72" s="22">
        <f t="shared" si="72"/>
        <v>3.566183125770479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13.296703296703283</v>
      </c>
      <c r="EJ72" s="12">
        <f>IF('Données projet'!$A$192&gt;35,EJ71+EI72-ER71,IF(A72&lt;'Données projet'!$A$192,$EG$205^A72,IF(A72='Données projet'!$A$192,'Données projet'!$B$192,EJ71+EI72-ER71)))</f>
        <v>455.77252747252743</v>
      </c>
      <c r="EK72" s="17">
        <f>EJ72*VLOOKUP('Données projet'!$B$15,Paramètres!$A$1:$I$89,3,0)*VLOOKUP('Données projet'!$B$15,Paramètres!$A$1:$I$89,5,0)</f>
        <v>201.45145714285715</v>
      </c>
      <c r="EL72" s="13">
        <f t="shared" si="99"/>
        <v>50.063019705071831</v>
      </c>
      <c r="EM72" s="20">
        <f t="shared" si="73"/>
        <v>438.05438051014295</v>
      </c>
      <c r="EN72" s="59">
        <f t="shared" si="74"/>
        <v>731.38771384347626</v>
      </c>
      <c r="EO72" s="59">
        <f ca="1">AVERAGE(OFFSET($EN$3,0,0,'Données projet'!$E$15+1,1))-AVERAGE(OFFSET($H$3,0,0,'Données projet'!$E$15+1,1))</f>
        <v>188.61152573050066</v>
      </c>
      <c r="EP72" s="59">
        <f t="shared" si="100"/>
        <v>172.37050503841624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61.745785008012056</v>
      </c>
      <c r="EW72" s="21">
        <f>EXP(-LN(2)/25)*EW71+(1-EXP(-LN(2)/25))/(LN(2)/25)*Calculateur!ER72*Calculateur!ET72*VLOOKUP('Données projet'!$B$15,Paramètres!$A$1:$I$89,3,0)*0.475*44/12</f>
        <v>19.035688588557395</v>
      </c>
      <c r="EX72" s="21">
        <f>EXP(-LN(2)/2)*EX71+(1-EXP(-LN(2)/2))/(LN(2)/2)*ER72*EU72*VLOOKUP('Données projet'!$B$15,Paramètres!$A$1:$I$89,3,0)*0.475*44/12</f>
        <v>0.72001651802430455</v>
      </c>
      <c r="EY72" s="22">
        <f t="shared" si="75"/>
        <v>81.501490114593764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>
        <f>FE72*VLOOKUP('Données projet'!$B$16,Paramètres!$A$1:$I$89,3,0)*VLOOKUP('Données projet'!$B$16,Paramètres!$A$1:$I$89,5,0)</f>
        <v>0</v>
      </c>
      <c r="FG72" s="13" t="e">
        <f t="shared" si="101"/>
        <v>#NUM!</v>
      </c>
      <c r="FH72" s="20" t="e">
        <f t="shared" si="76"/>
        <v>#NUM!</v>
      </c>
      <c r="FI72" s="59" t="e">
        <f t="shared" si="77"/>
        <v>#NUM!</v>
      </c>
      <c r="FJ72" s="59">
        <f ca="1">AVERAGE(OFFSET($FI$3,0,0,'Données projet'!$E$16+1,1))-AVERAGE(OFFSET($H$3,0,0,'Données projet'!$E$16+1,1))</f>
        <v>0</v>
      </c>
      <c r="FK72" s="59">
        <f t="shared" si="102"/>
        <v>0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0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197.78572767493569</v>
      </c>
      <c r="T73" s="59">
        <f t="shared" si="88"/>
        <v>288.66487031729008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3.8</v>
      </c>
      <c r="AH73" s="12">
        <f t="array" ref="AH73">INDEX(AG:AG,MIN(IF(ISNUMBER(AG73:AG269),ROW(AG73:AG269),"")))</f>
        <v>3.8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209.2427999999999</v>
      </c>
      <c r="AK73" s="13">
        <f t="shared" si="89"/>
        <v>51.770083677016814</v>
      </c>
      <c r="AL73" s="20">
        <f t="shared" si="58"/>
        <v>454.59743907080406</v>
      </c>
      <c r="AM73" s="59">
        <f t="shared" si="59"/>
        <v>747.93077240413731</v>
      </c>
      <c r="AN73" s="59">
        <f ca="1">AVERAGE(OFFSET($AM$3,0,0,'Données projet'!$E$10+1,1))-AVERAGE(OFFSET($H$3,0,0,'Données projet'!$E$10+1,1))</f>
        <v>219.43439115440339</v>
      </c>
      <c r="AO73" s="59">
        <f t="shared" si="90"/>
        <v>217.8880462742099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10</v>
      </c>
      <c r="AR73" s="16">
        <f>IF(ISNA(VLOOKUP(A73,'Données projet'!$A$61:$I$81,5,0)),0%,VLOOKUP(A73,'Données projet'!$A$61:$I$81,5,0)*VLOOKUP('Données projet'!$B$10,Paramètres!$A$1:$I$89,7,0))</f>
        <v>0.47700000000000004</v>
      </c>
      <c r="AS73" s="16">
        <f>IF(ISNA(VLOOKUP(A73,'Données projet'!$A$61:$I$81,6,0)),0%,VLOOKUP(A73,'Données projet'!$A$61:$I$81,6,0)*VLOOKUP('Données projet'!$B$10,Paramètres!$A$1:$I$89,7,0))</f>
        <v>5.3000000000000005E-2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26.974213584715166</v>
      </c>
      <c r="AV73" s="21">
        <f>EXP(-LN(2)/25)*AV72+(1-EXP(-LN(2)/25))/(LN(2)/25)*Calculateur!AQ73*Calculateur!AS73*VLOOKUP('Données projet'!$B$10,Paramètres!$A$1:$I$89,3,0)*0.475*44/12</f>
        <v>9.8249001216226421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36.799113706337806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176</v>
      </c>
      <c r="BB73" s="12">
        <f>VLOOKUP(A73,'Données projet'!$A$87:$I$107,9,0)</f>
        <v>3.4</v>
      </c>
      <c r="BC73" s="12">
        <f t="array" ref="BC73">INDEX(BB:BB,MIN(IF(ISNUMBER(BB73:BB269),ROW(BB73:BB269),"")))</f>
        <v>3.4</v>
      </c>
      <c r="BD73" s="12">
        <f>IF('Données projet'!$A$88&gt;35,BD72+BC73-BL72,IF(A73&lt;'Données projet'!$A$88,$BA$205^A73,IF(A73='Données projet'!$A$88,'Données projet'!$B$88,BD72+BC73-BL72)))</f>
        <v>176</v>
      </c>
      <c r="BE73" s="13">
        <f>BD73*VLOOKUP('Données projet'!$B$11,Paramètres!$A$1:$I$89,3,0)*VLOOKUP('Données projet'!$B$11,Paramètres!$A$1:$I$89,5,0)</f>
        <v>153.75360000000001</v>
      </c>
      <c r="BF73" s="13">
        <f t="shared" si="91"/>
        <v>39.430373774012359</v>
      </c>
      <c r="BG73" s="20">
        <f t="shared" si="61"/>
        <v>336.46208765640489</v>
      </c>
      <c r="BH73" s="59">
        <f t="shared" si="62"/>
        <v>629.7954209897382</v>
      </c>
      <c r="BI73" s="59">
        <f ca="1">AVERAGE(OFFSET($BH$3,0,0,'Données projet'!$E$11+1,1))-AVERAGE(OFFSET($H$3,0,0,'Données projet'!$E$11+1,1))</f>
        <v>175.73188403662408</v>
      </c>
      <c r="BJ73" s="59">
        <f t="shared" si="92"/>
        <v>152.02195399869032</v>
      </c>
      <c r="BK73" s="15">
        <f>IF(ISNA(VLOOKUP(A73,'Données projet'!$A$87:$I$107,3,0)),0,VLOOKUP(A73,'Données projet'!$A$87:$I$107,3,0))</f>
        <v>10</v>
      </c>
      <c r="BL73" s="15" t="str">
        <f>IF(ISNA(VLOOKUP(A73,'Données projet'!$A$87:$I$107,4,0)),0,VLOOKUP(A73,'Données projet'!$A$87:$I$107,4,0))</f>
        <v>11</v>
      </c>
      <c r="BM73" s="16">
        <f>IF(ISNA(VLOOKUP(A73,'Données projet'!$A$87:$I$107,5,0)),0%,VLOOKUP(A73,'Données projet'!$A$87:$I$107,5,0)*VLOOKUP('Données projet'!$B$11,Paramètres!$A$1:$I$89,7,0))</f>
        <v>0.17200000000000001</v>
      </c>
      <c r="BN73" s="16">
        <f>IF(ISNA(VLOOKUP(A73,'Données projet'!$A$87:$I$107,6,0)),0%,VLOOKUP(A73,'Données projet'!$A$87:$I$107,6,0)*VLOOKUP('Données projet'!$B$11,Paramètres!$A$1:$I$89,7,0))</f>
        <v>0.17200000000000001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3.6325435626939719</v>
      </c>
      <c r="BQ73" s="21">
        <f>EXP(-LN(2)/25)*BQ72+(1-EXP(-LN(2)/25))/(LN(2)/25)*Calculateur!BL73*Calculateur!BN73*VLOOKUP('Données projet'!$B$11,Paramètres!$A$1:$I$89,3,0)*0.475*44/12</f>
        <v>9.2780364355003488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12.91057999819432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5.6899038461538431</v>
      </c>
      <c r="BY73" s="12">
        <f>IF('Données projet'!$A$114&gt;35,BY72+BX73-CG72,IF(A73&lt;'Données projet'!$A$114,$BV$205^A73,IF(A73='Données projet'!$A$114,'Données projet'!$B$114,BY72+BX73-CG72)))</f>
        <v>152.93509615384613</v>
      </c>
      <c r="BZ73" s="13">
        <f>BY73*VLOOKUP('Données projet'!$B$12,Paramètres!$A$1:$I$89,3,0)*VLOOKUP('Données projet'!$B$12,Paramètres!$A$1:$I$89,5,0)</f>
        <v>138.37567499999997</v>
      </c>
      <c r="CA73" s="13">
        <f t="shared" si="93"/>
        <v>35.924643086227974</v>
      </c>
      <c r="CB73" s="20">
        <f t="shared" si="64"/>
        <v>303.57305400018032</v>
      </c>
      <c r="CC73" s="59">
        <f t="shared" si="65"/>
        <v>596.90638733351363</v>
      </c>
      <c r="CD73" s="59">
        <f ca="1">AVERAGE(OFFSET($CC$3,0,0,'Données projet'!$E$12+1,1))-AVERAGE(OFFSET($H$3,0,0,'Données projet'!$E$12+1,1))</f>
        <v>213.54857791046686</v>
      </c>
      <c r="CE73" s="59">
        <f t="shared" si="94"/>
        <v>138.46877538074244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207</v>
      </c>
      <c r="CR73" s="12">
        <f>VLOOKUP(A73,'Données projet'!$A$139:$I$159,9,0)</f>
        <v>2.6</v>
      </c>
      <c r="CS73" s="12">
        <f t="array" ref="CS73">INDEX(CR:CR,MIN(IF(ISNUMBER(CR73:CR269),ROW(CR73:CR269),"")))</f>
        <v>2.6</v>
      </c>
      <c r="CT73" s="12">
        <f>IF('Données projet'!$A$140&gt;35,CT72+CS73-DB72,IF(A73&lt;'Données projet'!$A$140,$CQ$205^A73,IF(A73='Données projet'!$A$140,'Données projet'!$B$140,CT72+CS73-DB72)))</f>
        <v>207</v>
      </c>
      <c r="CU73" s="17">
        <f>CT73*VLOOKUP('Données projet'!$B$13,Paramètres!$A$1:$I$89,3,0)*VLOOKUP('Données projet'!$B$13,Paramètres!$A$1:$I$89,5,0)</f>
        <v>164.68920000000003</v>
      </c>
      <c r="CV73" s="13">
        <f t="shared" si="95"/>
        <v>41.898392881067181</v>
      </c>
      <c r="CW73" s="20">
        <f t="shared" si="67"/>
        <v>359.80672426785873</v>
      </c>
      <c r="CX73" s="59">
        <f t="shared" si="68"/>
        <v>653.14005760119198</v>
      </c>
      <c r="CY73" s="59">
        <f ca="1">AVERAGE(OFFSET($CX$3,0,0,'Données projet'!$E$13+1,1))-AVERAGE(OFFSET($H$3,0,0,'Données projet'!$E$13+1,1))</f>
        <v>161.87883827031436</v>
      </c>
      <c r="CZ73" s="59">
        <f t="shared" si="96"/>
        <v>163.02076389611869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6</v>
      </c>
      <c r="DC73" s="16">
        <f>IF(ISNA(VLOOKUP(A73,'Données projet'!$A$139:$I$159,5,0)),0%,VLOOKUP(A73,'Données projet'!$A$139:$I$159,5,0)*VLOOKUP('Données projet'!$B$13,Paramètres!$A$1:$I$89,7,0))</f>
        <v>0.43990000000000001</v>
      </c>
      <c r="DD73" s="16">
        <f>IF(ISNA(VLOOKUP(A73,'Données projet'!$A$139:$I$159,6,0)),0%,VLOOKUP(A73,'Données projet'!$A$139:$I$159,6,0)*VLOOKUP('Données projet'!$B$13,Paramètres!$A$1:$I$89,7,0))</f>
        <v>0.17490000000000003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9.4125631479775578</v>
      </c>
      <c r="DG73" s="21">
        <f>EXP(-LN(2)/25)*DG72+(1-EXP(-LN(2)/25))/(LN(2)/25)*Calculateur!DB73*Calculateur!DD73*VLOOKUP('Données projet'!$B$13,Paramètres!$A$1:$I$89,3,0)*0.475*44/12</f>
        <v>9.8220286563458856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19.234591804323443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136</v>
      </c>
      <c r="DM73" s="12">
        <f>VLOOKUP(A73,'Données projet'!$A$165:$I$185,9,0)</f>
        <v>2.8</v>
      </c>
      <c r="DN73" s="12">
        <f t="array" ref="DN73">INDEX(DM:DM,MIN(IF(ISNUMBER(DM73:DM269),ROW(DM73:DM269),"")))</f>
        <v>2.8</v>
      </c>
      <c r="DO73" s="12">
        <f>IF('Données projet'!$A$166&gt;35,DO72+DN73-DW72,IF(A73&lt;'Données projet'!$A$166,$DL$205^A73,IF(A73='Données projet'!$A$166,'Données projet'!$B$166,DO72+DN73-DW72)))</f>
        <v>136.00000000000003</v>
      </c>
      <c r="DP73" s="17">
        <f>DO73*VLOOKUP('Données projet'!$B$14,Paramètres!$A$1:$I$89,3,0)*VLOOKUP('Données projet'!$B$14,Paramètres!$A$1:$I$89,5,0)</f>
        <v>110.32320000000003</v>
      </c>
      <c r="DQ73" s="13">
        <f t="shared" si="97"/>
        <v>29.407120006092025</v>
      </c>
      <c r="DR73" s="20">
        <f t="shared" si="70"/>
        <v>243.36364067727698</v>
      </c>
      <c r="DS73" s="59">
        <f t="shared" si="71"/>
        <v>536.69697401061035</v>
      </c>
      <c r="DT73" s="59">
        <f ca="1">AVERAGE(OFFSET($DS$3,0,0,'Données projet'!$E$14+1,1))-AVERAGE(OFFSET($H$3,0,0,'Données projet'!$E$14+1,1))</f>
        <v>96.611230241682733</v>
      </c>
      <c r="DU73" s="59">
        <f t="shared" si="98"/>
        <v>78.711045514042041</v>
      </c>
      <c r="DV73" s="15">
        <f>IF(ISNA(VLOOKUP(A73,'Données projet'!$A$165:$I$185,3,0)),0,VLOOKUP(A73,'Données projet'!$A$165:$I$185,3,0))</f>
        <v>10</v>
      </c>
      <c r="DW73" s="15">
        <f>IF(ISNA(VLOOKUP(A73,'Données projet'!$A$165:$I$185,4,0)),0,VLOOKUP(A73,'Données projet'!$A$165:$I$185,4,0))</f>
        <v>8</v>
      </c>
      <c r="DX73" s="16">
        <f>IF(ISNA(VLOOKUP(A73,'Données projet'!$A$165:$I$185,5,0)),0%,VLOOKUP(A73,'Données projet'!$A$165:$I$185,5,0)*VLOOKUP('Données projet'!$B$14,Paramètres!$A$1:$I$89,7,0))</f>
        <v>4.3000000000000003E-2</v>
      </c>
      <c r="DY73" s="16">
        <f>IF(ISNA(VLOOKUP(A73,'Données projet'!$A$165:$I$185,6,0)),0%,VLOOKUP(A73,'Données projet'!$A$165:$I$185,6,0)*VLOOKUP('Données projet'!$B$14,Paramètres!$A$1:$I$89,7,0))</f>
        <v>0.17200000000000001</v>
      </c>
      <c r="DZ73" s="16">
        <f>IF(ISNA(VLOOKUP(A73,'Données projet'!$A$165:$I$185,7,0)),0%,VLOOKUP(A73,'Données projet'!$A$165:$I$185,7,0))</f>
        <v>0.3</v>
      </c>
      <c r="EA73" s="21">
        <f>EXP(-LN(2)/35)*EA72+(1-EXP(-LN(2)/35))/(LN(2)/35)*DW73*DX73*VLOOKUP('Données projet'!$B$14,Paramètres!$A$1:$I$89,3,0)*0.475*44/12</f>
        <v>0.30848460472573241</v>
      </c>
      <c r="EB73" s="21">
        <f>EXP(-LN(2)/25)*EB72+(1-EXP(-LN(2)/25))/(LN(2)/25)*Calculateur!DW73*Calculateur!DY73*VLOOKUP('Données projet'!$B$14,Paramètres!$A$1:$I$89,3,0)*0.475*44/12</f>
        <v>4.1551539776586548</v>
      </c>
      <c r="EC73" s="21">
        <f>EXP(-LN(2)/2)*EC72+(1-EXP(-LN(2)/2))/(LN(2)/2)*DW73*DZ73*VLOOKUP('Données projet'!$B$14,Paramètres!$A$1:$I$89,3,0)*0.475*44/12</f>
        <v>2.2313903285343826</v>
      </c>
      <c r="ED73" s="22">
        <f t="shared" si="72"/>
        <v>6.6950289109187704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469.06923076923073</v>
      </c>
      <c r="EH73" s="12">
        <f>VLOOKUP(A73,'Données projet'!$A$191:$I$211,9,0)</f>
        <v>13.296703296703283</v>
      </c>
      <c r="EI73" s="12">
        <f t="array" ref="EI73">INDEX(EH:EH,MIN(IF(ISNUMBER(EH73:EH269),ROW(EH73:EH269),"")))</f>
        <v>13.296703296703283</v>
      </c>
      <c r="EJ73" s="12">
        <f>IF('Données projet'!$A$192&gt;35,EJ72+EI73-ER72,IF(A73&lt;'Données projet'!$A$192,$EG$205^A73,IF(A73='Données projet'!$A$192,'Données projet'!$B$192,EJ72+EI73-ER72)))</f>
        <v>469.06923076923073</v>
      </c>
      <c r="EK73" s="17">
        <f>EJ73*VLOOKUP('Données projet'!$B$15,Paramètres!$A$1:$I$89,3,0)*VLOOKUP('Données projet'!$B$15,Paramètres!$A$1:$I$89,5,0)</f>
        <v>207.32860000000002</v>
      </c>
      <c r="EL73" s="13">
        <f t="shared" si="99"/>
        <v>51.351383328770872</v>
      </c>
      <c r="EM73" s="20">
        <f t="shared" si="73"/>
        <v>450.53430429760925</v>
      </c>
      <c r="EN73" s="59">
        <f t="shared" si="74"/>
        <v>743.86763763094257</v>
      </c>
      <c r="EO73" s="59">
        <f ca="1">AVERAGE(OFFSET($EN$3,0,0,'Données projet'!$E$15+1,1))-AVERAGE(OFFSET($H$3,0,0,'Données projet'!$E$15+1,1))</f>
        <v>188.61152573050066</v>
      </c>
      <c r="EP73" s="59">
        <f t="shared" si="100"/>
        <v>172.37050503841624</v>
      </c>
      <c r="EQ73" s="15">
        <f>IF(ISNA(VLOOKUP(A73,'Données projet'!$A$191:$I$211,3,0)),0,VLOOKUP(A73,'Données projet'!$A$191:$I$211,3,0))</f>
        <v>8</v>
      </c>
      <c r="ER73" s="15">
        <f>IF(ISNA(VLOOKUP(A73,'Données projet'!$A$191:$I$211,4,0)),0,VLOOKUP(A73,'Données projet'!$A$191:$I$211,4,0))</f>
        <v>469.06923076923073</v>
      </c>
      <c r="ES73" s="16">
        <f>IF(ISNA(VLOOKUP(A73,'Données projet'!$A$191:$I$211,5,0)),0%,VLOOKUP(A73,'Données projet'!$A$191:$I$211,5,0)*VLOOKUP('Données projet'!$B$15,Paramètres!$A$1:$I$89,7,0))</f>
        <v>0.38500000000000001</v>
      </c>
      <c r="ET73" s="16">
        <f>IF(ISNA(VLOOKUP(A73,'Données projet'!$A$191:$I$211,6,0)),0%,VLOOKUP(A73,'Données projet'!$A$191:$I$211,6,0)*VLOOKUP('Données projet'!$B$15,Paramètres!$A$1:$I$89,7,0))</f>
        <v>9.240000000000001E-2</v>
      </c>
      <c r="EU73" s="16">
        <f>IF(ISNA(VLOOKUP(A73,'Données projet'!$A$191:$I$211,7,0)),0%,VLOOKUP(A73,'Données projet'!$A$191:$I$211,7,0))</f>
        <v>0.13200000000000001</v>
      </c>
      <c r="EV73" s="21">
        <f>EXP(-LN(2)/35)*EV72+(1-EXP(-LN(2)/35))/(LN(2)/35)*ER73*ES73*VLOOKUP('Données projet'!$B$15,Paramètres!$A$1:$I$89,3,0)*0.475*44/12</f>
        <v>166.42336709729133</v>
      </c>
      <c r="EW73" s="21">
        <f>EXP(-LN(2)/25)*EW72+(1-EXP(-LN(2)/25))/(LN(2)/25)*Calculateur!ER73*Calculateur!ET73*VLOOKUP('Données projet'!$B$15,Paramètres!$A$1:$I$89,3,0)*0.475*44/12</f>
        <v>43.828306213359099</v>
      </c>
      <c r="EX73" s="21">
        <f>EXP(-LN(2)/2)*EX72+(1-EXP(-LN(2)/2))/(LN(2)/2)*ER73*EU73*VLOOKUP('Données projet'!$B$15,Paramètres!$A$1:$I$89,3,0)*0.475*44/12</f>
        <v>31.495354662426138</v>
      </c>
      <c r="EY73" s="22">
        <f t="shared" si="75"/>
        <v>241.74702797307657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>
        <f>FE73*VLOOKUP('Données projet'!$B$16,Paramètres!$A$1:$I$89,3,0)*VLOOKUP('Données projet'!$B$16,Paramètres!$A$1:$I$89,5,0)</f>
        <v>0</v>
      </c>
      <c r="FG73" s="13" t="e">
        <f t="shared" si="101"/>
        <v>#NUM!</v>
      </c>
      <c r="FH73" s="20" t="e">
        <f t="shared" si="76"/>
        <v>#NUM!</v>
      </c>
      <c r="FI73" s="59" t="e">
        <f t="shared" si="77"/>
        <v>#NUM!</v>
      </c>
      <c r="FJ73" s="59">
        <f ca="1">AVERAGE(OFFSET($FI$3,0,0,'Données projet'!$E$16+1,1))-AVERAGE(OFFSET($H$3,0,0,'Données projet'!$E$16+1,1))</f>
        <v>0</v>
      </c>
      <c r="FK73" s="59">
        <f t="shared" si="102"/>
        <v>0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0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197.78572767493569</v>
      </c>
      <c r="T74" s="59">
        <f t="shared" si="88"/>
        <v>288.66487031729008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3.4</v>
      </c>
      <c r="AI74" s="13">
        <f>IF('Données projet'!$A$62&gt;35,AI73+AH74-AQ73,IF(A74&lt;'Données projet'!$A$62,$AF$205^A74,IF(A74='Données projet'!$A$62,'Données projet'!$B$62,AI73+AH74-AQ73)))</f>
        <v>256.39999999999986</v>
      </c>
      <c r="AJ74" s="13">
        <f>AI74*VLOOKUP('Données projet'!$B$10,Paramètres!$A$1:$I$89,3,0)*VLOOKUP('Données projet'!$B$10,Paramètres!$A$1:$I$89,5,0)</f>
        <v>203.99183999999988</v>
      </c>
      <c r="AK74" s="13">
        <f t="shared" si="89"/>
        <v>50.620441749347997</v>
      </c>
      <c r="AL74" s="20">
        <f t="shared" si="58"/>
        <v>443.44972404678083</v>
      </c>
      <c r="AM74" s="59">
        <f t="shared" si="59"/>
        <v>736.78305738011409</v>
      </c>
      <c r="AN74" s="59">
        <f ca="1">AVERAGE(OFFSET($AM$3,0,0,'Données projet'!$E$10+1,1))-AVERAGE(OFFSET($H$3,0,0,'Données projet'!$E$10+1,1))</f>
        <v>219.43439115440339</v>
      </c>
      <c r="AO74" s="59">
        <f t="shared" si="90"/>
        <v>217.8880462742099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26.445265708964623</v>
      </c>
      <c r="AV74" s="21">
        <f>EXP(-LN(2)/25)*AV73+(1-EXP(-LN(2)/25))/(LN(2)/25)*Calculateur!AQ74*Calculateur!AS74*VLOOKUP('Données projet'!$B$10,Paramètres!$A$1:$I$89,3,0)*0.475*44/12</f>
        <v>9.556237711127828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36.001503420092448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3.2</v>
      </c>
      <c r="BD74" s="12">
        <f>IF('Données projet'!$A$88&gt;35,BD73+BC74-BL73,IF(A74&lt;'Données projet'!$A$88,$BA$205^A74,IF(A74='Données projet'!$A$88,'Données projet'!$B$88,BD73+BC74-BL73)))</f>
        <v>168.2</v>
      </c>
      <c r="BE74" s="13">
        <f>BD74*VLOOKUP('Données projet'!$B$11,Paramètres!$A$1:$I$89,3,0)*VLOOKUP('Données projet'!$B$11,Paramètres!$A$1:$I$89,5,0)</f>
        <v>146.93952000000002</v>
      </c>
      <c r="BF74" s="13">
        <f t="shared" si="91"/>
        <v>37.882248330654228</v>
      </c>
      <c r="BG74" s="20">
        <f t="shared" si="61"/>
        <v>321.89791317588941</v>
      </c>
      <c r="BH74" s="59">
        <f t="shared" si="62"/>
        <v>615.23124650922273</v>
      </c>
      <c r="BI74" s="59">
        <f ca="1">AVERAGE(OFFSET($BH$3,0,0,'Données projet'!$E$11+1,1))-AVERAGE(OFFSET($H$3,0,0,'Données projet'!$E$11+1,1))</f>
        <v>175.73188403662408</v>
      </c>
      <c r="BJ74" s="59">
        <f t="shared" si="92"/>
        <v>152.02195399869032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3.561311599062341</v>
      </c>
      <c r="BQ74" s="21">
        <f>EXP(-LN(2)/25)*BQ73+(1-EXP(-LN(2)/25))/(LN(2)/25)*Calculateur!BL74*Calculateur!BN74*VLOOKUP('Données projet'!$B$11,Paramètres!$A$1:$I$89,3,0)*0.475*44/12</f>
        <v>9.0243280412608602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12.585639640323201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5.6899038461538431</v>
      </c>
      <c r="BY74" s="12">
        <f>IF('Données projet'!$A$114&gt;35,BY73+BX74-CG73,IF(A74&lt;'Données projet'!$A$114,$BV$205^A74,IF(A74='Données projet'!$A$114,'Données projet'!$B$114,BY73+BX74-CG73)))</f>
        <v>158.62499999999997</v>
      </c>
      <c r="BZ74" s="13">
        <f>BY74*VLOOKUP('Données projet'!$B$12,Paramètres!$A$1:$I$89,3,0)*VLOOKUP('Données projet'!$B$12,Paramètres!$A$1:$I$89,5,0)</f>
        <v>143.52389999999997</v>
      </c>
      <c r="CA74" s="13">
        <f t="shared" si="93"/>
        <v>37.103109825509961</v>
      </c>
      <c r="CB74" s="20">
        <f t="shared" si="64"/>
        <v>314.59204211276312</v>
      </c>
      <c r="CC74" s="59">
        <f t="shared" si="65"/>
        <v>607.9253754460965</v>
      </c>
      <c r="CD74" s="59">
        <f ca="1">AVERAGE(OFFSET($CC$3,0,0,'Données projet'!$E$12+1,1))-AVERAGE(OFFSET($H$3,0,0,'Données projet'!$E$12+1,1))</f>
        <v>213.54857791046686</v>
      </c>
      <c r="CE74" s="59">
        <f t="shared" si="94"/>
        <v>138.46877538074244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</v>
      </c>
      <c r="CU74" s="17">
        <f>CT74*VLOOKUP('Données projet'!$B$13,Paramètres!$A$1:$I$89,3,0)*VLOOKUP('Données projet'!$B$13,Paramètres!$A$1:$I$89,5,0)</f>
        <v>161.98416</v>
      </c>
      <c r="CV74" s="13">
        <f t="shared" si="95"/>
        <v>41.289726712501803</v>
      </c>
      <c r="CW74" s="20">
        <f t="shared" si="67"/>
        <v>354.03535269094056</v>
      </c>
      <c r="CX74" s="59">
        <f t="shared" si="68"/>
        <v>647.36868602427387</v>
      </c>
      <c r="CY74" s="59">
        <f ca="1">AVERAGE(OFFSET($CX$3,0,0,'Données projet'!$E$13+1,1))-AVERAGE(OFFSET($H$3,0,0,'Données projet'!$E$13+1,1))</f>
        <v>161.87883827031436</v>
      </c>
      <c r="CZ74" s="59">
        <f t="shared" si="96"/>
        <v>163.02076389611869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9.2279885257423526</v>
      </c>
      <c r="DG74" s="21">
        <f>EXP(-LN(2)/25)*DG73+(1-EXP(-LN(2)/25))/(LN(2)/25)*Calculateur!DB74*Calculateur!DD74*VLOOKUP('Données projet'!$B$13,Paramètres!$A$1:$I$89,3,0)*0.475*44/12</f>
        <v>9.5534447662200694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18.781433291962422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2.8</v>
      </c>
      <c r="DO74" s="12">
        <f>IF('Données projet'!$A$166&gt;35,DO73+DN74-DW73,IF(A74&lt;'Données projet'!$A$166,$DL$205^A74,IF(A74='Données projet'!$A$166,'Données projet'!$B$166,DO73+DN74-DW73)))</f>
        <v>130.80000000000004</v>
      </c>
      <c r="DP74" s="17">
        <f>DO74*VLOOKUP('Données projet'!$B$14,Paramètres!$A$1:$I$89,3,0)*VLOOKUP('Données projet'!$B$14,Paramètres!$A$1:$I$89,5,0)</f>
        <v>106.10496000000003</v>
      </c>
      <c r="DQ74" s="13">
        <f t="shared" si="97"/>
        <v>28.411366142491467</v>
      </c>
      <c r="DR74" s="20">
        <f t="shared" si="70"/>
        <v>234.28260136483937</v>
      </c>
      <c r="DS74" s="59">
        <f t="shared" si="71"/>
        <v>527.61593469817262</v>
      </c>
      <c r="DT74" s="59">
        <f ca="1">AVERAGE(OFFSET($DS$3,0,0,'Données projet'!$E$14+1,1))-AVERAGE(OFFSET($H$3,0,0,'Données projet'!$E$14+1,1))</f>
        <v>96.611230241682733</v>
      </c>
      <c r="DU74" s="59">
        <f t="shared" si="98"/>
        <v>78.711045514042041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0.30243540978409073</v>
      </c>
      <c r="EB74" s="21">
        <f>EXP(-LN(2)/25)*EB73+(1-EXP(-LN(2)/25))/(LN(2)/25)*Calculateur!DW74*Calculateur!DY74*VLOOKUP('Données projet'!$B$14,Paramètres!$A$1:$I$89,3,0)*0.475*44/12</f>
        <v>4.0415310736295282</v>
      </c>
      <c r="EC74" s="21">
        <f>EXP(-LN(2)/2)*EC73+(1-EXP(-LN(2)/2))/(LN(2)/2)*DW74*DZ74*VLOOKUP('Données projet'!$B$14,Paramètres!$A$1:$I$89,3,0)*0.475*44/12</f>
        <v>1.5778312327807402</v>
      </c>
      <c r="ED74" s="22">
        <f t="shared" si="72"/>
        <v>5.9217977161943596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188.61152573050066</v>
      </c>
      <c r="EP74" s="59">
        <f t="shared" si="100"/>
        <v>172.37050503841624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163.15990637674426</v>
      </c>
      <c r="EW74" s="21">
        <f>EXP(-LN(2)/25)*EW73+(1-EXP(-LN(2)/25))/(LN(2)/25)*Calculateur!ER74*Calculateur!ET74*VLOOKUP('Données projet'!$B$15,Paramètres!$A$1:$I$89,3,0)*0.475*44/12</f>
        <v>42.629818875124343</v>
      </c>
      <c r="EX74" s="21">
        <f>EXP(-LN(2)/2)*EX73+(1-EXP(-LN(2)/2))/(LN(2)/2)*ER74*EU74*VLOOKUP('Données projet'!$B$15,Paramètres!$A$1:$I$89,3,0)*0.475*44/12</f>
        <v>22.27057885767687</v>
      </c>
      <c r="EY74" s="22">
        <f t="shared" si="75"/>
        <v>228.06030410954548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>
        <f>FE74*VLOOKUP('Données projet'!$B$16,Paramètres!$A$1:$I$89,3,0)*VLOOKUP('Données projet'!$B$16,Paramètres!$A$1:$I$89,5,0)</f>
        <v>0</v>
      </c>
      <c r="FG74" s="13" t="e">
        <f t="shared" si="101"/>
        <v>#NUM!</v>
      </c>
      <c r="FH74" s="20" t="e">
        <f t="shared" si="76"/>
        <v>#NUM!</v>
      </c>
      <c r="FI74" s="59" t="e">
        <f t="shared" si="77"/>
        <v>#NUM!</v>
      </c>
      <c r="FJ74" s="59">
        <f ca="1">AVERAGE(OFFSET($FI$3,0,0,'Données projet'!$E$16+1,1))-AVERAGE(OFFSET($H$3,0,0,'Données projet'!$E$16+1,1))</f>
        <v>0</v>
      </c>
      <c r="FK74" s="59">
        <f t="shared" si="102"/>
        <v>0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0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197.78572767493569</v>
      </c>
      <c r="T75" s="59">
        <f t="shared" si="88"/>
        <v>288.66487031729008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3.4</v>
      </c>
      <c r="AI75" s="13">
        <f>IF('Données projet'!$A$62&gt;35,AI74+AH75-AQ74,IF(A75&lt;'Données projet'!$A$62,$AF$205^A75,IF(A75='Données projet'!$A$62,'Données projet'!$B$62,AI74+AH75-AQ74)))</f>
        <v>259.79999999999984</v>
      </c>
      <c r="AJ75" s="13">
        <f>AI75*VLOOKUP('Données projet'!$B$10,Paramètres!$A$1:$I$89,3,0)*VLOOKUP('Données projet'!$B$10,Paramètres!$A$1:$I$89,5,0)</f>
        <v>206.69687999999991</v>
      </c>
      <c r="AK75" s="13">
        <f t="shared" si="89"/>
        <v>51.213106197404436</v>
      </c>
      <c r="AL75" s="20">
        <f t="shared" si="58"/>
        <v>449.1932259604792</v>
      </c>
      <c r="AM75" s="59">
        <f t="shared" si="59"/>
        <v>742.52655929381251</v>
      </c>
      <c r="AN75" s="59">
        <f ca="1">AVERAGE(OFFSET($AM$3,0,0,'Données projet'!$E$10+1,1))-AVERAGE(OFFSET($H$3,0,0,'Données projet'!$E$10+1,1))</f>
        <v>219.43439115440339</v>
      </c>
      <c r="AO75" s="59">
        <f t="shared" si="90"/>
        <v>217.8880462742099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25.926690178431201</v>
      </c>
      <c r="AV75" s="21">
        <f>EXP(-LN(2)/25)*AV74+(1-EXP(-LN(2)/25))/(LN(2)/25)*Calculateur!AQ75*Calculateur!AS75*VLOOKUP('Données projet'!$B$10,Paramètres!$A$1:$I$89,3,0)*0.475*44/12</f>
        <v>9.2949218883763383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35.221612066807538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3.2</v>
      </c>
      <c r="BD75" s="12">
        <f>IF('Données projet'!$A$88&gt;35,BD74+BC75-BL74,IF(A75&lt;'Données projet'!$A$88,$BA$205^A75,IF(A75='Données projet'!$A$88,'Données projet'!$B$88,BD74+BC75-BL74)))</f>
        <v>171.39999999999998</v>
      </c>
      <c r="BE75" s="13">
        <f>BD75*VLOOKUP('Données projet'!$B$11,Paramètres!$A$1:$I$89,3,0)*VLOOKUP('Données projet'!$B$11,Paramètres!$A$1:$I$89,5,0)</f>
        <v>149.73504</v>
      </c>
      <c r="BF75" s="13">
        <f t="shared" si="91"/>
        <v>38.518366315830406</v>
      </c>
      <c r="BG75" s="20">
        <f t="shared" si="61"/>
        <v>327.87468266673795</v>
      </c>
      <c r="BH75" s="59">
        <f t="shared" si="62"/>
        <v>621.20801600007121</v>
      </c>
      <c r="BI75" s="59">
        <f ca="1">AVERAGE(OFFSET($BH$3,0,0,'Données projet'!$E$11+1,1))-AVERAGE(OFFSET($H$3,0,0,'Données projet'!$E$11+1,1))</f>
        <v>175.73188403662408</v>
      </c>
      <c r="BJ75" s="59">
        <f t="shared" si="92"/>
        <v>152.02195399869032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3.4914764507903184</v>
      </c>
      <c r="BQ75" s="21">
        <f>EXP(-LN(2)/25)*BQ74+(1-EXP(-LN(2)/25))/(LN(2)/25)*Calculateur!BL75*Calculateur!BN75*VLOOKUP('Données projet'!$B$11,Paramètres!$A$1:$I$89,3,0)*0.475*44/12</f>
        <v>8.7775573164037954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12.269033767194113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5.6899038461538431</v>
      </c>
      <c r="BY75" s="12">
        <f>IF('Données projet'!$A$114&gt;35,BY74+BX75-CG74,IF(A75&lt;'Données projet'!$A$114,$BV$205^A75,IF(A75='Données projet'!$A$114,'Données projet'!$B$114,BY74+BX75-CG74)))</f>
        <v>164.31490384615381</v>
      </c>
      <c r="BZ75" s="13">
        <f>BY75*VLOOKUP('Données projet'!$B$12,Paramètres!$A$1:$I$89,3,0)*VLOOKUP('Données projet'!$B$12,Paramètres!$A$1:$I$89,5,0)</f>
        <v>148.67212499999997</v>
      </c>
      <c r="CA75" s="13">
        <f t="shared" si="93"/>
        <v>38.276665273939201</v>
      </c>
      <c r="CB75" s="20">
        <f t="shared" si="64"/>
        <v>325.60247639377735</v>
      </c>
      <c r="CC75" s="59">
        <f t="shared" si="65"/>
        <v>618.93580972711061</v>
      </c>
      <c r="CD75" s="59">
        <f ca="1">AVERAGE(OFFSET($CC$3,0,0,'Données projet'!$E$12+1,1))-AVERAGE(OFFSET($H$3,0,0,'Données projet'!$E$12+1,1))</f>
        <v>213.54857791046686</v>
      </c>
      <c r="CE75" s="59">
        <f t="shared" si="94"/>
        <v>138.46877538074244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</v>
      </c>
      <c r="CU75" s="17">
        <f>CT75*VLOOKUP('Données projet'!$B$13,Paramètres!$A$1:$I$89,3,0)*VLOOKUP('Données projet'!$B$13,Paramètres!$A$1:$I$89,5,0)</f>
        <v>164.05271999999999</v>
      </c>
      <c r="CV75" s="13">
        <f t="shared" si="95"/>
        <v>41.755282701020434</v>
      </c>
      <c r="CW75" s="20">
        <f t="shared" si="67"/>
        <v>358.44893803761056</v>
      </c>
      <c r="CX75" s="59">
        <f t="shared" si="68"/>
        <v>651.78227137094382</v>
      </c>
      <c r="CY75" s="59">
        <f ca="1">AVERAGE(OFFSET($CX$3,0,0,'Données projet'!$E$13+1,1))-AVERAGE(OFFSET($H$3,0,0,'Données projet'!$E$13+1,1))</f>
        <v>161.87883827031436</v>
      </c>
      <c r="CZ75" s="59">
        <f t="shared" si="96"/>
        <v>163.02076389611869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9.047033299269776</v>
      </c>
      <c r="DG75" s="21">
        <f>EXP(-LN(2)/25)*DG74+(1-EXP(-LN(2)/25))/(LN(2)/25)*Calculateur!DB75*Calculateur!DD75*VLOOKUP('Données projet'!$B$13,Paramètres!$A$1:$I$89,3,0)*0.475*44/12</f>
        <v>9.2922053166939556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18.33923861596373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2.8</v>
      </c>
      <c r="DO75" s="12">
        <f>IF('Données projet'!$A$166&gt;35,DO74+DN75-DW74,IF(A75&lt;'Données projet'!$A$166,$DL$205^A75,IF(A75='Données projet'!$A$166,'Données projet'!$B$166,DO74+DN75-DW74)))</f>
        <v>133.60000000000005</v>
      </c>
      <c r="DP75" s="17">
        <f>DO75*VLOOKUP('Données projet'!$B$14,Paramètres!$A$1:$I$89,3,0)*VLOOKUP('Données projet'!$B$14,Paramètres!$A$1:$I$89,5,0)</f>
        <v>108.37632000000004</v>
      </c>
      <c r="DQ75" s="13">
        <f t="shared" si="97"/>
        <v>28.948102440565066</v>
      </c>
      <c r="DR75" s="20">
        <f t="shared" si="70"/>
        <v>239.17336908398423</v>
      </c>
      <c r="DS75" s="59">
        <f t="shared" si="71"/>
        <v>532.50670241731757</v>
      </c>
      <c r="DT75" s="59">
        <f ca="1">AVERAGE(OFFSET($DS$3,0,0,'Données projet'!$E$14+1,1))-AVERAGE(OFFSET($H$3,0,0,'Données projet'!$E$14+1,1))</f>
        <v>96.611230241682733</v>
      </c>
      <c r="DU75" s="59">
        <f t="shared" si="98"/>
        <v>78.711045514042041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0.29650483586561005</v>
      </c>
      <c r="EB75" s="21">
        <f>EXP(-LN(2)/25)*EB74+(1-EXP(-LN(2)/25))/(LN(2)/25)*Calculateur!DW75*Calculateur!DY75*VLOOKUP('Données projet'!$B$14,Paramètres!$A$1:$I$89,3,0)*0.475*44/12</f>
        <v>3.9310151938862465</v>
      </c>
      <c r="EC75" s="21">
        <f>EXP(-LN(2)/2)*EC74+(1-EXP(-LN(2)/2))/(LN(2)/2)*DW75*DZ75*VLOOKUP('Données projet'!$B$14,Paramètres!$A$1:$I$89,3,0)*0.475*44/12</f>
        <v>1.1156951642671915</v>
      </c>
      <c r="ED75" s="22">
        <f t="shared" si="72"/>
        <v>5.3432151940190478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188.61152573050066</v>
      </c>
      <c r="EP75" s="59">
        <f t="shared" si="100"/>
        <v>172.37050503841624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159.96044013041265</v>
      </c>
      <c r="EW75" s="21">
        <f>EXP(-LN(2)/25)*EW74+(1-EXP(-LN(2)/25))/(LN(2)/25)*Calculateur!ER75*Calculateur!ET75*VLOOKUP('Données projet'!$B$15,Paramètres!$A$1:$I$89,3,0)*0.475*44/12</f>
        <v>41.464104236179324</v>
      </c>
      <c r="EX75" s="21">
        <f>EXP(-LN(2)/2)*EX74+(1-EXP(-LN(2)/2))/(LN(2)/2)*ER75*EU75*VLOOKUP('Données projet'!$B$15,Paramètres!$A$1:$I$89,3,0)*0.475*44/12</f>
        <v>15.747677331213071</v>
      </c>
      <c r="EY75" s="22">
        <f t="shared" si="75"/>
        <v>217.17222169780507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>
        <f>FE75*VLOOKUP('Données projet'!$B$16,Paramètres!$A$1:$I$89,3,0)*VLOOKUP('Données projet'!$B$16,Paramètres!$A$1:$I$89,5,0)</f>
        <v>0</v>
      </c>
      <c r="FG75" s="13" t="e">
        <f t="shared" si="101"/>
        <v>#NUM!</v>
      </c>
      <c r="FH75" s="20" t="e">
        <f t="shared" si="76"/>
        <v>#NUM!</v>
      </c>
      <c r="FI75" s="59" t="e">
        <f t="shared" si="77"/>
        <v>#NUM!</v>
      </c>
      <c r="FJ75" s="59">
        <f ca="1">AVERAGE(OFFSET($FI$3,0,0,'Données projet'!$E$16+1,1))-AVERAGE(OFFSET($H$3,0,0,'Données projet'!$E$16+1,1))</f>
        <v>0</v>
      </c>
      <c r="FK75" s="59">
        <f t="shared" si="102"/>
        <v>0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0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197.78572767493569</v>
      </c>
      <c r="T76" s="59">
        <f t="shared" si="88"/>
        <v>288.66487031729008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3.4</v>
      </c>
      <c r="AI76" s="13">
        <f>IF('Données projet'!$A$62&gt;35,AI75+AH76-AQ75,IF(A76&lt;'Données projet'!$A$62,$AF$205^A76,IF(A76='Données projet'!$A$62,'Données projet'!$B$62,AI75+AH76-AQ75)))</f>
        <v>263.19999999999982</v>
      </c>
      <c r="AJ76" s="13">
        <f>AI76*VLOOKUP('Données projet'!$B$10,Paramètres!$A$1:$I$89,3,0)*VLOOKUP('Données projet'!$B$10,Paramètres!$A$1:$I$89,5,0)</f>
        <v>209.40191999999988</v>
      </c>
      <c r="AK76" s="13">
        <f t="shared" si="89"/>
        <v>51.804868484579039</v>
      </c>
      <c r="AL76" s="20">
        <f t="shared" si="58"/>
        <v>454.93515661064157</v>
      </c>
      <c r="AM76" s="59">
        <f t="shared" si="59"/>
        <v>748.26848994397483</v>
      </c>
      <c r="AN76" s="59">
        <f ca="1">AVERAGE(OFFSET($AM$3,0,0,'Données projet'!$E$10+1,1))-AVERAGE(OFFSET($H$3,0,0,'Données projet'!$E$10+1,1))</f>
        <v>219.43439115440339</v>
      </c>
      <c r="AO76" s="59">
        <f t="shared" si="90"/>
        <v>217.8880462742099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25.418283597751699</v>
      </c>
      <c r="AV76" s="21">
        <f>EXP(-LN(2)/25)*AV75+(1-EXP(-LN(2)/25))/(LN(2)/25)*Calculateur!AQ76*Calculateur!AS76*VLOOKUP('Données projet'!$B$10,Paramètres!$A$1:$I$89,3,0)*0.475*44/12</f>
        <v>9.0407517605399885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34.459035358291686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3.2</v>
      </c>
      <c r="BD76" s="12">
        <f>IF('Données projet'!$A$88&gt;35,BD75+BC76-BL75,IF(A76&lt;'Données projet'!$A$88,$BA$205^A76,IF(A76='Données projet'!$A$88,'Données projet'!$B$88,BD75+BC76-BL75)))</f>
        <v>174.59999999999997</v>
      </c>
      <c r="BE76" s="13">
        <f>BD76*VLOOKUP('Données projet'!$B$11,Paramètres!$A$1:$I$89,3,0)*VLOOKUP('Données projet'!$B$11,Paramètres!$A$1:$I$89,5,0)</f>
        <v>152.53056000000001</v>
      </c>
      <c r="BF76" s="13">
        <f t="shared" si="91"/>
        <v>39.153103329629708</v>
      </c>
      <c r="BG76" s="20">
        <f t="shared" si="61"/>
        <v>333.84904696577172</v>
      </c>
      <c r="BH76" s="59">
        <f t="shared" si="62"/>
        <v>627.18238029910503</v>
      </c>
      <c r="BI76" s="59">
        <f ca="1">AVERAGE(OFFSET($BH$3,0,0,'Données projet'!$E$11+1,1))-AVERAGE(OFFSET($H$3,0,0,'Données projet'!$E$11+1,1))</f>
        <v>175.73188403662408</v>
      </c>
      <c r="BJ76" s="59">
        <f t="shared" si="92"/>
        <v>152.02195399869032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3.4230107271806758</v>
      </c>
      <c r="BQ76" s="21">
        <f>EXP(-LN(2)/25)*BQ75+(1-EXP(-LN(2)/25))/(LN(2)/25)*Calculateur!BL76*Calculateur!BN76*VLOOKUP('Données projet'!$B$11,Paramètres!$A$1:$I$89,3,0)*0.475*44/12</f>
        <v>8.5375345499950566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11.960545277175733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5.6899038461538431</v>
      </c>
      <c r="BY76" s="12">
        <f>IF('Données projet'!$A$114&gt;35,BY75+BX76-CG75,IF(A76&lt;'Données projet'!$A$114,$BV$205^A76,IF(A76='Données projet'!$A$114,'Données projet'!$B$114,BY75+BX76-CG75)))</f>
        <v>170.00480769230765</v>
      </c>
      <c r="BZ76" s="13">
        <f>BY76*VLOOKUP('Données projet'!$B$12,Paramètres!$A$1:$I$89,3,0)*VLOOKUP('Données projet'!$B$12,Paramètres!$A$1:$I$89,5,0)</f>
        <v>153.82034999999993</v>
      </c>
      <c r="CA76" s="13">
        <f t="shared" si="93"/>
        <v>39.445498990742948</v>
      </c>
      <c r="CB76" s="20">
        <f t="shared" si="64"/>
        <v>336.60468699221047</v>
      </c>
      <c r="CC76" s="59">
        <f t="shared" si="65"/>
        <v>629.93802032554379</v>
      </c>
      <c r="CD76" s="59">
        <f ca="1">AVERAGE(OFFSET($CC$3,0,0,'Données projet'!$E$12+1,1))-AVERAGE(OFFSET($H$3,0,0,'Données projet'!$E$12+1,1))</f>
        <v>213.54857791046686</v>
      </c>
      <c r="CE76" s="59">
        <f t="shared" si="94"/>
        <v>138.46877538074244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208.79999999999998</v>
      </c>
      <c r="CU76" s="17">
        <f>CT76*VLOOKUP('Données projet'!$B$13,Paramètres!$A$1:$I$89,3,0)*VLOOKUP('Données projet'!$B$13,Paramètres!$A$1:$I$89,5,0)</f>
        <v>166.12128000000001</v>
      </c>
      <c r="CV76" s="13">
        <f t="shared" si="95"/>
        <v>42.220155874487318</v>
      </c>
      <c r="CW76" s="20">
        <f t="shared" si="67"/>
        <v>362.86133414806545</v>
      </c>
      <c r="CX76" s="59">
        <f t="shared" si="68"/>
        <v>656.19466748139871</v>
      </c>
      <c r="CY76" s="59">
        <f ca="1">AVERAGE(OFFSET($CX$3,0,0,'Données projet'!$E$13+1,1))-AVERAGE(OFFSET($H$3,0,0,'Données projet'!$E$13+1,1))</f>
        <v>161.87883827031436</v>
      </c>
      <c r="CZ76" s="59">
        <f t="shared" si="96"/>
        <v>163.02076389611869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8.8696264944165364</v>
      </c>
      <c r="DG76" s="21">
        <f>EXP(-LN(2)/25)*DG75+(1-EXP(-LN(2)/25))/(LN(2)/25)*Calculateur!DB76*Calculateur!DD76*VLOOKUP('Données projet'!$B$13,Paramètres!$A$1:$I$89,3,0)*0.475*44/12</f>
        <v>9.0381094736531189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17.907735968069655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2.8</v>
      </c>
      <c r="DO76" s="12">
        <f>IF('Données projet'!$A$166&gt;35,DO75+DN76-DW75,IF(A76&lt;'Données projet'!$A$166,$DL$205^A76,IF(A76='Données projet'!$A$166,'Données projet'!$B$166,DO75+DN76-DW75)))</f>
        <v>136.40000000000006</v>
      </c>
      <c r="DP76" s="17">
        <f>DO76*VLOOKUP('Données projet'!$B$14,Paramètres!$A$1:$I$89,3,0)*VLOOKUP('Données projet'!$B$14,Paramètres!$A$1:$I$89,5,0)</f>
        <v>110.64768000000007</v>
      </c>
      <c r="DQ76" s="13">
        <f t="shared" si="97"/>
        <v>29.483530853816099</v>
      </c>
      <c r="DR76" s="20">
        <f t="shared" si="70"/>
        <v>244.06185890372981</v>
      </c>
      <c r="DS76" s="59">
        <f t="shared" si="71"/>
        <v>537.39519223706316</v>
      </c>
      <c r="DT76" s="59">
        <f ca="1">AVERAGE(OFFSET($DS$3,0,0,'Données projet'!$E$14+1,1))-AVERAGE(OFFSET($H$3,0,0,'Données projet'!$E$14+1,1))</f>
        <v>96.611230241682733</v>
      </c>
      <c r="DU76" s="59">
        <f t="shared" si="98"/>
        <v>78.711045514042041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0.29069055688437784</v>
      </c>
      <c r="EB76" s="21">
        <f>EXP(-LN(2)/25)*EB75+(1-EXP(-LN(2)/25))/(LN(2)/25)*Calculateur!DW76*Calculateur!DY76*VLOOKUP('Données projet'!$B$14,Paramètres!$A$1:$I$89,3,0)*0.475*44/12</f>
        <v>3.8235213766863225</v>
      </c>
      <c r="EC76" s="21">
        <f>EXP(-LN(2)/2)*EC75+(1-EXP(-LN(2)/2))/(LN(2)/2)*DW76*DZ76*VLOOKUP('Données projet'!$B$14,Paramètres!$A$1:$I$89,3,0)*0.475*44/12</f>
        <v>0.78891561639037022</v>
      </c>
      <c r="ED76" s="22">
        <f t="shared" si="72"/>
        <v>4.9031275499610709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188.61152573050066</v>
      </c>
      <c r="EP76" s="59">
        <f t="shared" si="100"/>
        <v>172.37050503841624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156.82371346568988</v>
      </c>
      <c r="EW76" s="21">
        <f>EXP(-LN(2)/25)*EW75+(1-EXP(-LN(2)/25))/(LN(2)/25)*Calculateur!ER76*Calculateur!ET76*VLOOKUP('Données projet'!$B$15,Paramètres!$A$1:$I$89,3,0)*0.475*44/12</f>
        <v>40.330266125338525</v>
      </c>
      <c r="EX76" s="21">
        <f>EXP(-LN(2)/2)*EX75+(1-EXP(-LN(2)/2))/(LN(2)/2)*ER76*EU76*VLOOKUP('Données projet'!$B$15,Paramètres!$A$1:$I$89,3,0)*0.475*44/12</f>
        <v>11.135289428838437</v>
      </c>
      <c r="EY76" s="22">
        <f t="shared" si="75"/>
        <v>208.28926901986685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>
        <f>FE76*VLOOKUP('Données projet'!$B$16,Paramètres!$A$1:$I$89,3,0)*VLOOKUP('Données projet'!$B$16,Paramètres!$A$1:$I$89,5,0)</f>
        <v>0</v>
      </c>
      <c r="FG76" s="13" t="e">
        <f t="shared" si="101"/>
        <v>#NUM!</v>
      </c>
      <c r="FH76" s="20" t="e">
        <f t="shared" si="76"/>
        <v>#NUM!</v>
      </c>
      <c r="FI76" s="59" t="e">
        <f t="shared" si="77"/>
        <v>#NUM!</v>
      </c>
      <c r="FJ76" s="59">
        <f ca="1">AVERAGE(OFFSET($FI$3,0,0,'Données projet'!$E$16+1,1))-AVERAGE(OFFSET($H$3,0,0,'Données projet'!$E$16+1,1))</f>
        <v>0</v>
      </c>
      <c r="FK76" s="59">
        <f t="shared" si="102"/>
        <v>0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0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197.78572767493569</v>
      </c>
      <c r="T77" s="59">
        <f t="shared" si="88"/>
        <v>288.66487031729008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3.4</v>
      </c>
      <c r="AI77" s="13">
        <f>IF('Données projet'!$A$62&gt;35,AI76+AH77-AQ76,IF(A77&lt;'Données projet'!$A$62,$AF$205^A77,IF(A77='Données projet'!$A$62,'Données projet'!$B$62,AI76+AH77-AQ76)))</f>
        <v>266.5999999999998</v>
      </c>
      <c r="AJ77" s="13">
        <f>AI77*VLOOKUP('Données projet'!$B$10,Paramètres!$A$1:$I$89,3,0)*VLOOKUP('Données projet'!$B$10,Paramètres!$A$1:$I$89,5,0)</f>
        <v>212.10695999999984</v>
      </c>
      <c r="AK77" s="13">
        <f t="shared" si="89"/>
        <v>52.395741612408194</v>
      </c>
      <c r="AL77" s="20">
        <f t="shared" si="58"/>
        <v>460.67553864161067</v>
      </c>
      <c r="AM77" s="59">
        <f t="shared" si="59"/>
        <v>754.00887197494399</v>
      </c>
      <c r="AN77" s="59">
        <f ca="1">AVERAGE(OFFSET($AM$3,0,0,'Données projet'!$E$10+1,1))-AVERAGE(OFFSET($H$3,0,0,'Données projet'!$E$10+1,1))</f>
        <v>219.43439115440339</v>
      </c>
      <c r="AO77" s="59">
        <f t="shared" si="90"/>
        <v>217.8880462742099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24.919846560021927</v>
      </c>
      <c r="AV77" s="21">
        <f>EXP(-LN(2)/25)*AV76+(1-EXP(-LN(2)/25))/(LN(2)/25)*Calculateur!AQ77*Calculateur!AS77*VLOOKUP('Données projet'!$B$10,Paramètres!$A$1:$I$89,3,0)*0.475*44/12</f>
        <v>8.7935319282155504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33.713378488237481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3.2</v>
      </c>
      <c r="BD77" s="12">
        <f>IF('Données projet'!$A$88&gt;35,BD76+BC77-BL76,IF(A77&lt;'Données projet'!$A$88,$BA$205^A77,IF(A77='Données projet'!$A$88,'Données projet'!$B$88,BD76+BC77-BL76)))</f>
        <v>177.79999999999995</v>
      </c>
      <c r="BE77" s="13">
        <f>BD77*VLOOKUP('Données projet'!$B$11,Paramètres!$A$1:$I$89,3,0)*VLOOKUP('Données projet'!$B$11,Paramètres!$A$1:$I$89,5,0)</f>
        <v>155.32607999999999</v>
      </c>
      <c r="BF77" s="13">
        <f t="shared" si="91"/>
        <v>39.786487601092411</v>
      </c>
      <c r="BG77" s="20">
        <f t="shared" si="61"/>
        <v>339.82105523856927</v>
      </c>
      <c r="BH77" s="59">
        <f t="shared" si="62"/>
        <v>633.15438857190259</v>
      </c>
      <c r="BI77" s="59">
        <f ca="1">AVERAGE(OFFSET($BH$3,0,0,'Données projet'!$E$11+1,1))-AVERAGE(OFFSET($H$3,0,0,'Données projet'!$E$11+1,1))</f>
        <v>175.73188403662408</v>
      </c>
      <c r="BJ77" s="59">
        <f t="shared" si="92"/>
        <v>152.02195399869032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3.3558875746510504</v>
      </c>
      <c r="BQ77" s="21">
        <f>EXP(-LN(2)/25)*BQ76+(1-EXP(-LN(2)/25))/(LN(2)/25)*Calculateur!BL77*Calculateur!BN77*VLOOKUP('Données projet'!$B$11,Paramètres!$A$1:$I$89,3,0)*0.475*44/12</f>
        <v>8.3040752187560134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11.659962793407065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5.6899038461538431</v>
      </c>
      <c r="BY77" s="12">
        <f>IF('Données projet'!$A$114&gt;35,BY76+BX77-CG76,IF(A77&lt;'Données projet'!$A$114,$BV$205^A77,IF(A77='Données projet'!$A$114,'Données projet'!$B$114,BY76+BX77-CG76)))</f>
        <v>175.69471153846149</v>
      </c>
      <c r="BZ77" s="13">
        <f>BY77*VLOOKUP('Données projet'!$B$12,Paramètres!$A$1:$I$89,3,0)*VLOOKUP('Données projet'!$B$12,Paramètres!$A$1:$I$89,5,0)</f>
        <v>158.96857499999996</v>
      </c>
      <c r="CA77" s="13">
        <f t="shared" si="93"/>
        <v>40.609787126426944</v>
      </c>
      <c r="CB77" s="20">
        <f t="shared" si="64"/>
        <v>347.59898070352688</v>
      </c>
      <c r="CC77" s="59">
        <f t="shared" si="65"/>
        <v>640.93231403686013</v>
      </c>
      <c r="CD77" s="59">
        <f ca="1">AVERAGE(OFFSET($CC$3,0,0,'Données projet'!$E$12+1,1))-AVERAGE(OFFSET($H$3,0,0,'Données projet'!$E$12+1,1))</f>
        <v>213.54857791046686</v>
      </c>
      <c r="CE77" s="59">
        <f t="shared" si="94"/>
        <v>138.46877538074244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211.39999999999998</v>
      </c>
      <c r="CU77" s="17">
        <f>CT77*VLOOKUP('Données projet'!$B$13,Paramètres!$A$1:$I$89,3,0)*VLOOKUP('Données projet'!$B$13,Paramètres!$A$1:$I$89,5,0)</f>
        <v>168.18984</v>
      </c>
      <c r="CV77" s="13">
        <f t="shared" si="95"/>
        <v>42.684355718695393</v>
      </c>
      <c r="CW77" s="20">
        <f t="shared" si="67"/>
        <v>367.2725575433945</v>
      </c>
      <c r="CX77" s="59">
        <f t="shared" si="68"/>
        <v>660.60589087672781</v>
      </c>
      <c r="CY77" s="59">
        <f ca="1">AVERAGE(OFFSET($CX$3,0,0,'Données projet'!$E$13+1,1))-AVERAGE(OFFSET($H$3,0,0,'Données projet'!$E$13+1,1))</f>
        <v>161.87883827031436</v>
      </c>
      <c r="CZ77" s="59">
        <f t="shared" si="96"/>
        <v>163.02076389611869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8.695698528799003</v>
      </c>
      <c r="DG77" s="21">
        <f>EXP(-LN(2)/25)*DG76+(1-EXP(-LN(2)/25))/(LN(2)/25)*Calculateur!DB77*Calculateur!DD77*VLOOKUP('Données projet'!$B$13,Paramètres!$A$1:$I$89,3,0)*0.475*44/12</f>
        <v>8.7909618948025532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17.486660423601556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2.8</v>
      </c>
      <c r="DO77" s="12">
        <f>IF('Données projet'!$A$166&gt;35,DO76+DN77-DW76,IF(A77&lt;'Données projet'!$A$166,$DL$205^A77,IF(A77='Données projet'!$A$166,'Données projet'!$B$166,DO76+DN77-DW76)))</f>
        <v>139.20000000000007</v>
      </c>
      <c r="DP77" s="17">
        <f>DO77*VLOOKUP('Données projet'!$B$14,Paramètres!$A$1:$I$89,3,0)*VLOOKUP('Données projet'!$B$14,Paramètres!$A$1:$I$89,5,0)</f>
        <v>112.91904000000007</v>
      </c>
      <c r="DQ77" s="13">
        <f t="shared" si="97"/>
        <v>30.01768132390011</v>
      </c>
      <c r="DR77" s="20">
        <f t="shared" si="70"/>
        <v>248.94812297245946</v>
      </c>
      <c r="DS77" s="59">
        <f t="shared" si="71"/>
        <v>542.28145630579274</v>
      </c>
      <c r="DT77" s="59">
        <f ca="1">AVERAGE(OFFSET($DS$3,0,0,'Données projet'!$E$14+1,1))-AVERAGE(OFFSET($H$3,0,0,'Données projet'!$E$14+1,1))</f>
        <v>96.611230241682733</v>
      </c>
      <c r="DU77" s="59">
        <f t="shared" si="98"/>
        <v>78.711045514042041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0.28499029236760759</v>
      </c>
      <c r="EB77" s="21">
        <f>EXP(-LN(2)/25)*EB76+(1-EXP(-LN(2)/25))/(LN(2)/25)*Calculateur!DW77*Calculateur!DY77*VLOOKUP('Données projet'!$B$14,Paramètres!$A$1:$I$89,3,0)*0.475*44/12</f>
        <v>3.7189669835705845</v>
      </c>
      <c r="EC77" s="21">
        <f>EXP(-LN(2)/2)*EC76+(1-EXP(-LN(2)/2))/(LN(2)/2)*DW77*DZ77*VLOOKUP('Données projet'!$B$14,Paramètres!$A$1:$I$89,3,0)*0.475*44/12</f>
        <v>0.55784758213359587</v>
      </c>
      <c r="ED77" s="22">
        <f t="shared" si="72"/>
        <v>4.5618048580717883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188.61152573050066</v>
      </c>
      <c r="EP77" s="59">
        <f t="shared" si="100"/>
        <v>172.37050503841624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153.74849609764797</v>
      </c>
      <c r="EW77" s="21">
        <f>EXP(-LN(2)/25)*EW76+(1-EXP(-LN(2)/25))/(LN(2)/25)*Calculateur!ER77*Calculateur!ET77*VLOOKUP('Données projet'!$B$15,Paramètres!$A$1:$I$89,3,0)*0.475*44/12</f>
        <v>39.227432877264626</v>
      </c>
      <c r="EX77" s="21">
        <f>EXP(-LN(2)/2)*EX76+(1-EXP(-LN(2)/2))/(LN(2)/2)*ER77*EU77*VLOOKUP('Données projet'!$B$15,Paramètres!$A$1:$I$89,3,0)*0.475*44/12</f>
        <v>7.8738386656065371</v>
      </c>
      <c r="EY77" s="22">
        <f t="shared" si="75"/>
        <v>200.84976764051913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>
        <f>FE77*VLOOKUP('Données projet'!$B$16,Paramètres!$A$1:$I$89,3,0)*VLOOKUP('Données projet'!$B$16,Paramètres!$A$1:$I$89,5,0)</f>
        <v>0</v>
      </c>
      <c r="FG77" s="13" t="e">
        <f t="shared" si="101"/>
        <v>#NUM!</v>
      </c>
      <c r="FH77" s="20" t="e">
        <f t="shared" si="76"/>
        <v>#NUM!</v>
      </c>
      <c r="FI77" s="59" t="e">
        <f t="shared" si="77"/>
        <v>#NUM!</v>
      </c>
      <c r="FJ77" s="59">
        <f ca="1">AVERAGE(OFFSET($FI$3,0,0,'Données projet'!$E$16+1,1))-AVERAGE(OFFSET($H$3,0,0,'Données projet'!$E$16+1,1))</f>
        <v>0</v>
      </c>
      <c r="FK77" s="59">
        <f t="shared" si="102"/>
        <v>0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0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197.78572767493569</v>
      </c>
      <c r="T78" s="59">
        <f t="shared" si="88"/>
        <v>288.66487031729008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270</v>
      </c>
      <c r="AG78" s="12">
        <f>VLOOKUP(A78,'Données projet'!$A$61:$I$81,9,0)</f>
        <v>3.4</v>
      </c>
      <c r="AH78" s="12">
        <f t="array" ref="AH78">INDEX(AG:AG,MIN(IF(ISNUMBER(AG78:AG274),ROW(AG78:AG274),"")))</f>
        <v>3.4</v>
      </c>
      <c r="AI78" s="13">
        <f>IF('Données projet'!$A$62&gt;35,AI77+AH78-AQ77,IF(A78&lt;'Données projet'!$A$62,$AF$205^A78,IF(A78='Données projet'!$A$62,'Données projet'!$B$62,AI77+AH78-AQ77)))</f>
        <v>269.99999999999977</v>
      </c>
      <c r="AJ78" s="13">
        <f>AI78*VLOOKUP('Données projet'!$B$10,Paramètres!$A$1:$I$89,3,0)*VLOOKUP('Données projet'!$B$10,Paramètres!$A$1:$I$89,5,0)</f>
        <v>214.81199999999981</v>
      </c>
      <c r="AK78" s="13">
        <f t="shared" si="89"/>
        <v>52.985738231738011</v>
      </c>
      <c r="AL78" s="20">
        <f t="shared" si="58"/>
        <v>466.41439408694333</v>
      </c>
      <c r="AM78" s="59">
        <f t="shared" si="59"/>
        <v>759.74772742027665</v>
      </c>
      <c r="AN78" s="59">
        <f ca="1">AVERAGE(OFFSET($AM$3,0,0,'Données projet'!$E$10+1,1))-AVERAGE(OFFSET($H$3,0,0,'Données projet'!$E$10+1,1))</f>
        <v>219.43439115440339</v>
      </c>
      <c r="AO78" s="59">
        <f t="shared" si="90"/>
        <v>217.8880462742099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9</v>
      </c>
      <c r="AR78" s="16">
        <f>IF(ISNA(VLOOKUP(A78,'Données projet'!$A$61:$I$81,5,0)),0%,VLOOKUP(A78,'Données projet'!$A$61:$I$81,5,0)*VLOOKUP('Données projet'!$B$10,Paramètres!$A$1:$I$89,7,0))</f>
        <v>0.47170000000000001</v>
      </c>
      <c r="AS78" s="16">
        <f>IF(ISNA(VLOOKUP(A78,'Données projet'!$A$61:$I$81,6,0)),0%,VLOOKUP(A78,'Données projet'!$A$61:$I$81,6,0)*VLOOKUP('Données projet'!$B$10,Paramètres!$A$1:$I$89,7,0))</f>
        <v>5.8300000000000005E-2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28.164976855400631</v>
      </c>
      <c r="AV78" s="21">
        <f>EXP(-LN(2)/25)*AV77+(1-EXP(-LN(2)/25))/(LN(2)/25)*Calculateur!AQ78*Calculateur!AS78*VLOOKUP('Données projet'!$B$10,Paramètres!$A$1:$I$89,3,0)*0.475*44/12</f>
        <v>9.0127353814937177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37.177712236894351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</v>
      </c>
      <c r="BB78" s="12">
        <f>VLOOKUP(A78,'Données projet'!$A$87:$I$107,9,0)</f>
        <v>3.2</v>
      </c>
      <c r="BC78" s="12">
        <f t="array" ref="BC78">INDEX(BB:BB,MIN(IF(ISNUMBER(BB78:BB274),ROW(BB78:BB274),"")))</f>
        <v>3.2</v>
      </c>
      <c r="BD78" s="12">
        <f>IF('Données projet'!$A$88&gt;35,BD77+BC78-BL77,IF(A78&lt;'Données projet'!$A$88,$BA$205^A78,IF(A78='Données projet'!$A$88,'Données projet'!$B$88,BD77+BC78-BL77)))</f>
        <v>180.99999999999994</v>
      </c>
      <c r="BE78" s="13">
        <f>BD78*VLOOKUP('Données projet'!$B$11,Paramètres!$A$1:$I$89,3,0)*VLOOKUP('Données projet'!$B$11,Paramètres!$A$1:$I$89,5,0)</f>
        <v>158.12159999999997</v>
      </c>
      <c r="BF78" s="13">
        <f t="shared" si="91"/>
        <v>40.418546284954211</v>
      </c>
      <c r="BG78" s="20">
        <f t="shared" si="61"/>
        <v>345.79075477962851</v>
      </c>
      <c r="BH78" s="59">
        <f t="shared" si="62"/>
        <v>639.12408811296177</v>
      </c>
      <c r="BI78" s="59">
        <f ca="1">AVERAGE(OFFSET($BH$3,0,0,'Données projet'!$E$11+1,1))-AVERAGE(OFFSET($H$3,0,0,'Données projet'!$E$11+1,1))</f>
        <v>175.73188403662408</v>
      </c>
      <c r="BJ78" s="59">
        <f t="shared" si="92"/>
        <v>152.02195399869032</v>
      </c>
      <c r="BK78" s="15">
        <f>IF(ISNA(VLOOKUP(A78,'Données projet'!$A$87:$I$107,3,0)),0,VLOOKUP(A78,'Données projet'!$A$87:$I$107,3,0))</f>
        <v>11</v>
      </c>
      <c r="BL78" s="15" t="str">
        <f>IF(ISNA(VLOOKUP(A78,'Données projet'!$A$87:$I$107,4,0)),0,VLOOKUP(A78,'Données projet'!$A$87:$I$107,4,0))</f>
        <v>10</v>
      </c>
      <c r="BM78" s="16">
        <f>IF(ISNA(VLOOKUP(A78,'Données projet'!$A$87:$I$107,5,0)),0%,VLOOKUP(A78,'Données projet'!$A$87:$I$107,5,0)*VLOOKUP('Données projet'!$B$11,Paramètres!$A$1:$I$89,7,0))</f>
        <v>0.17200000000000001</v>
      </c>
      <c r="BN78" s="16">
        <f>IF(ISNA(VLOOKUP(A78,'Données projet'!$A$87:$I$107,6,0)),0%,VLOOKUP(A78,'Données projet'!$A$87:$I$107,6,0)*VLOOKUP('Données projet'!$B$11,Paramètres!$A$1:$I$89,7,0))</f>
        <v>0.17200000000000001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4.9511516147246253</v>
      </c>
      <c r="BQ78" s="21">
        <f>EXP(-LN(2)/25)*BQ77+(1-EXP(-LN(2)/25))/(LN(2)/25)*Calculateur!BL78*Calculateur!BN78*VLOOKUP('Données projet'!$B$11,Paramètres!$A$1:$I$89,3,0)*0.475*44/12</f>
        <v>9.7315305244879813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14.682682139212606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181.38461538461536</v>
      </c>
      <c r="BW78" s="12">
        <f>VLOOKUP(A78,'Données projet'!$A$113:$I$133,9,0)</f>
        <v>5.6899038461538431</v>
      </c>
      <c r="BX78" s="12">
        <f t="array" ref="BX78">INDEX(BW:BW,MIN(IF(ISNUMBER(BW78:BW274),ROW(BW78:BW274),"")))</f>
        <v>5.6899038461538431</v>
      </c>
      <c r="BY78" s="12">
        <f>IF('Données projet'!$A$114&gt;35,BY77+BX78-CG77,IF(A78&lt;'Données projet'!$A$114,$BV$205^A78,IF(A78='Données projet'!$A$114,'Données projet'!$B$114,BY77+BX78-CG77)))</f>
        <v>181.38461538461533</v>
      </c>
      <c r="BZ78" s="13">
        <f>BY78*VLOOKUP('Données projet'!$B$12,Paramètres!$A$1:$I$89,3,0)*VLOOKUP('Données projet'!$B$12,Paramètres!$A$1:$I$89,5,0)</f>
        <v>164.11679999999993</v>
      </c>
      <c r="CA78" s="13">
        <f t="shared" si="93"/>
        <v>41.769693774469289</v>
      </c>
      <c r="CB78" s="20">
        <f t="shared" si="64"/>
        <v>358.58564332386726</v>
      </c>
      <c r="CC78" s="59">
        <f t="shared" si="65"/>
        <v>651.91897665720057</v>
      </c>
      <c r="CD78" s="59">
        <f ca="1">AVERAGE(OFFSET($CC$3,0,0,'Données projet'!$E$12+1,1))-AVERAGE(OFFSET($H$3,0,0,'Données projet'!$E$12+1,1))</f>
        <v>213.54857791046686</v>
      </c>
      <c r="CE78" s="59">
        <f t="shared" si="94"/>
        <v>138.46877538074244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30.916666666666664</v>
      </c>
      <c r="CH78" s="16">
        <f>IF(ISNA(VLOOKUP(A78,'Données projet'!$A$113:$I$133,5,0)),0%,VLOOKUP(A78,'Données projet'!$A$113:$I$133,5,0)*VLOOKUP('Données projet'!$B$12,Paramètres!$A$1:$I$89,7,0))</f>
        <v>0.30099999999999999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9.3080532995629337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9.3080532995629337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213.99999999999997</v>
      </c>
      <c r="CU78" s="17">
        <f>CT78*VLOOKUP('Données projet'!$B$13,Paramètres!$A$1:$I$89,3,0)*VLOOKUP('Données projet'!$B$13,Paramètres!$A$1:$I$89,5,0)</f>
        <v>170.25839999999999</v>
      </c>
      <c r="CV78" s="13">
        <f t="shared" si="95"/>
        <v>43.147891472685053</v>
      </c>
      <c r="CW78" s="20">
        <f t="shared" si="67"/>
        <v>371.68262431492644</v>
      </c>
      <c r="CX78" s="59">
        <f t="shared" si="68"/>
        <v>665.0159576482597</v>
      </c>
      <c r="CY78" s="59">
        <f ca="1">AVERAGE(OFFSET($CX$3,0,0,'Données projet'!$E$13+1,1))-AVERAGE(OFFSET($H$3,0,0,'Données projet'!$E$13+1,1))</f>
        <v>161.87883827031436</v>
      </c>
      <c r="CZ78" s="59">
        <f t="shared" si="96"/>
        <v>163.02076389611869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0.30209999999999998</v>
      </c>
      <c r="DD78" s="16">
        <f>IF(ISNA(VLOOKUP(A78,'Données projet'!$A$139:$I$159,6,0)),0%,VLOOKUP(A78,'Données projet'!$A$139:$I$159,6,0)*VLOOKUP('Données projet'!$B$13,Paramètres!$A$1:$I$89,7,0))</f>
        <v>0.1537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10.385085705649278</v>
      </c>
      <c r="DG78" s="21">
        <f>EXP(-LN(2)/25)*DG77+(1-EXP(-LN(2)/25))/(LN(2)/25)*Calculateur!DB78*Calculateur!DD78*VLOOKUP('Données projet'!$B$13,Paramètres!$A$1:$I$89,3,0)*0.475*44/12</f>
        <v>9.4931139774345485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19.878199683083828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142</v>
      </c>
      <c r="DM78" s="12">
        <f>VLOOKUP(A78,'Données projet'!$A$165:$I$185,9,0)</f>
        <v>2.8</v>
      </c>
      <c r="DN78" s="12">
        <f t="array" ref="DN78">INDEX(DM:DM,MIN(IF(ISNUMBER(DM78:DM274),ROW(DM78:DM274),"")))</f>
        <v>2.8</v>
      </c>
      <c r="DO78" s="12">
        <f>IF('Données projet'!$A$166&gt;35,DO77+DN78-DW77,IF(A78&lt;'Données projet'!$A$166,$DL$205^A78,IF(A78='Données projet'!$A$166,'Données projet'!$B$166,DO77+DN78-DW77)))</f>
        <v>142.00000000000009</v>
      </c>
      <c r="DP78" s="17">
        <f>DO78*VLOOKUP('Données projet'!$B$14,Paramètres!$A$1:$I$89,3,0)*VLOOKUP('Données projet'!$B$14,Paramètres!$A$1:$I$89,5,0)</f>
        <v>115.19040000000008</v>
      </c>
      <c r="DQ78" s="13">
        <f t="shared" si="97"/>
        <v>30.550582519051975</v>
      </c>
      <c r="DR78" s="20">
        <f t="shared" si="70"/>
        <v>253.83221122068232</v>
      </c>
      <c r="DS78" s="59">
        <f t="shared" si="71"/>
        <v>547.1655445540157</v>
      </c>
      <c r="DT78" s="59">
        <f ca="1">AVERAGE(OFFSET($DS$3,0,0,'Données projet'!$E$14+1,1))-AVERAGE(OFFSET($H$3,0,0,'Données projet'!$E$14+1,1))</f>
        <v>96.611230241682733</v>
      </c>
      <c r="DU78" s="59">
        <f t="shared" si="98"/>
        <v>78.711045514042041</v>
      </c>
      <c r="DV78" s="15">
        <f>IF(ISNA(VLOOKUP(A78,'Données projet'!$A$165:$I$185,3,0)),0,VLOOKUP(A78,'Données projet'!$A$165:$I$185,3,0))</f>
        <v>11</v>
      </c>
      <c r="DW78" s="15">
        <f>IF(ISNA(VLOOKUP(A78,'Données projet'!$A$165:$I$185,4,0)),0,VLOOKUP(A78,'Données projet'!$A$165:$I$185,4,0))</f>
        <v>8</v>
      </c>
      <c r="DX78" s="16">
        <f>IF(ISNA(VLOOKUP(A78,'Données projet'!$A$165:$I$185,5,0)),0%,VLOOKUP(A78,'Données projet'!$A$165:$I$185,5,0)*VLOOKUP('Données projet'!$B$14,Paramètres!$A$1:$I$89,7,0))</f>
        <v>4.3000000000000003E-2</v>
      </c>
      <c r="DY78" s="16">
        <f>IF(ISNA(VLOOKUP(A78,'Données projet'!$A$165:$I$185,6,0)),0%,VLOOKUP(A78,'Données projet'!$A$165:$I$185,6,0)*VLOOKUP('Données projet'!$B$14,Paramètres!$A$1:$I$89,7,0))</f>
        <v>0.17200000000000001</v>
      </c>
      <c r="DZ78" s="16">
        <f>IF(ISNA(VLOOKUP(A78,'Données projet'!$A$165:$I$185,7,0)),0%,VLOOKUP(A78,'Données projet'!$A$165:$I$185,7,0))</f>
        <v>0.3</v>
      </c>
      <c r="EA78" s="21">
        <f>EXP(-LN(2)/35)*EA77+(1-EXP(-LN(2)/35))/(LN(2)/35)*DW78*DX78*VLOOKUP('Données projet'!$B$14,Paramètres!$A$1:$I$89,3,0)*0.475*44/12</f>
        <v>0.58788641128692554</v>
      </c>
      <c r="EB78" s="21">
        <f>EXP(-LN(2)/25)*EB77+(1-EXP(-LN(2)/25))/(LN(2)/25)*Calculateur!DW78*Calculateur!DY78*VLOOKUP('Données projet'!$B$14,Paramètres!$A$1:$I$89,3,0)*0.475*44/12</f>
        <v>4.8463515690131835</v>
      </c>
      <c r="EC78" s="21">
        <f>EXP(-LN(2)/2)*EC77+(1-EXP(-LN(2)/2))/(LN(2)/2)*DW78*DZ78*VLOOKUP('Données projet'!$B$14,Paramètres!$A$1:$I$89,3,0)*0.475*44/12</f>
        <v>2.231391487702123</v>
      </c>
      <c r="ED78" s="22">
        <f t="shared" si="72"/>
        <v>7.6656294680022317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188.61152573050066</v>
      </c>
      <c r="EP78" s="59">
        <f t="shared" si="100"/>
        <v>172.37050503841624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150.73358186649597</v>
      </c>
      <c r="EW78" s="21">
        <f>EXP(-LN(2)/25)*EW77+(1-EXP(-LN(2)/25))/(LN(2)/25)*Calculateur!ER78*Calculateur!ET78*VLOOKUP('Données projet'!$B$15,Paramètres!$A$1:$I$89,3,0)*0.475*44/12</f>
        <v>38.154756662354785</v>
      </c>
      <c r="EX78" s="21">
        <f>EXP(-LN(2)/2)*EX77+(1-EXP(-LN(2)/2))/(LN(2)/2)*ER78*EU78*VLOOKUP('Données projet'!$B$15,Paramètres!$A$1:$I$89,3,0)*0.475*44/12</f>
        <v>5.5676447144192194</v>
      </c>
      <c r="EY78" s="22">
        <f t="shared" si="75"/>
        <v>194.45598324326997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>
        <f>FE78*VLOOKUP('Données projet'!$B$16,Paramètres!$A$1:$I$89,3,0)*VLOOKUP('Données projet'!$B$16,Paramètres!$A$1:$I$89,5,0)</f>
        <v>0</v>
      </c>
      <c r="FG78" s="13" t="e">
        <f t="shared" si="101"/>
        <v>#NUM!</v>
      </c>
      <c r="FH78" s="20" t="e">
        <f t="shared" si="76"/>
        <v>#NUM!</v>
      </c>
      <c r="FI78" s="59" t="e">
        <f t="shared" si="77"/>
        <v>#NUM!</v>
      </c>
      <c r="FJ78" s="59">
        <f ca="1">AVERAGE(OFFSET($FI$3,0,0,'Données projet'!$E$16+1,1))-AVERAGE(OFFSET($H$3,0,0,'Données projet'!$E$16+1,1))</f>
        <v>0</v>
      </c>
      <c r="FK78" s="59">
        <f t="shared" si="102"/>
        <v>0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0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197.78572767493569</v>
      </c>
      <c r="T79" s="59">
        <f t="shared" si="88"/>
        <v>288.66487031729008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2.8</v>
      </c>
      <c r="AI79" s="13">
        <f>IF('Données projet'!$A$62&gt;35,AI78+AH79-AQ78,IF(A79&lt;'Données projet'!$A$62,$AF$205^A79,IF(A79='Données projet'!$A$62,'Données projet'!$B$62,AI78+AH79-AQ78)))</f>
        <v>263.79999999999978</v>
      </c>
      <c r="AJ79" s="13">
        <f>AI79*VLOOKUP('Données projet'!$B$10,Paramètres!$A$1:$I$89,3,0)*VLOOKUP('Données projet'!$B$10,Paramètres!$A$1:$I$89,5,0)</f>
        <v>209.87927999999985</v>
      </c>
      <c r="AK79" s="13">
        <f t="shared" si="89"/>
        <v>51.909204458241767</v>
      </c>
      <c r="AL79" s="20">
        <f t="shared" si="58"/>
        <v>455.94827709810414</v>
      </c>
      <c r="AM79" s="59">
        <f t="shared" si="59"/>
        <v>749.28161043143746</v>
      </c>
      <c r="AN79" s="59">
        <f ca="1">AVERAGE(OFFSET($AM$3,0,0,'Données projet'!$E$10+1,1))-AVERAGE(OFFSET($H$3,0,0,'Données projet'!$E$10+1,1))</f>
        <v>219.43439115440339</v>
      </c>
      <c r="AO79" s="59">
        <f t="shared" si="90"/>
        <v>217.8880462742099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27.612678838205827</v>
      </c>
      <c r="AV79" s="21">
        <f>EXP(-LN(2)/25)*AV78+(1-EXP(-LN(2)/25))/(LN(2)/25)*Calculateur!AQ79*Calculateur!AS79*VLOOKUP('Données projet'!$B$10,Paramètres!$A$1:$I$89,3,0)*0.475*44/12</f>
        <v>8.7662816585276175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36.378960496733441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173.79999999999995</v>
      </c>
      <c r="BE79" s="13">
        <f>BD79*VLOOKUP('Données projet'!$B$11,Paramètres!$A$1:$I$89,3,0)*VLOOKUP('Données projet'!$B$11,Paramètres!$A$1:$I$89,5,0)</f>
        <v>151.83167999999998</v>
      </c>
      <c r="BF79" s="13">
        <f t="shared" si="91"/>
        <v>38.99454697963769</v>
      </c>
      <c r="BG79" s="20">
        <f t="shared" si="61"/>
        <v>332.35567865620231</v>
      </c>
      <c r="BH79" s="59">
        <f t="shared" si="62"/>
        <v>625.68901198953563</v>
      </c>
      <c r="BI79" s="59">
        <f ca="1">AVERAGE(OFFSET($BH$3,0,0,'Données projet'!$E$11+1,1))-AVERAGE(OFFSET($H$3,0,0,'Données projet'!$E$11+1,1))</f>
        <v>175.73188403662408</v>
      </c>
      <c r="BJ79" s="59">
        <f t="shared" si="92"/>
        <v>152.02195399869032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4.8540625514641693</v>
      </c>
      <c r="BQ79" s="21">
        <f>EXP(-LN(2)/25)*BQ78+(1-EXP(-LN(2)/25))/(LN(2)/25)*Calculateur!BL79*Calculateur!BN79*VLOOKUP('Données projet'!$B$11,Paramètres!$A$1:$I$89,3,0)*0.475*44/12</f>
        <v>9.4654213105369092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14.319483862001078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5.5042735042735051</v>
      </c>
      <c r="BY79" s="12">
        <f>IF('Données projet'!$A$114&gt;35,BY78+BX79-CG78,IF(A79&lt;'Données projet'!$A$114,$BV$205^A79,IF(A79='Données projet'!$A$114,'Données projet'!$B$114,BY78+BX79-CG78)))</f>
        <v>155.97222222222217</v>
      </c>
      <c r="BZ79" s="13">
        <f>BY79*VLOOKUP('Données projet'!$B$12,Paramètres!$A$1:$I$89,3,0)*VLOOKUP('Données projet'!$B$12,Paramètres!$A$1:$I$89,5,0)</f>
        <v>141.12366666666662</v>
      </c>
      <c r="CA79" s="13">
        <f t="shared" si="93"/>
        <v>36.554301861544381</v>
      </c>
      <c r="CB79" s="20">
        <f t="shared" si="64"/>
        <v>309.45579518663413</v>
      </c>
      <c r="CC79" s="59">
        <f t="shared" si="65"/>
        <v>602.78912851996745</v>
      </c>
      <c r="CD79" s="59">
        <f ca="1">AVERAGE(OFFSET($CC$3,0,0,'Données projet'!$E$12+1,1))-AVERAGE(OFFSET($H$3,0,0,'Données projet'!$E$12+1,1))</f>
        <v>213.54857791046686</v>
      </c>
      <c r="CE79" s="59">
        <f t="shared" si="94"/>
        <v>138.46877538074244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9.1255280517104254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9.1255280517104254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209.39999999999998</v>
      </c>
      <c r="CU79" s="17">
        <f>CT79*VLOOKUP('Données projet'!$B$13,Paramètres!$A$1:$I$89,3,0)*VLOOKUP('Données projet'!$B$13,Paramètres!$A$1:$I$89,5,0)</f>
        <v>166.59863999999999</v>
      </c>
      <c r="CV79" s="13">
        <f t="shared" si="95"/>
        <v>42.327338338081013</v>
      </c>
      <c r="CW79" s="20">
        <f t="shared" si="67"/>
        <v>363.87941227215771</v>
      </c>
      <c r="CX79" s="59">
        <f t="shared" si="68"/>
        <v>657.21274560549102</v>
      </c>
      <c r="CY79" s="59">
        <f ca="1">AVERAGE(OFFSET($CX$3,0,0,'Données projet'!$E$13+1,1))-AVERAGE(OFFSET($H$3,0,0,'Données projet'!$E$13+1,1))</f>
        <v>161.87883827031436</v>
      </c>
      <c r="CZ79" s="59">
        <f t="shared" si="96"/>
        <v>163.02076389611869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10.181440509238318</v>
      </c>
      <c r="DG79" s="21">
        <f>EXP(-LN(2)/25)*DG78+(1-EXP(-LN(2)/25))/(LN(2)/25)*Calculateur!DB79*Calculateur!DD79*VLOOKUP('Données projet'!$B$13,Paramètres!$A$1:$I$89,3,0)*0.475*44/12</f>
        <v>9.2335242765004342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19.414964785738754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136.8000000000001</v>
      </c>
      <c r="DP79" s="17">
        <f>DO79*VLOOKUP('Données projet'!$B$14,Paramètres!$A$1:$I$89,3,0)*VLOOKUP('Données projet'!$B$14,Paramètres!$A$1:$I$89,5,0)</f>
        <v>110.97216000000009</v>
      </c>
      <c r="DQ79" s="13">
        <f t="shared" si="97"/>
        <v>29.559915623187358</v>
      </c>
      <c r="DR79" s="20">
        <f t="shared" si="70"/>
        <v>244.76003171038482</v>
      </c>
      <c r="DS79" s="59">
        <f t="shared" si="71"/>
        <v>538.09336504371811</v>
      </c>
      <c r="DT79" s="59">
        <f ca="1">AVERAGE(OFFSET($DS$3,0,0,'Données projet'!$E$14+1,1))-AVERAGE(OFFSET($H$3,0,0,'Données projet'!$E$14+1,1))</f>
        <v>96.611230241682733</v>
      </c>
      <c r="DU79" s="59">
        <f t="shared" si="98"/>
        <v>78.711045514042041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0.57635831733689347</v>
      </c>
      <c r="EB79" s="21">
        <f>EXP(-LN(2)/25)*EB78+(1-EXP(-LN(2)/25))/(LN(2)/25)*Calculateur!DW79*Calculateur!DY79*VLOOKUP('Données projet'!$B$14,Paramètres!$A$1:$I$89,3,0)*0.475*44/12</f>
        <v>4.7138278304999659</v>
      </c>
      <c r="EC79" s="21">
        <f>EXP(-LN(2)/2)*EC78+(1-EXP(-LN(2)/2))/(LN(2)/2)*DW79*DZ79*VLOOKUP('Données projet'!$B$14,Paramètres!$A$1:$I$89,3,0)*0.475*44/12</f>
        <v>1.57783205243611</v>
      </c>
      <c r="ED79" s="22">
        <f t="shared" si="72"/>
        <v>6.8680182002729691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188.61152573050066</v>
      </c>
      <c r="EP79" s="59">
        <f t="shared" si="100"/>
        <v>172.37050503841624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147.77778826450074</v>
      </c>
      <c r="EW79" s="21">
        <f>EXP(-LN(2)/25)*EW78+(1-EXP(-LN(2)/25))/(LN(2)/25)*Calculateur!ER79*Calculateur!ET79*VLOOKUP('Données projet'!$B$15,Paramètres!$A$1:$I$89,3,0)*0.475*44/12</f>
        <v>37.111412834951246</v>
      </c>
      <c r="EX79" s="21">
        <f>EXP(-LN(2)/2)*EX78+(1-EXP(-LN(2)/2))/(LN(2)/2)*ER79*EU79*VLOOKUP('Données projet'!$B$15,Paramètres!$A$1:$I$89,3,0)*0.475*44/12</f>
        <v>3.936919332803269</v>
      </c>
      <c r="EY79" s="22">
        <f t="shared" si="75"/>
        <v>188.82612043225524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>
        <f>FE79*VLOOKUP('Données projet'!$B$16,Paramètres!$A$1:$I$89,3,0)*VLOOKUP('Données projet'!$B$16,Paramètres!$A$1:$I$89,5,0)</f>
        <v>0</v>
      </c>
      <c r="FG79" s="13" t="e">
        <f t="shared" si="101"/>
        <v>#NUM!</v>
      </c>
      <c r="FH79" s="20" t="e">
        <f t="shared" si="76"/>
        <v>#NUM!</v>
      </c>
      <c r="FI79" s="59" t="e">
        <f t="shared" si="77"/>
        <v>#NUM!</v>
      </c>
      <c r="FJ79" s="59">
        <f ca="1">AVERAGE(OFFSET($FI$3,0,0,'Données projet'!$E$16+1,1))-AVERAGE(OFFSET($H$3,0,0,'Données projet'!$E$16+1,1))</f>
        <v>0</v>
      </c>
      <c r="FK79" s="59">
        <f t="shared" si="102"/>
        <v>0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0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197.78572767493569</v>
      </c>
      <c r="T80" s="59">
        <f t="shared" si="88"/>
        <v>288.66487031729008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2.8</v>
      </c>
      <c r="AI80" s="13">
        <f>IF('Données projet'!$A$62&gt;35,AI79+AH80-AQ79,IF(A80&lt;'Données projet'!$A$62,$AF$205^A80,IF(A80='Données projet'!$A$62,'Données projet'!$B$62,AI79+AH80-AQ79)))</f>
        <v>266.5999999999998</v>
      </c>
      <c r="AJ80" s="13">
        <f>AI80*VLOOKUP('Données projet'!$B$10,Paramètres!$A$1:$I$89,3,0)*VLOOKUP('Données projet'!$B$10,Paramètres!$A$1:$I$89,5,0)</f>
        <v>212.10695999999984</v>
      </c>
      <c r="AK80" s="13">
        <f t="shared" si="89"/>
        <v>52.395741612408194</v>
      </c>
      <c r="AL80" s="20">
        <f t="shared" si="58"/>
        <v>460.67553864161067</v>
      </c>
      <c r="AM80" s="59">
        <f t="shared" si="59"/>
        <v>754.00887197494399</v>
      </c>
      <c r="AN80" s="59">
        <f ca="1">AVERAGE(OFFSET($AM$3,0,0,'Données projet'!$E$10+1,1))-AVERAGE(OFFSET($H$3,0,0,'Données projet'!$E$10+1,1))</f>
        <v>219.43439115440339</v>
      </c>
      <c r="AO80" s="59">
        <f t="shared" si="90"/>
        <v>217.8880462742099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27.071211048259684</v>
      </c>
      <c r="AV80" s="21">
        <f>EXP(-LN(2)/25)*AV79+(1-EXP(-LN(2)/25))/(LN(2)/25)*Calculateur!AQ80*Calculateur!AS80*VLOOKUP('Données projet'!$B$10,Paramètres!$A$1:$I$89,3,0)*0.475*44/12</f>
        <v>8.5265672255764624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35.597778273836148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176.59999999999997</v>
      </c>
      <c r="BE80" s="13">
        <f>BD80*VLOOKUP('Données projet'!$B$11,Paramètres!$A$1:$I$89,3,0)*VLOOKUP('Données projet'!$B$11,Paramètres!$A$1:$I$89,5,0)</f>
        <v>154.27775999999997</v>
      </c>
      <c r="BF80" s="13">
        <f t="shared" si="91"/>
        <v>39.549125277353333</v>
      </c>
      <c r="BG80" s="20">
        <f t="shared" si="61"/>
        <v>337.58182519139035</v>
      </c>
      <c r="BH80" s="59">
        <f t="shared" si="62"/>
        <v>630.91515852472367</v>
      </c>
      <c r="BI80" s="59">
        <f ca="1">AVERAGE(OFFSET($BH$3,0,0,'Données projet'!$E$11+1,1))-AVERAGE(OFFSET($H$3,0,0,'Données projet'!$E$11+1,1))</f>
        <v>175.73188403662408</v>
      </c>
      <c r="BJ80" s="59">
        <f t="shared" si="92"/>
        <v>152.02195399869032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4.7588773455157698</v>
      </c>
      <c r="BQ80" s="21">
        <f>EXP(-LN(2)/25)*BQ79+(1-EXP(-LN(2)/25))/(LN(2)/25)*Calculateur!BL80*Calculateur!BN80*VLOOKUP('Données projet'!$B$11,Paramètres!$A$1:$I$89,3,0)*0.475*44/12</f>
        <v>9.2065888670354035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13.965466212551174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5.5042735042735051</v>
      </c>
      <c r="BY80" s="12">
        <f>IF('Données projet'!$A$114&gt;35,BY79+BX80-CG79,IF(A80&lt;'Données projet'!$A$114,$BV$205^A80,IF(A80='Données projet'!$A$114,'Données projet'!$B$114,BY79+BX80-CG79)))</f>
        <v>161.47649572649567</v>
      </c>
      <c r="BZ80" s="13">
        <f>BY80*VLOOKUP('Données projet'!$B$12,Paramètres!$A$1:$I$89,3,0)*VLOOKUP('Données projet'!$B$12,Paramètres!$A$1:$I$89,5,0)</f>
        <v>146.10393333333329</v>
      </c>
      <c r="CA80" s="13">
        <f t="shared" si="93"/>
        <v>37.691838944088502</v>
      </c>
      <c r="CB80" s="20">
        <f t="shared" si="64"/>
        <v>320.11097004984299</v>
      </c>
      <c r="CC80" s="59">
        <f t="shared" si="65"/>
        <v>613.44430338317625</v>
      </c>
      <c r="CD80" s="59">
        <f ca="1">AVERAGE(OFFSET($CC$3,0,0,'Données projet'!$E$12+1,1))-AVERAGE(OFFSET($H$3,0,0,'Données projet'!$E$12+1,1))</f>
        <v>213.54857791046686</v>
      </c>
      <c r="CE80" s="59">
        <f t="shared" si="94"/>
        <v>138.46877538074244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8.9465820126388955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8.9465820126388955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211.79999999999998</v>
      </c>
      <c r="CU80" s="17">
        <f>CT80*VLOOKUP('Données projet'!$B$13,Paramètres!$A$1:$I$89,3,0)*VLOOKUP('Données projet'!$B$13,Paramètres!$A$1:$I$89,5,0)</f>
        <v>168.50807999999998</v>
      </c>
      <c r="CV80" s="13">
        <f t="shared" si="95"/>
        <v>42.755711908378117</v>
      </c>
      <c r="CW80" s="20">
        <f t="shared" si="67"/>
        <v>367.95110424042514</v>
      </c>
      <c r="CX80" s="59">
        <f t="shared" si="68"/>
        <v>661.2844375737584</v>
      </c>
      <c r="CY80" s="59">
        <f ca="1">AVERAGE(OFFSET($CX$3,0,0,'Données projet'!$E$13+1,1))-AVERAGE(OFFSET($H$3,0,0,'Données projet'!$E$13+1,1))</f>
        <v>161.87883827031436</v>
      </c>
      <c r="CZ80" s="59">
        <f t="shared" si="96"/>
        <v>163.02076389611869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9.9817886709176715</v>
      </c>
      <c r="DG80" s="21">
        <f>EXP(-LN(2)/25)*DG79+(1-EXP(-LN(2)/25))/(LN(2)/25)*Calculateur!DB80*Calculateur!DD80*VLOOKUP('Données projet'!$B$13,Paramètres!$A$1:$I$89,3,0)*0.475*44/12</f>
        <v>8.981033069589591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18.962821740507263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139.60000000000011</v>
      </c>
      <c r="DP80" s="17">
        <f>DO80*VLOOKUP('Données projet'!$B$14,Paramètres!$A$1:$I$89,3,0)*VLOOKUP('Données projet'!$B$14,Paramètres!$A$1:$I$89,5,0)</f>
        <v>113.24352000000009</v>
      </c>
      <c r="DQ80" s="13">
        <f t="shared" si="97"/>
        <v>30.093885898919435</v>
      </c>
      <c r="DR80" s="20">
        <f t="shared" si="70"/>
        <v>249.6459819406181</v>
      </c>
      <c r="DS80" s="59">
        <f t="shared" si="71"/>
        <v>542.97931527395144</v>
      </c>
      <c r="DT80" s="59">
        <f ca="1">AVERAGE(OFFSET($DS$3,0,0,'Données projet'!$E$14+1,1))-AVERAGE(OFFSET($H$3,0,0,'Données projet'!$E$14+1,1))</f>
        <v>96.611230241682733</v>
      </c>
      <c r="DU80" s="59">
        <f t="shared" si="98"/>
        <v>78.711045514042041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0.56505628227777849</v>
      </c>
      <c r="EB80" s="21">
        <f>EXP(-LN(2)/25)*EB79+(1-EXP(-LN(2)/25))/(LN(2)/25)*Calculateur!DW80*Calculateur!DY80*VLOOKUP('Données projet'!$B$14,Paramètres!$A$1:$I$89,3,0)*0.475*44/12</f>
        <v>4.584927960585512</v>
      </c>
      <c r="EC80" s="21">
        <f>EXP(-LN(2)/2)*EC79+(1-EXP(-LN(2)/2))/(LN(2)/2)*DW80*DZ80*VLOOKUP('Données projet'!$B$14,Paramètres!$A$1:$I$89,3,0)*0.475*44/12</f>
        <v>1.1156957438510617</v>
      </c>
      <c r="ED80" s="22">
        <f t="shared" si="72"/>
        <v>6.2656799867143516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188.61152573050066</v>
      </c>
      <c r="EP80" s="59">
        <f t="shared" si="100"/>
        <v>172.37050503841624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144.87995597218458</v>
      </c>
      <c r="EW80" s="21">
        <f>EXP(-LN(2)/25)*EW79+(1-EXP(-LN(2)/25))/(LN(2)/25)*Calculateur!ER80*Calculateur!ET80*VLOOKUP('Données projet'!$B$15,Paramètres!$A$1:$I$89,3,0)*0.475*44/12</f>
        <v>36.096599299375121</v>
      </c>
      <c r="EX80" s="21">
        <f>EXP(-LN(2)/2)*EX79+(1-EXP(-LN(2)/2))/(LN(2)/2)*ER80*EU80*VLOOKUP('Données projet'!$B$15,Paramètres!$A$1:$I$89,3,0)*0.475*44/12</f>
        <v>2.7838223572096101</v>
      </c>
      <c r="EY80" s="22">
        <f t="shared" si="75"/>
        <v>183.76037762876931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>
        <f>FE80*VLOOKUP('Données projet'!$B$16,Paramètres!$A$1:$I$89,3,0)*VLOOKUP('Données projet'!$B$16,Paramètres!$A$1:$I$89,5,0)</f>
        <v>0</v>
      </c>
      <c r="FG80" s="13" t="e">
        <f t="shared" si="101"/>
        <v>#NUM!</v>
      </c>
      <c r="FH80" s="20" t="e">
        <f t="shared" si="76"/>
        <v>#NUM!</v>
      </c>
      <c r="FI80" s="59" t="e">
        <f t="shared" si="77"/>
        <v>#NUM!</v>
      </c>
      <c r="FJ80" s="59">
        <f ca="1">AVERAGE(OFFSET($FI$3,0,0,'Données projet'!$E$16+1,1))-AVERAGE(OFFSET($H$3,0,0,'Données projet'!$E$16+1,1))</f>
        <v>0</v>
      </c>
      <c r="FK80" s="59">
        <f t="shared" si="102"/>
        <v>0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0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197.78572767493569</v>
      </c>
      <c r="T81" s="59">
        <f t="shared" si="88"/>
        <v>288.66487031729008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2.8</v>
      </c>
      <c r="AI81" s="13">
        <f>IF('Données projet'!$A$62&gt;35,AI80+AH81-AQ80,IF(A81&lt;'Données projet'!$A$62,$AF$205^A81,IF(A81='Données projet'!$A$62,'Données projet'!$B$62,AI80+AH81-AQ80)))</f>
        <v>269.39999999999981</v>
      </c>
      <c r="AJ81" s="13">
        <f>AI81*VLOOKUP('Données projet'!$B$10,Paramètres!$A$1:$I$89,3,0)*VLOOKUP('Données projet'!$B$10,Paramètres!$A$1:$I$89,5,0)</f>
        <v>214.33463999999984</v>
      </c>
      <c r="AK81" s="13">
        <f t="shared" si="89"/>
        <v>52.881684324030282</v>
      </c>
      <c r="AL81" s="20">
        <f t="shared" si="58"/>
        <v>465.40176486435234</v>
      </c>
      <c r="AM81" s="59">
        <f t="shared" si="59"/>
        <v>758.7350981976856</v>
      </c>
      <c r="AN81" s="59">
        <f ca="1">AVERAGE(OFFSET($AM$3,0,0,'Données projet'!$E$10+1,1))-AVERAGE(OFFSET($H$3,0,0,'Données projet'!$E$10+1,1))</f>
        <v>219.43439115440339</v>
      </c>
      <c r="AO81" s="59">
        <f t="shared" si="90"/>
        <v>217.8880462742099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26.540361111411645</v>
      </c>
      <c r="AV81" s="21">
        <f>EXP(-LN(2)/25)*AV80+(1-EXP(-LN(2)/25))/(LN(2)/25)*Calculateur!AQ81*Calculateur!AS81*VLOOKUP('Données projet'!$B$10,Paramètres!$A$1:$I$89,3,0)*0.475*44/12</f>
        <v>8.2934077964003912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34.833768907812036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179.39999999999998</v>
      </c>
      <c r="BE81" s="13">
        <f>BD81*VLOOKUP('Données projet'!$B$11,Paramètres!$A$1:$I$89,3,0)*VLOOKUP('Données projet'!$B$11,Paramètres!$A$1:$I$89,5,0)</f>
        <v>156.72384</v>
      </c>
      <c r="BF81" s="13">
        <f t="shared" si="91"/>
        <v>40.102680984620484</v>
      </c>
      <c r="BG81" s="20">
        <f t="shared" si="61"/>
        <v>342.80619071488064</v>
      </c>
      <c r="BH81" s="59">
        <f t="shared" si="62"/>
        <v>636.13952404821396</v>
      </c>
      <c r="BI81" s="59">
        <f ca="1">AVERAGE(OFFSET($BH$3,0,0,'Données projet'!$E$11+1,1))-AVERAGE(OFFSET($H$3,0,0,'Données projet'!$E$11+1,1))</f>
        <v>175.73188403662408</v>
      </c>
      <c r="BJ81" s="59">
        <f t="shared" si="92"/>
        <v>152.02195399869032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4.6655586633987758</v>
      </c>
      <c r="BQ81" s="21">
        <f>EXP(-LN(2)/25)*BQ80+(1-EXP(-LN(2)/25))/(LN(2)/25)*Calculateur!BL81*Calculateur!BN81*VLOOKUP('Données projet'!$B$11,Paramètres!$A$1:$I$89,3,0)*0.475*44/12</f>
        <v>8.9548342103128533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13.62039287371163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5.5042735042735051</v>
      </c>
      <c r="BY81" s="12">
        <f>IF('Données projet'!$A$114&gt;35,BY80+BX81-CG80,IF(A81&lt;'Données projet'!$A$114,$BV$205^A81,IF(A81='Données projet'!$A$114,'Données projet'!$B$114,BY80+BX81-CG80)))</f>
        <v>166.98076923076917</v>
      </c>
      <c r="BZ81" s="13">
        <f>BY81*VLOOKUP('Données projet'!$B$12,Paramètres!$A$1:$I$89,3,0)*VLOOKUP('Données projet'!$B$12,Paramètres!$A$1:$I$89,5,0)</f>
        <v>151.08419999999992</v>
      </c>
      <c r="CA81" s="13">
        <f t="shared" si="93"/>
        <v>38.824870591002266</v>
      </c>
      <c r="CB81" s="20">
        <f t="shared" si="64"/>
        <v>330.75829794599554</v>
      </c>
      <c r="CC81" s="59">
        <f t="shared" si="65"/>
        <v>624.09163127932879</v>
      </c>
      <c r="CD81" s="59">
        <f ca="1">AVERAGE(OFFSET($CC$3,0,0,'Données projet'!$E$12+1,1))-AVERAGE(OFFSET($H$3,0,0,'Données projet'!$E$12+1,1))</f>
        <v>213.54857791046686</v>
      </c>
      <c r="CE81" s="59">
        <f t="shared" si="94"/>
        <v>138.46877538074244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8.7711449962472532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8.7711449962472532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</v>
      </c>
      <c r="CU81" s="17">
        <f>CT81*VLOOKUP('Données projet'!$B$13,Paramètres!$A$1:$I$89,3,0)*VLOOKUP('Données projet'!$B$13,Paramètres!$A$1:$I$89,5,0)</f>
        <v>170.41752</v>
      </c>
      <c r="CV81" s="13">
        <f t="shared" si="95"/>
        <v>43.183520822110523</v>
      </c>
      <c r="CW81" s="20">
        <f t="shared" si="67"/>
        <v>372.02181276517581</v>
      </c>
      <c r="CX81" s="59">
        <f t="shared" si="68"/>
        <v>665.35514609850907</v>
      </c>
      <c r="CY81" s="59">
        <f ca="1">AVERAGE(OFFSET($CX$3,0,0,'Données projet'!$E$13+1,1))-AVERAGE(OFFSET($H$3,0,0,'Données projet'!$E$13+1,1))</f>
        <v>161.87883827031436</v>
      </c>
      <c r="CZ81" s="59">
        <f t="shared" si="96"/>
        <v>163.02076389611869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9.7860518833708969</v>
      </c>
      <c r="DG81" s="21">
        <f>EXP(-LN(2)/25)*DG80+(1-EXP(-LN(2)/25))/(LN(2)/25)*Calculateur!DB81*Calculateur!DD81*VLOOKUP('Données projet'!$B$13,Paramètres!$A$1:$I$89,3,0)*0.475*44/12</f>
        <v>8.7354462480096604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18.521498131380557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142.40000000000012</v>
      </c>
      <c r="DP81" s="17">
        <f>DO81*VLOOKUP('Données projet'!$B$14,Paramètres!$A$1:$I$89,3,0)*VLOOKUP('Données projet'!$B$14,Paramètres!$A$1:$I$89,5,0)</f>
        <v>115.51488000000009</v>
      </c>
      <c r="DQ81" s="13">
        <f t="shared" si="97"/>
        <v>30.626610895868261</v>
      </c>
      <c r="DR81" s="20">
        <f t="shared" si="70"/>
        <v>254.52976331030399</v>
      </c>
      <c r="DS81" s="59">
        <f t="shared" si="71"/>
        <v>547.86309664363728</v>
      </c>
      <c r="DT81" s="59">
        <f ca="1">AVERAGE(OFFSET($DS$3,0,0,'Données projet'!$E$14+1,1))-AVERAGE(OFFSET($H$3,0,0,'Données projet'!$E$14+1,1))</f>
        <v>96.611230241682733</v>
      </c>
      <c r="DU81" s="59">
        <f t="shared" si="98"/>
        <v>78.711045514042041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0.5539758732326121</v>
      </c>
      <c r="EB81" s="21">
        <f>EXP(-LN(2)/25)*EB80+(1-EXP(-LN(2)/25))/(LN(2)/25)*Calculateur!DW81*Calculateur!DY81*VLOOKUP('Données projet'!$B$14,Paramètres!$A$1:$I$89,3,0)*0.475*44/12</f>
        <v>4.4595528643924185</v>
      </c>
      <c r="EC81" s="21">
        <f>EXP(-LN(2)/2)*EC80+(1-EXP(-LN(2)/2))/(LN(2)/2)*DW81*DZ81*VLOOKUP('Données projet'!$B$14,Paramètres!$A$1:$I$89,3,0)*0.475*44/12</f>
        <v>0.78891602621805512</v>
      </c>
      <c r="ED81" s="22">
        <f t="shared" si="72"/>
        <v>5.8024447638430852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188.61152573050066</v>
      </c>
      <c r="EP81" s="59">
        <f t="shared" si="100"/>
        <v>172.37050503841624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142.03894840361755</v>
      </c>
      <c r="EW81" s="21">
        <f>EXP(-LN(2)/25)*EW80+(1-EXP(-LN(2)/25))/(LN(2)/25)*Calculateur!ER81*Calculateur!ET81*VLOOKUP('Données projet'!$B$15,Paramètres!$A$1:$I$89,3,0)*0.475*44/12</f>
        <v>35.109535893296048</v>
      </c>
      <c r="EX81" s="21">
        <f>EXP(-LN(2)/2)*EX80+(1-EXP(-LN(2)/2))/(LN(2)/2)*ER81*EU81*VLOOKUP('Données projet'!$B$15,Paramètres!$A$1:$I$89,3,0)*0.475*44/12</f>
        <v>1.9684596664016349</v>
      </c>
      <c r="EY81" s="22">
        <f t="shared" si="75"/>
        <v>179.11694396331524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>
        <f>FE81*VLOOKUP('Données projet'!$B$16,Paramètres!$A$1:$I$89,3,0)*VLOOKUP('Données projet'!$B$16,Paramètres!$A$1:$I$89,5,0)</f>
        <v>0</v>
      </c>
      <c r="FG81" s="13" t="e">
        <f t="shared" si="101"/>
        <v>#NUM!</v>
      </c>
      <c r="FH81" s="20" t="e">
        <f t="shared" si="76"/>
        <v>#NUM!</v>
      </c>
      <c r="FI81" s="59" t="e">
        <f t="shared" si="77"/>
        <v>#NUM!</v>
      </c>
      <c r="FJ81" s="59">
        <f ca="1">AVERAGE(OFFSET($FI$3,0,0,'Données projet'!$E$16+1,1))-AVERAGE(OFFSET($H$3,0,0,'Données projet'!$E$16+1,1))</f>
        <v>0</v>
      </c>
      <c r="FK81" s="59">
        <f t="shared" si="102"/>
        <v>0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0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197.78572767493569</v>
      </c>
      <c r="T82" s="59">
        <f t="shared" si="88"/>
        <v>288.66487031729008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2.8</v>
      </c>
      <c r="AI82" s="13">
        <f>IF('Données projet'!$A$62&gt;35,AI81+AH82-AQ81,IF(A82&lt;'Données projet'!$A$62,$AF$205^A82,IF(A82='Données projet'!$A$62,'Données projet'!$B$62,AI81+AH82-AQ81)))</f>
        <v>272.19999999999982</v>
      </c>
      <c r="AJ82" s="13">
        <f>AI82*VLOOKUP('Données projet'!$B$10,Paramètres!$A$1:$I$89,3,0)*VLOOKUP('Données projet'!$B$10,Paramètres!$A$1:$I$89,5,0)</f>
        <v>216.56231999999989</v>
      </c>
      <c r="AK82" s="13">
        <f t="shared" si="89"/>
        <v>53.367039486661959</v>
      </c>
      <c r="AL82" s="20">
        <f t="shared" si="58"/>
        <v>470.12696777260271</v>
      </c>
      <c r="AM82" s="59">
        <f t="shared" si="59"/>
        <v>763.46030110593597</v>
      </c>
      <c r="AN82" s="59">
        <f ca="1">AVERAGE(OFFSET($AM$3,0,0,'Données projet'!$E$10+1,1))-AVERAGE(OFFSET($H$3,0,0,'Données projet'!$E$10+1,1))</f>
        <v>219.43439115440339</v>
      </c>
      <c r="AO82" s="59">
        <f t="shared" si="90"/>
        <v>217.8880462742099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26.019920818038706</v>
      </c>
      <c r="AV82" s="21">
        <f>EXP(-LN(2)/25)*AV81+(1-EXP(-LN(2)/25))/(LN(2)/25)*Calculateur!AQ82*Calculateur!AS82*VLOOKUP('Données projet'!$B$10,Paramètres!$A$1:$I$89,3,0)*0.475*44/12</f>
        <v>8.066624124076462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34.086544942115168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182.2</v>
      </c>
      <c r="BE82" s="13">
        <f>BD82*VLOOKUP('Données projet'!$B$11,Paramètres!$A$1:$I$89,3,0)*VLOOKUP('Données projet'!$B$11,Paramètres!$A$1:$I$89,5,0)</f>
        <v>159.16991999999999</v>
      </c>
      <c r="BF82" s="13">
        <f t="shared" si="91"/>
        <v>40.655231904645788</v>
      </c>
      <c r="BG82" s="20">
        <f t="shared" si="61"/>
        <v>348.02880623392474</v>
      </c>
      <c r="BH82" s="59">
        <f t="shared" si="62"/>
        <v>641.36213956725805</v>
      </c>
      <c r="BI82" s="59">
        <f ca="1">AVERAGE(OFFSET($BH$3,0,0,'Données projet'!$E$11+1,1))-AVERAGE(OFFSET($H$3,0,0,'Données projet'!$E$11+1,1))</f>
        <v>175.73188403662408</v>
      </c>
      <c r="BJ82" s="59">
        <f t="shared" si="92"/>
        <v>152.02195399869032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4.5740699037193195</v>
      </c>
      <c r="BQ82" s="21">
        <f>EXP(-LN(2)/25)*BQ81+(1-EXP(-LN(2)/25))/(LN(2)/25)*Calculateur!BL82*Calculateur!BN82*VLOOKUP('Données projet'!$B$11,Paramètres!$A$1:$I$89,3,0)*0.475*44/12</f>
        <v>8.7099637979175846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13.284033701636904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5.5042735042735051</v>
      </c>
      <c r="BY82" s="12">
        <f>IF('Données projet'!$A$114&gt;35,BY81+BX82-CG81,IF(A82&lt;'Données projet'!$A$114,$BV$205^A82,IF(A82='Données projet'!$A$114,'Données projet'!$B$114,BY81+BX82-CG81)))</f>
        <v>172.48504273504267</v>
      </c>
      <c r="BZ82" s="13">
        <f>BY82*VLOOKUP('Données projet'!$B$12,Paramètres!$A$1:$I$89,3,0)*VLOOKUP('Données projet'!$B$12,Paramètres!$A$1:$I$89,5,0)</f>
        <v>156.06446666666659</v>
      </c>
      <c r="CA82" s="13">
        <f t="shared" si="93"/>
        <v>39.953562347640762</v>
      </c>
      <c r="CB82" s="20">
        <f t="shared" si="64"/>
        <v>341.39806719991861</v>
      </c>
      <c r="CC82" s="59">
        <f t="shared" si="65"/>
        <v>634.73140053325187</v>
      </c>
      <c r="CD82" s="59">
        <f ca="1">AVERAGE(OFFSET($CC$3,0,0,'Données projet'!$E$12+1,1))-AVERAGE(OFFSET($H$3,0,0,'Données projet'!$E$12+1,1))</f>
        <v>213.54857791046686</v>
      </c>
      <c r="CE82" s="59">
        <f t="shared" si="94"/>
        <v>138.46877538074244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8.5991481927410369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8.5991481927410369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</v>
      </c>
      <c r="CU82" s="17">
        <f>CT82*VLOOKUP('Données projet'!$B$13,Paramètres!$A$1:$I$89,3,0)*VLOOKUP('Données projet'!$B$13,Paramètres!$A$1:$I$89,5,0)</f>
        <v>172.32695999999999</v>
      </c>
      <c r="CV82" s="13">
        <f t="shared" si="95"/>
        <v>43.61077213808133</v>
      </c>
      <c r="CW82" s="20">
        <f t="shared" si="67"/>
        <v>376.09155014049156</v>
      </c>
      <c r="CX82" s="59">
        <f t="shared" si="68"/>
        <v>669.42488347382482</v>
      </c>
      <c r="CY82" s="59">
        <f ca="1">AVERAGE(OFFSET($CX$3,0,0,'Données projet'!$E$13+1,1))-AVERAGE(OFFSET($H$3,0,0,'Données projet'!$E$13+1,1))</f>
        <v>161.87883827031436</v>
      </c>
      <c r="CZ82" s="59">
        <f t="shared" si="96"/>
        <v>163.02076389611869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9.5941533748402623</v>
      </c>
      <c r="DG82" s="21">
        <f>EXP(-LN(2)/25)*DG81+(1-EXP(-LN(2)/25))/(LN(2)/25)*Calculateur!DB82*Calculateur!DD82*VLOOKUP('Données projet'!$B$13,Paramètres!$A$1:$I$89,3,0)*0.475*44/12</f>
        <v>8.496575010980683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18.090728385820945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145.20000000000013</v>
      </c>
      <c r="DP82" s="17">
        <f>DO82*VLOOKUP('Données projet'!$B$14,Paramètres!$A$1:$I$89,3,0)*VLOOKUP('Données projet'!$B$14,Paramètres!$A$1:$I$89,5,0)</f>
        <v>117.78624000000012</v>
      </c>
      <c r="DQ82" s="13">
        <f t="shared" si="97"/>
        <v>31.15811792229389</v>
      </c>
      <c r="DR82" s="20">
        <f t="shared" si="70"/>
        <v>259.41142338132875</v>
      </c>
      <c r="DS82" s="59">
        <f t="shared" si="71"/>
        <v>552.74475671466212</v>
      </c>
      <c r="DT82" s="59">
        <f ca="1">AVERAGE(OFFSET($DS$3,0,0,'Données projet'!$E$14+1,1))-AVERAGE(OFFSET($H$3,0,0,'Données projet'!$E$14+1,1))</f>
        <v>96.611230241682733</v>
      </c>
      <c r="DU82" s="59">
        <f t="shared" si="98"/>
        <v>78.711045514042041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0.54311274425043921</v>
      </c>
      <c r="EB82" s="21">
        <f>EXP(-LN(2)/25)*EB81+(1-EXP(-LN(2)/25))/(LN(2)/25)*Calculateur!DW82*Calculateur!DY82*VLOOKUP('Données projet'!$B$14,Paramètres!$A$1:$I$89,3,0)*0.475*44/12</f>
        <v>4.3376061567979152</v>
      </c>
      <c r="EC82" s="21">
        <f>EXP(-LN(2)/2)*EC81+(1-EXP(-LN(2)/2))/(LN(2)/2)*DW82*DZ82*VLOOKUP('Données projet'!$B$14,Paramètres!$A$1:$I$89,3,0)*0.475*44/12</f>
        <v>0.55784787192553098</v>
      </c>
      <c r="ED82" s="22">
        <f t="shared" si="72"/>
        <v>5.4385667729738847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188.61152573050066</v>
      </c>
      <c r="EP82" s="59">
        <f t="shared" si="100"/>
        <v>172.37050503841624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139.25365126062661</v>
      </c>
      <c r="EW82" s="21">
        <f>EXP(-LN(2)/25)*EW81+(1-EXP(-LN(2)/25))/(LN(2)/25)*Calculateur!ER82*Calculateur!ET82*VLOOKUP('Données projet'!$B$15,Paramètres!$A$1:$I$89,3,0)*0.475*44/12</f>
        <v>34.149463787963619</v>
      </c>
      <c r="EX82" s="21">
        <f>EXP(-LN(2)/2)*EX81+(1-EXP(-LN(2)/2))/(LN(2)/2)*ER82*EU82*VLOOKUP('Données projet'!$B$15,Paramètres!$A$1:$I$89,3,0)*0.475*44/12</f>
        <v>1.3919111786048053</v>
      </c>
      <c r="EY82" s="22">
        <f t="shared" si="75"/>
        <v>174.79502622719502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>
        <f>FE82*VLOOKUP('Données projet'!$B$16,Paramètres!$A$1:$I$89,3,0)*VLOOKUP('Données projet'!$B$16,Paramètres!$A$1:$I$89,5,0)</f>
        <v>0</v>
      </c>
      <c r="FG82" s="13" t="e">
        <f t="shared" si="101"/>
        <v>#NUM!</v>
      </c>
      <c r="FH82" s="20" t="e">
        <f t="shared" si="76"/>
        <v>#NUM!</v>
      </c>
      <c r="FI82" s="59" t="e">
        <f t="shared" si="77"/>
        <v>#NUM!</v>
      </c>
      <c r="FJ82" s="59">
        <f ca="1">AVERAGE(OFFSET($FI$3,0,0,'Données projet'!$E$16+1,1))-AVERAGE(OFFSET($H$3,0,0,'Données projet'!$E$16+1,1))</f>
        <v>0</v>
      </c>
      <c r="FK82" s="59">
        <f t="shared" si="102"/>
        <v>0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0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197.78572767493569</v>
      </c>
      <c r="T83" s="59">
        <f t="shared" si="88"/>
        <v>288.66487031729008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275</v>
      </c>
      <c r="AG83" s="12">
        <f>VLOOKUP(A83,'Données projet'!$A$61:$I$81,9,0)</f>
        <v>2.8</v>
      </c>
      <c r="AH83" s="12">
        <f t="array" ref="AH83">INDEX(AG:AG,MIN(IF(ISNUMBER(AG83:AG279),ROW(AG83:AG279),"")))</f>
        <v>2.8</v>
      </c>
      <c r="AI83" s="13">
        <f>IF('Données projet'!$A$62&gt;35,AI82+AH83-AQ82,IF(A83&lt;'Données projet'!$A$62,$AF$205^A83,IF(A83='Données projet'!$A$62,'Données projet'!$B$62,AI82+AH83-AQ82)))</f>
        <v>274.99999999999983</v>
      </c>
      <c r="AJ83" s="13">
        <f>AI83*VLOOKUP('Données projet'!$B$10,Paramètres!$A$1:$I$89,3,0)*VLOOKUP('Données projet'!$B$10,Paramètres!$A$1:$I$89,5,0)</f>
        <v>218.78999999999988</v>
      </c>
      <c r="AK83" s="13">
        <f t="shared" si="89"/>
        <v>53.851813843863468</v>
      </c>
      <c r="AL83" s="20">
        <f t="shared" si="58"/>
        <v>474.85115911139536</v>
      </c>
      <c r="AM83" s="59">
        <f t="shared" si="59"/>
        <v>768.18449244472868</v>
      </c>
      <c r="AN83" s="59">
        <f ca="1">AVERAGE(OFFSET($AM$3,0,0,'Données projet'!$E$10+1,1))-AVERAGE(OFFSET($H$3,0,0,'Données projet'!$E$10+1,1))</f>
        <v>219.43439115440339</v>
      </c>
      <c r="AO83" s="59">
        <f t="shared" si="90"/>
        <v>217.8880462742099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8</v>
      </c>
      <c r="AR83" s="16">
        <f>IF(ISNA(VLOOKUP(A83,'Données projet'!$A$61:$I$81,5,0)),0%,VLOOKUP(A83,'Données projet'!$A$61:$I$81,5,0)*VLOOKUP('Données projet'!$B$10,Paramètres!$A$1:$I$89,7,0))</f>
        <v>0.46640000000000004</v>
      </c>
      <c r="AS83" s="16">
        <f>IF(ISNA(VLOOKUP(A83,'Données projet'!$A$61:$I$81,6,0)),0%,VLOOKUP(A83,'Données projet'!$A$61:$I$81,6,0)*VLOOKUP('Données projet'!$B$10,Paramètres!$A$1:$I$89,7,0))</f>
        <v>6.8900000000000003E-2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28.791322088719753</v>
      </c>
      <c r="AV83" s="21">
        <f>EXP(-LN(2)/25)*AV82+(1-EXP(-LN(2)/25))/(LN(2)/25)*Calculateur!AQ83*Calculateur!AS83*VLOOKUP('Données projet'!$B$10,Paramètres!$A$1:$I$89,3,0)*0.475*44/12</f>
        <v>8.3289202148532624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37.120242303573015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185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185</v>
      </c>
      <c r="BE83" s="13">
        <f>BD83*VLOOKUP('Données projet'!$B$11,Paramètres!$A$1:$I$89,3,0)*VLOOKUP('Données projet'!$B$11,Paramètres!$A$1:$I$89,5,0)</f>
        <v>161.61600000000001</v>
      </c>
      <c r="BF83" s="13">
        <f t="shared" si="91"/>
        <v>41.20679526204917</v>
      </c>
      <c r="BG83" s="20">
        <f t="shared" si="61"/>
        <v>353.24970174806896</v>
      </c>
      <c r="BH83" s="59">
        <f t="shared" si="62"/>
        <v>646.58303508140227</v>
      </c>
      <c r="BI83" s="59">
        <f ca="1">AVERAGE(OFFSET($BH$3,0,0,'Données projet'!$E$11+1,1))-AVERAGE(OFFSET($H$3,0,0,'Données projet'!$E$11+1,1))</f>
        <v>175.73188403662408</v>
      </c>
      <c r="BJ83" s="59">
        <f t="shared" si="92"/>
        <v>152.02195399869032</v>
      </c>
      <c r="BK83" s="15">
        <f>IF(ISNA(VLOOKUP(A83,'Données projet'!$A$87:$I$107,3,0)),0,VLOOKUP(A83,'Données projet'!$A$87:$I$107,3,0))</f>
        <v>12</v>
      </c>
      <c r="BL83" s="21" t="str">
        <f>IF(ISNA(VLOOKUP(A83,'Données projet'!$A$87:$I$107,4,0)),0,VLOOKUP(A83,'Données projet'!$A$87:$I$107,4,0))</f>
        <v>9</v>
      </c>
      <c r="BM83" s="16">
        <f>IF(ISNA(VLOOKUP(A83,'Données projet'!$A$87:$I$107,5,0)),0%,VLOOKUP(A83,'Données projet'!$A$87:$I$107,5,0)*VLOOKUP('Données projet'!$B$11,Paramètres!$A$1:$I$89,7,0))</f>
        <v>0.17200000000000001</v>
      </c>
      <c r="BN83" s="16">
        <f>IF(ISNA(VLOOKUP(A83,'Données projet'!$A$87:$I$107,6,0)),0%,VLOOKUP(A83,'Données projet'!$A$87:$I$107,6,0)*VLOOKUP('Données projet'!$B$11,Paramètres!$A$1:$I$89,7,0))</f>
        <v>0.17200000000000001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5.9793390364854018</v>
      </c>
      <c r="BQ83" s="21">
        <f>EXP(-LN(2)/25)*BQ82+(1-EXP(-LN(2)/25))/(LN(2)/25)*Calculateur!BL83*Calculateur!BN83*VLOOKUP('Données projet'!$B$11,Paramètres!$A$1:$I$89,3,0)*0.475*44/12</f>
        <v>9.9608669911795076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15.94020602766491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5.5042735042735051</v>
      </c>
      <c r="BY83" s="12">
        <f>IF('Données projet'!$A$114&gt;35,BY82+BX83-CG82,IF(A83&lt;'Données projet'!$A$114,$BV$205^A83,IF(A83='Données projet'!$A$114,'Données projet'!$B$114,BY82+BX83-CG82)))</f>
        <v>177.98931623931617</v>
      </c>
      <c r="BZ83" s="13">
        <f>BY83*VLOOKUP('Données projet'!$B$12,Paramètres!$A$1:$I$89,3,0)*VLOOKUP('Données projet'!$B$12,Paramètres!$A$1:$I$89,5,0)</f>
        <v>161.04473333333328</v>
      </c>
      <c r="CA83" s="13">
        <f t="shared" si="93"/>
        <v>41.078068593790562</v>
      </c>
      <c r="CB83" s="20">
        <f t="shared" si="64"/>
        <v>352.03054668974067</v>
      </c>
      <c r="CC83" s="59">
        <f t="shared" si="65"/>
        <v>645.36388002307399</v>
      </c>
      <c r="CD83" s="59">
        <f ca="1">AVERAGE(OFFSET($CC$3,0,0,'Données projet'!$E$12+1,1))-AVERAGE(OFFSET($H$3,0,0,'Données projet'!$E$12+1,1))</f>
        <v>213.54857791046686</v>
      </c>
      <c r="CE83" s="59">
        <f t="shared" si="94"/>
        <v>138.46877538074244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8.4305241416438861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8.4305241416438861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</v>
      </c>
      <c r="CU83" s="17">
        <f>CT83*VLOOKUP('Données projet'!$B$13,Paramètres!$A$1:$I$89,3,0)*VLOOKUP('Données projet'!$B$13,Paramètres!$A$1:$I$89,5,0)</f>
        <v>174.2364</v>
      </c>
      <c r="CV83" s="13">
        <f t="shared" si="95"/>
        <v>44.03747274965864</v>
      </c>
      <c r="CW83" s="20">
        <f t="shared" si="67"/>
        <v>380.16032837232211</v>
      </c>
      <c r="CX83" s="59">
        <f t="shared" si="68"/>
        <v>673.49366170565543</v>
      </c>
      <c r="CY83" s="59">
        <f ca="1">AVERAGE(OFFSET($CX$3,0,0,'Données projet'!$E$13+1,1))-AVERAGE(OFFSET($H$3,0,0,'Données projet'!$E$13+1,1))</f>
        <v>161.87883827031436</v>
      </c>
      <c r="CZ83" s="59">
        <f t="shared" si="96"/>
        <v>163.02076389611869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6</v>
      </c>
      <c r="DC83" s="16">
        <f>IF(ISNA(VLOOKUP(A83,'Données projet'!$A$139:$I$159,5,0)),0%,VLOOKUP(A83,'Données projet'!$A$139:$I$159,5,0)*VLOOKUP('Données projet'!$B$13,Paramètres!$A$1:$I$89,7,0))</f>
        <v>0.35510000000000003</v>
      </c>
      <c r="DD83" s="16">
        <f>IF(ISNA(VLOOKUP(A83,'Données projet'!$A$139:$I$159,6,0)),0%,VLOOKUP(A83,'Données projet'!$A$139:$I$159,6,0)*VLOOKUP('Données projet'!$B$13,Paramètres!$A$1:$I$89,7,0))</f>
        <v>9.0100000000000013E-2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11.279906644682919</v>
      </c>
      <c r="DG83" s="21">
        <f>EXP(-LN(2)/25)*DG82+(1-EXP(-LN(2)/25))/(LN(2)/25)*Calculateur!DB83*Calculateur!DD83*VLOOKUP('Données projet'!$B$13,Paramètres!$A$1:$I$89,3,0)*0.475*44/12</f>
        <v>8.7378279499977403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20.017734594680661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148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148.00000000000014</v>
      </c>
      <c r="DP83" s="17">
        <f>DO83*VLOOKUP('Données projet'!$B$14,Paramètres!$A$1:$I$89,3,0)*VLOOKUP('Données projet'!$B$14,Paramètres!$A$1:$I$89,5,0)</f>
        <v>120.05760000000012</v>
      </c>
      <c r="DQ83" s="13">
        <f t="shared" si="97"/>
        <v>31.688433172991385</v>
      </c>
      <c r="DR83" s="20">
        <f t="shared" si="70"/>
        <v>264.2910077762935</v>
      </c>
      <c r="DS83" s="59">
        <f t="shared" si="71"/>
        <v>557.62434110962681</v>
      </c>
      <c r="DT83" s="59">
        <f ca="1">AVERAGE(OFFSET($DS$3,0,0,'Données projet'!$E$14+1,1))-AVERAGE(OFFSET($H$3,0,0,'Données projet'!$E$14+1,1))</f>
        <v>96.611230241682733</v>
      </c>
      <c r="DU83" s="59">
        <f t="shared" si="98"/>
        <v>78.711045514042041</v>
      </c>
      <c r="DV83" s="15">
        <f>IF(ISNA(VLOOKUP(A83,'Données projet'!$A$165:$I$185,3,0)),0,VLOOKUP(A83,'Données projet'!$A$165:$I$185,3,0))</f>
        <v>12</v>
      </c>
      <c r="DW83" s="15">
        <f>IF(ISNA(VLOOKUP(A83,'Données projet'!$A$165:$I$185,4,0)),0,VLOOKUP(A83,'Données projet'!$A$165:$I$185,4,0))</f>
        <v>8</v>
      </c>
      <c r="DX83" s="16">
        <f>IF(ISNA(VLOOKUP(A83,'Données projet'!$A$165:$I$185,5,0)),0%,VLOOKUP(A83,'Données projet'!$A$165:$I$185,5,0)*VLOOKUP('Données projet'!$B$14,Paramètres!$A$1:$I$89,7,0))</f>
        <v>4.3000000000000003E-2</v>
      </c>
      <c r="DY83" s="16">
        <f>IF(ISNA(VLOOKUP(A83,'Données projet'!$A$165:$I$185,6,0)),0%,VLOOKUP(A83,'Données projet'!$A$165:$I$185,6,0)*VLOOKUP('Données projet'!$B$14,Paramètres!$A$1:$I$89,7,0))</f>
        <v>0.17200000000000001</v>
      </c>
      <c r="DZ83" s="16">
        <f>IF(ISNA(VLOOKUP(A83,'Données projet'!$A$165:$I$185,7,0)),0%,VLOOKUP(A83,'Données projet'!$A$165:$I$185,7,0))</f>
        <v>0.3</v>
      </c>
      <c r="EA83" s="21">
        <f>EXP(-LN(2)/35)*EA82+(1-EXP(-LN(2)/35))/(LN(2)/35)*DW83*DX83*VLOOKUP('Données projet'!$B$14,Paramètres!$A$1:$I$89,3,0)*0.475*44/12</f>
        <v>0.84094723932748461</v>
      </c>
      <c r="EB83" s="21">
        <f>EXP(-LN(2)/25)*EB82+(1-EXP(-LN(2)/25))/(LN(2)/25)*Calculateur!DW83*Calculateur!DY83*VLOOKUP('Données projet'!$B$14,Paramètres!$A$1:$I$89,3,0)*0.475*44/12</f>
        <v>5.4480740215157937</v>
      </c>
      <c r="EC83" s="21">
        <f>EXP(-LN(2)/2)*EC82+(1-EXP(-LN(2)/2))/(LN(2)/2)*DW83*DZ83*VLOOKUP('Données projet'!$B$14,Paramètres!$A$1:$I$89,3,0)*0.475*44/12</f>
        <v>2.2313916926159658</v>
      </c>
      <c r="ED83" s="22">
        <f t="shared" si="72"/>
        <v>8.5204129534592443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188.61152573050066</v>
      </c>
      <c r="EP83" s="59">
        <f t="shared" si="100"/>
        <v>172.37050503841624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136.52297209574621</v>
      </c>
      <c r="EW83" s="21">
        <f>EXP(-LN(2)/25)*EW82+(1-EXP(-LN(2)/25))/(LN(2)/25)*Calculateur!ER83*Calculateur!ET83*VLOOKUP('Données projet'!$B$15,Paramètres!$A$1:$I$89,3,0)*0.475*44/12</f>
        <v>33.2156449048395</v>
      </c>
      <c r="EX83" s="21">
        <f>EXP(-LN(2)/2)*EX82+(1-EXP(-LN(2)/2))/(LN(2)/2)*ER83*EU83*VLOOKUP('Données projet'!$B$15,Paramètres!$A$1:$I$89,3,0)*0.475*44/12</f>
        <v>0.98422983320081758</v>
      </c>
      <c r="EY83" s="22">
        <f t="shared" si="75"/>
        <v>170.72284683378655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>
        <f>FE83*VLOOKUP('Données projet'!$B$16,Paramètres!$A$1:$I$89,3,0)*VLOOKUP('Données projet'!$B$16,Paramètres!$A$1:$I$89,5,0)</f>
        <v>0</v>
      </c>
      <c r="FG83" s="13" t="e">
        <f t="shared" si="101"/>
        <v>#NUM!</v>
      </c>
      <c r="FH83" s="20" t="e">
        <f t="shared" si="76"/>
        <v>#NUM!</v>
      </c>
      <c r="FI83" s="59" t="e">
        <f t="shared" si="77"/>
        <v>#NUM!</v>
      </c>
      <c r="FJ83" s="59">
        <f ca="1">AVERAGE(OFFSET($FI$3,0,0,'Données projet'!$E$16+1,1))-AVERAGE(OFFSET($H$3,0,0,'Données projet'!$E$16+1,1))</f>
        <v>0</v>
      </c>
      <c r="FK83" s="59">
        <f t="shared" si="102"/>
        <v>0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0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197.78572767493569</v>
      </c>
      <c r="T84" s="59">
        <f t="shared" si="88"/>
        <v>288.66487031729008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266.99999999999983</v>
      </c>
      <c r="AJ84" s="13">
        <f>AI84*VLOOKUP('Données projet'!$B$10,Paramètres!$A$1:$I$89,3,0)*VLOOKUP('Données projet'!$B$10,Paramètres!$A$1:$I$89,5,0)</f>
        <v>212.42519999999985</v>
      </c>
      <c r="AK84" s="13">
        <f t="shared" si="89"/>
        <v>52.465198231787184</v>
      </c>
      <c r="AL84" s="20">
        <f t="shared" si="58"/>
        <v>461.35077692036231</v>
      </c>
      <c r="AM84" s="59">
        <f t="shared" si="59"/>
        <v>754.68411025369562</v>
      </c>
      <c r="AN84" s="59">
        <f ca="1">AVERAGE(OFFSET($AM$3,0,0,'Données projet'!$E$10+1,1))-AVERAGE(OFFSET($H$3,0,0,'Données projet'!$E$10+1,1))</f>
        <v>219.43439115440339</v>
      </c>
      <c r="AO84" s="59">
        <f t="shared" si="90"/>
        <v>217.8880462742099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28.226741823532429</v>
      </c>
      <c r="AV84" s="21">
        <f>EXP(-LN(2)/25)*AV83+(1-EXP(-LN(2)/25))/(LN(2)/25)*Calculateur!AQ84*Calculateur!AS84*VLOOKUP('Données projet'!$B$10,Paramètres!$A$1:$I$89,3,0)*0.475*44/12</f>
        <v>8.1011654535792221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36.327907277111649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2.6</v>
      </c>
      <c r="BD84" s="12">
        <f>IF('Données projet'!$A$88&gt;35,BD83+BC84-BL83,IF(A84&lt;'Données projet'!$A$88,$BA$205^A84,IF(A84='Données projet'!$A$88,'Données projet'!$B$88,BD83+BC84-BL83)))</f>
        <v>178.6</v>
      </c>
      <c r="BE84" s="13">
        <f>BD84*VLOOKUP('Données projet'!$B$11,Paramètres!$A$1:$I$89,3,0)*VLOOKUP('Données projet'!$B$11,Paramètres!$A$1:$I$89,5,0)</f>
        <v>156.02496000000002</v>
      </c>
      <c r="BF84" s="13">
        <f t="shared" si="91"/>
        <v>39.944625507905997</v>
      </c>
      <c r="BG84" s="20">
        <f t="shared" si="61"/>
        <v>341.31369475960292</v>
      </c>
      <c r="BH84" s="59">
        <f t="shared" si="62"/>
        <v>634.64702809293624</v>
      </c>
      <c r="BI84" s="59">
        <f ca="1">AVERAGE(OFFSET($BH$3,0,0,'Données projet'!$E$11+1,1))-AVERAGE(OFFSET($H$3,0,0,'Données projet'!$E$11+1,1))</f>
        <v>175.73188403662408</v>
      </c>
      <c r="BJ84" s="59">
        <f t="shared" si="92"/>
        <v>152.02195399869032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5.8620878450166201</v>
      </c>
      <c r="BQ84" s="21">
        <f>EXP(-LN(2)/25)*BQ83+(1-EXP(-LN(2)/25))/(LN(2)/25)*Calculateur!BL84*Calculateur!BN84*VLOOKUP('Données projet'!$B$11,Paramètres!$A$1:$I$89,3,0)*0.475*44/12</f>
        <v>9.6884865594864742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15.550574404503095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5.5042735042735051</v>
      </c>
      <c r="BY84" s="12">
        <f>IF('Données projet'!$A$114&gt;35,BY83+BX84-CG83,IF(A84&lt;'Données projet'!$A$114,$BV$205^A84,IF(A84='Données projet'!$A$114,'Données projet'!$B$114,BY83+BX84-CG83)))</f>
        <v>183.49358974358967</v>
      </c>
      <c r="BZ84" s="13">
        <f>BY84*VLOOKUP('Données projet'!$B$12,Paramètres!$A$1:$I$89,3,0)*VLOOKUP('Données projet'!$B$12,Paramètres!$A$1:$I$89,5,0)</f>
        <v>166.02499999999992</v>
      </c>
      <c r="CA84" s="13">
        <f t="shared" si="93"/>
        <v>42.198533618502132</v>
      </c>
      <c r="CB84" s="20">
        <f t="shared" si="64"/>
        <v>362.65598771889108</v>
      </c>
      <c r="CC84" s="59">
        <f t="shared" si="65"/>
        <v>655.98932105222434</v>
      </c>
      <c r="CD84" s="59">
        <f ca="1">AVERAGE(OFFSET($CC$3,0,0,'Données projet'!$E$12+1,1))-AVERAGE(OFFSET($H$3,0,0,'Données projet'!$E$12+1,1))</f>
        <v>213.54857791046686</v>
      </c>
      <c r="CE84" s="59">
        <f t="shared" si="94"/>
        <v>138.46877538074244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8.265206705338235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8.265206705338235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213</v>
      </c>
      <c r="CU84" s="17">
        <f>CT84*VLOOKUP('Données projet'!$B$13,Paramètres!$A$1:$I$89,3,0)*VLOOKUP('Données projet'!$B$13,Paramètres!$A$1:$I$89,5,0)</f>
        <v>169.46279999999999</v>
      </c>
      <c r="CV84" s="13">
        <f t="shared" si="95"/>
        <v>42.969686502194378</v>
      </c>
      <c r="CW84" s="20">
        <f t="shared" si="67"/>
        <v>369.9865806579885</v>
      </c>
      <c r="CX84" s="59">
        <f t="shared" si="68"/>
        <v>663.31991399132176</v>
      </c>
      <c r="CY84" s="59">
        <f ca="1">AVERAGE(OFFSET($CX$3,0,0,'Données projet'!$E$13+1,1))-AVERAGE(OFFSET($H$3,0,0,'Données projet'!$E$13+1,1))</f>
        <v>161.87883827031436</v>
      </c>
      <c r="CZ84" s="59">
        <f t="shared" si="96"/>
        <v>163.02076389611869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11.058714555444391</v>
      </c>
      <c r="DG84" s="21">
        <f>EXP(-LN(2)/25)*DG83+(1-EXP(-LN(2)/25))/(LN(2)/25)*Calculateur!DB84*Calculateur!DD84*VLOOKUP('Données projet'!$B$13,Paramètres!$A$1:$I$89,3,0)*0.475*44/12</f>
        <v>8.4988915852026512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19.557606140647042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2.4</v>
      </c>
      <c r="DO84" s="12">
        <f>IF('Données projet'!$A$166&gt;35,DO83+DN84-DW83,IF(A84&lt;'Données projet'!$A$166,$DL$205^A84,IF(A84='Données projet'!$A$166,'Données projet'!$B$166,DO83+DN84-DW83)))</f>
        <v>142.40000000000015</v>
      </c>
      <c r="DP84" s="17">
        <f>DO84*VLOOKUP('Données projet'!$B$14,Paramètres!$A$1:$I$89,3,0)*VLOOKUP('Données projet'!$B$14,Paramètres!$A$1:$I$89,5,0)</f>
        <v>115.51488000000012</v>
      </c>
      <c r="DQ84" s="13">
        <f t="shared" si="97"/>
        <v>30.626610895868261</v>
      </c>
      <c r="DR84" s="20">
        <f t="shared" si="70"/>
        <v>254.52976331030405</v>
      </c>
      <c r="DS84" s="59">
        <f t="shared" si="71"/>
        <v>547.86309664363739</v>
      </c>
      <c r="DT84" s="59">
        <f ca="1">AVERAGE(OFFSET($DS$3,0,0,'Données projet'!$E$14+1,1))-AVERAGE(OFFSET($H$3,0,0,'Données projet'!$E$14+1,1))</f>
        <v>96.611230241682733</v>
      </c>
      <c r="DU84" s="59">
        <f t="shared" si="98"/>
        <v>78.711045514042041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0.82445677689144126</v>
      </c>
      <c r="EB84" s="21">
        <f>EXP(-LN(2)/25)*EB83+(1-EXP(-LN(2)/25))/(LN(2)/25)*Calculateur!DW84*Calculateur!DY84*VLOOKUP('Données projet'!$B$14,Paramètres!$A$1:$I$89,3,0)*0.475*44/12</f>
        <v>5.2990961508956831</v>
      </c>
      <c r="EC84" s="21">
        <f>EXP(-LN(2)/2)*EC83+(1-EXP(-LN(2)/2))/(LN(2)/2)*DW84*DZ84*VLOOKUP('Données projet'!$B$14,Paramètres!$A$1:$I$89,3,0)*0.475*44/12</f>
        <v>1.5778321973320777</v>
      </c>
      <c r="ED84" s="22">
        <f t="shared" si="72"/>
        <v>7.7013851251192023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188.61152573050066</v>
      </c>
      <c r="EP84" s="59">
        <f t="shared" si="100"/>
        <v>172.37050503841624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133.8458398837393</v>
      </c>
      <c r="EW84" s="21">
        <f>EXP(-LN(2)/25)*EW83+(1-EXP(-LN(2)/25))/(LN(2)/25)*Calculateur!ER84*Calculateur!ET84*VLOOKUP('Données projet'!$B$15,Paramètres!$A$1:$I$89,3,0)*0.475*44/12</f>
        <v>32.307361348181814</v>
      </c>
      <c r="EX84" s="21">
        <f>EXP(-LN(2)/2)*EX83+(1-EXP(-LN(2)/2))/(LN(2)/2)*ER84*EU84*VLOOKUP('Données projet'!$B$15,Paramètres!$A$1:$I$89,3,0)*0.475*44/12</f>
        <v>0.69595558930240276</v>
      </c>
      <c r="EY84" s="22">
        <f t="shared" si="75"/>
        <v>166.84915682122352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0</v>
      </c>
      <c r="FK84" s="59">
        <f t="shared" si="102"/>
        <v>0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0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197.78572767493569</v>
      </c>
      <c r="T85" s="59">
        <f t="shared" si="88"/>
        <v>288.66487031729008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266.99999999999983</v>
      </c>
      <c r="AJ85" s="13">
        <f>AI85*VLOOKUP('Données projet'!$B$10,Paramètres!$A$1:$I$89,3,0)*VLOOKUP('Données projet'!$B$10,Paramètres!$A$1:$I$89,5,0)</f>
        <v>212.42519999999985</v>
      </c>
      <c r="AK85" s="13">
        <f t="shared" si="89"/>
        <v>52.465198231787184</v>
      </c>
      <c r="AL85" s="20">
        <f t="shared" si="58"/>
        <v>461.35077692036231</v>
      </c>
      <c r="AM85" s="59">
        <f t="shared" si="59"/>
        <v>754.68411025369562</v>
      </c>
      <c r="AN85" s="59">
        <f ca="1">AVERAGE(OFFSET($AM$3,0,0,'Données projet'!$E$10+1,1))-AVERAGE(OFFSET($H$3,0,0,'Données projet'!$E$10+1,1))</f>
        <v>219.43439115440339</v>
      </c>
      <c r="AO85" s="59">
        <f t="shared" si="90"/>
        <v>217.8880462742099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27.673232632985471</v>
      </c>
      <c r="AV85" s="21">
        <f>EXP(-LN(2)/25)*AV84+(1-EXP(-LN(2)/25))/(LN(2)/25)*Calculateur!AQ85*Calculateur!AS85*VLOOKUP('Données projet'!$B$10,Paramètres!$A$1:$I$89,3,0)*0.475*44/12</f>
        <v>7.8796386582293225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35.552871291214792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2.6</v>
      </c>
      <c r="BD85" s="12">
        <f>IF('Données projet'!$A$88&gt;35,BD84+BC85-BL84,IF(A85&lt;'Données projet'!$A$88,$BA$205^A85,IF(A85='Données projet'!$A$88,'Données projet'!$B$88,BD84+BC85-BL84)))</f>
        <v>181.2</v>
      </c>
      <c r="BE85" s="13">
        <f>BD85*VLOOKUP('Données projet'!$B$11,Paramètres!$A$1:$I$89,3,0)*VLOOKUP('Données projet'!$B$11,Paramètres!$A$1:$I$89,5,0)</f>
        <v>158.29632000000001</v>
      </c>
      <c r="BF85" s="13">
        <f t="shared" si="91"/>
        <v>40.458006540983739</v>
      </c>
      <c r="BG85" s="20">
        <f t="shared" si="61"/>
        <v>346.16378539221336</v>
      </c>
      <c r="BH85" s="59">
        <f t="shared" si="62"/>
        <v>639.49711872554667</v>
      </c>
      <c r="BI85" s="59">
        <f ca="1">AVERAGE(OFFSET($BH$3,0,0,'Données projet'!$E$11+1,1))-AVERAGE(OFFSET($H$3,0,0,'Données projet'!$E$11+1,1))</f>
        <v>175.73188403662408</v>
      </c>
      <c r="BJ85" s="59">
        <f t="shared" si="92"/>
        <v>152.02195399869032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5.7471358778963761</v>
      </c>
      <c r="BQ85" s="21">
        <f>EXP(-LN(2)/25)*BQ84+(1-EXP(-LN(2)/25))/(LN(2)/25)*Calculateur!BL85*Calculateur!BN85*VLOOKUP('Données projet'!$B$11,Paramètres!$A$1:$I$89,3,0)*0.475*44/12</f>
        <v>9.4235543850219514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15.170690262918328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5.5042735042735051</v>
      </c>
      <c r="BY85" s="12">
        <f>IF('Données projet'!$A$114&gt;35,BY84+BX85-CG84,IF(A85&lt;'Données projet'!$A$114,$BV$205^A85,IF(A85='Données projet'!$A$114,'Données projet'!$B$114,BY84+BX85-CG84)))</f>
        <v>188.99786324786317</v>
      </c>
      <c r="BZ85" s="13">
        <f>BY85*VLOOKUP('Données projet'!$B$12,Paramètres!$A$1:$I$89,3,0)*VLOOKUP('Données projet'!$B$12,Paramètres!$A$1:$I$89,5,0)</f>
        <v>171.00526666666659</v>
      </c>
      <c r="CA85" s="13">
        <f t="shared" si="93"/>
        <v>43.31509256233069</v>
      </c>
      <c r="CB85" s="20">
        <f t="shared" si="64"/>
        <v>373.27462565717025</v>
      </c>
      <c r="CC85" s="59">
        <f t="shared" si="65"/>
        <v>666.60795899050356</v>
      </c>
      <c r="CD85" s="59">
        <f ca="1">AVERAGE(OFFSET($CC$3,0,0,'Données projet'!$E$12+1,1))-AVERAGE(OFFSET($H$3,0,0,'Données projet'!$E$12+1,1))</f>
        <v>213.54857791046686</v>
      </c>
      <c r="CE85" s="59">
        <f t="shared" si="94"/>
        <v>138.46877538074244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8.1031310431248578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8.1031310431248578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213</v>
      </c>
      <c r="CU85" s="17">
        <f>CT85*VLOOKUP('Données projet'!$B$13,Paramètres!$A$1:$I$89,3,0)*VLOOKUP('Données projet'!$B$13,Paramètres!$A$1:$I$89,5,0)</f>
        <v>169.46279999999999</v>
      </c>
      <c r="CV85" s="13">
        <f t="shared" si="95"/>
        <v>42.969686502194378</v>
      </c>
      <c r="CW85" s="20">
        <f t="shared" si="67"/>
        <v>369.9865806579885</v>
      </c>
      <c r="CX85" s="59">
        <f t="shared" si="68"/>
        <v>663.31991399132176</v>
      </c>
      <c r="CY85" s="59">
        <f ca="1">AVERAGE(OFFSET($CX$3,0,0,'Données projet'!$E$13+1,1))-AVERAGE(OFFSET($H$3,0,0,'Données projet'!$E$13+1,1))</f>
        <v>161.87883827031436</v>
      </c>
      <c r="CZ85" s="59">
        <f t="shared" si="96"/>
        <v>163.02076389611869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10.841859908161977</v>
      </c>
      <c r="DG85" s="21">
        <f>EXP(-LN(2)/25)*DG84+(1-EXP(-LN(2)/25))/(LN(2)/25)*Calculateur!DB85*Calculateur!DD85*VLOOKUP('Données projet'!$B$13,Paramètres!$A$1:$I$89,3,0)*0.475*44/12</f>
        <v>8.2664889478679999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19.108348856029977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2.4</v>
      </c>
      <c r="DO85" s="12">
        <f>IF('Données projet'!$A$166&gt;35,DO84+DN85-DW84,IF(A85&lt;'Données projet'!$A$166,$DL$205^A85,IF(A85='Données projet'!$A$166,'Données projet'!$B$166,DO84+DN85-DW84)))</f>
        <v>144.80000000000015</v>
      </c>
      <c r="DP85" s="17">
        <f>DO85*VLOOKUP('Données projet'!$B$14,Paramètres!$A$1:$I$89,3,0)*VLOOKUP('Données projet'!$B$14,Paramètres!$A$1:$I$89,5,0)</f>
        <v>117.46176000000013</v>
      </c>
      <c r="DQ85" s="13">
        <f t="shared" si="97"/>
        <v>31.082261912268375</v>
      </c>
      <c r="DR85" s="20">
        <f t="shared" si="70"/>
        <v>258.71417149720094</v>
      </c>
      <c r="DS85" s="59">
        <f t="shared" si="71"/>
        <v>552.04750483053431</v>
      </c>
      <c r="DT85" s="59">
        <f ca="1">AVERAGE(OFFSET($DS$3,0,0,'Données projet'!$E$14+1,1))-AVERAGE(OFFSET($H$3,0,0,'Données projet'!$E$14+1,1))</f>
        <v>96.611230241682733</v>
      </c>
      <c r="DU85" s="59">
        <f t="shared" si="98"/>
        <v>78.711045514042041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0.80828968236557985</v>
      </c>
      <c r="EB85" s="21">
        <f>EXP(-LN(2)/25)*EB84+(1-EXP(-LN(2)/25))/(LN(2)/25)*Calculateur!DW85*Calculateur!DY85*VLOOKUP('Données projet'!$B$14,Paramètres!$A$1:$I$89,3,0)*0.475*44/12</f>
        <v>5.1541920879820857</v>
      </c>
      <c r="EC85" s="21">
        <f>EXP(-LN(2)/2)*EC84+(1-EXP(-LN(2)/2))/(LN(2)/2)*DW85*DZ85*VLOOKUP('Données projet'!$B$14,Paramètres!$A$1:$I$89,3,0)*0.475*44/12</f>
        <v>1.1156958463079829</v>
      </c>
      <c r="ED85" s="22">
        <f t="shared" si="72"/>
        <v>7.0781776166556476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188.61152573050066</v>
      </c>
      <c r="EP85" s="59">
        <f t="shared" si="100"/>
        <v>172.37050503841624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131.22120460152044</v>
      </c>
      <c r="EW85" s="21">
        <f>EXP(-LN(2)/25)*EW84+(1-EXP(-LN(2)/25))/(LN(2)/25)*Calculateur!ER85*Calculateur!ET85*VLOOKUP('Données projet'!$B$15,Paramètres!$A$1:$I$89,3,0)*0.475*44/12</f>
        <v>31.42391485314549</v>
      </c>
      <c r="EX85" s="21">
        <f>EXP(-LN(2)/2)*EX84+(1-EXP(-LN(2)/2))/(LN(2)/2)*ER85*EU85*VLOOKUP('Données projet'!$B$15,Paramètres!$A$1:$I$89,3,0)*0.475*44/12</f>
        <v>0.49211491660040885</v>
      </c>
      <c r="EY85" s="22">
        <f t="shared" si="75"/>
        <v>163.13723437126632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0</v>
      </c>
      <c r="FK85" s="59">
        <f t="shared" si="102"/>
        <v>0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0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197.78572767493569</v>
      </c>
      <c r="T86" s="59">
        <f t="shared" si="88"/>
        <v>288.66487031729008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266.99999999999983</v>
      </c>
      <c r="AJ86" s="13">
        <f>AI86*VLOOKUP('Données projet'!$B$10,Paramètres!$A$1:$I$89,3,0)*VLOOKUP('Données projet'!$B$10,Paramètres!$A$1:$I$89,5,0)</f>
        <v>212.42519999999985</v>
      </c>
      <c r="AK86" s="13">
        <f t="shared" si="89"/>
        <v>52.465198231787184</v>
      </c>
      <c r="AL86" s="20">
        <f t="shared" si="58"/>
        <v>461.35077692036231</v>
      </c>
      <c r="AM86" s="59">
        <f t="shared" si="59"/>
        <v>754.68411025369562</v>
      </c>
      <c r="AN86" s="59">
        <f ca="1">AVERAGE(OFFSET($AM$3,0,0,'Données projet'!$E$10+1,1))-AVERAGE(OFFSET($H$3,0,0,'Données projet'!$E$10+1,1))</f>
        <v>219.43439115440339</v>
      </c>
      <c r="AO86" s="59">
        <f t="shared" si="90"/>
        <v>217.8880462742099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27.130577420057868</v>
      </c>
      <c r="AV86" s="21">
        <f>EXP(-LN(2)/25)*AV85+(1-EXP(-LN(2)/25))/(LN(2)/25)*Calculateur!AQ86*Calculateur!AS86*VLOOKUP('Données projet'!$B$10,Paramètres!$A$1:$I$89,3,0)*0.475*44/12</f>
        <v>7.6641695247478534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34.794746944805723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2.6</v>
      </c>
      <c r="BD86" s="12">
        <f>IF('Données projet'!$A$88&gt;35,BD85+BC86-BL85,IF(A86&lt;'Données projet'!$A$88,$BA$205^A86,IF(A86='Données projet'!$A$88,'Données projet'!$B$88,BD85+BC86-BL85)))</f>
        <v>183.79999999999998</v>
      </c>
      <c r="BE86" s="13">
        <f>BD86*VLOOKUP('Données projet'!$B$11,Paramètres!$A$1:$I$89,3,0)*VLOOKUP('Données projet'!$B$11,Paramètres!$A$1:$I$89,5,0)</f>
        <v>160.56768</v>
      </c>
      <c r="BF86" s="13">
        <f t="shared" si="91"/>
        <v>40.970530810309882</v>
      </c>
      <c r="BG86" s="20">
        <f t="shared" si="61"/>
        <v>351.01238382795628</v>
      </c>
      <c r="BH86" s="59">
        <f t="shared" si="62"/>
        <v>644.3457171612896</v>
      </c>
      <c r="BI86" s="59">
        <f ca="1">AVERAGE(OFFSET($BH$3,0,0,'Données projet'!$E$11+1,1))-AVERAGE(OFFSET($H$3,0,0,'Données projet'!$E$11+1,1))</f>
        <v>175.73188403662408</v>
      </c>
      <c r="BJ86" s="59">
        <f t="shared" si="92"/>
        <v>152.02195399869032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5.6344380487375831</v>
      </c>
      <c r="BQ86" s="21">
        <f>EXP(-LN(2)/25)*BQ85+(1-EXP(-LN(2)/25))/(LN(2)/25)*Calculateur!BL86*Calculateur!BN86*VLOOKUP('Données projet'!$B$11,Paramètres!$A$1:$I$89,3,0)*0.475*44/12</f>
        <v>9.1658667948003387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14.800304843537923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5.5042735042735051</v>
      </c>
      <c r="BY86" s="12">
        <f>IF('Données projet'!$A$114&gt;35,BY85+BX86-CG85,IF(A86&lt;'Données projet'!$A$114,$BV$205^A86,IF(A86='Données projet'!$A$114,'Données projet'!$B$114,BY85+BX86-CG85)))</f>
        <v>194.50213675213666</v>
      </c>
      <c r="BZ86" s="13">
        <f>BY86*VLOOKUP('Données projet'!$B$12,Paramètres!$A$1:$I$89,3,0)*VLOOKUP('Données projet'!$B$12,Paramètres!$A$1:$I$89,5,0)</f>
        <v>175.98553333333325</v>
      </c>
      <c r="CA86" s="13">
        <f t="shared" si="93"/>
        <v>44.427872246727624</v>
      </c>
      <c r="CB86" s="20">
        <f t="shared" si="64"/>
        <v>383.88668138527265</v>
      </c>
      <c r="CC86" s="59">
        <f t="shared" si="65"/>
        <v>677.22001471860597</v>
      </c>
      <c r="CD86" s="59">
        <f ca="1">AVERAGE(OFFSET($CC$3,0,0,'Données projet'!$E$12+1,1))-AVERAGE(OFFSET($H$3,0,0,'Données projet'!$E$12+1,1))</f>
        <v>213.54857791046686</v>
      </c>
      <c r="CE86" s="59">
        <f t="shared" si="94"/>
        <v>138.46877538074244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7.9442335857910917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7.9442335857910917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213</v>
      </c>
      <c r="CU86" s="17">
        <f>CT86*VLOOKUP('Données projet'!$B$13,Paramètres!$A$1:$I$89,3,0)*VLOOKUP('Données projet'!$B$13,Paramètres!$A$1:$I$89,5,0)</f>
        <v>169.46279999999999</v>
      </c>
      <c r="CV86" s="13">
        <f t="shared" si="95"/>
        <v>42.969686502194378</v>
      </c>
      <c r="CW86" s="20">
        <f t="shared" si="67"/>
        <v>369.9865806579885</v>
      </c>
      <c r="CX86" s="59">
        <f t="shared" si="68"/>
        <v>663.31991399132176</v>
      </c>
      <c r="CY86" s="59">
        <f ca="1">AVERAGE(OFFSET($CX$3,0,0,'Données projet'!$E$13+1,1))-AVERAGE(OFFSET($H$3,0,0,'Données projet'!$E$13+1,1))</f>
        <v>161.87883827031436</v>
      </c>
      <c r="CZ86" s="59">
        <f t="shared" si="96"/>
        <v>163.02076389611869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10.629257648244497</v>
      </c>
      <c r="DG86" s="21">
        <f>EXP(-LN(2)/25)*DG85+(1-EXP(-LN(2)/25))/(LN(2)/25)*Calculateur!DB86*Calculateur!DD86*VLOOKUP('Données projet'!$B$13,Paramètres!$A$1:$I$89,3,0)*0.475*44/12</f>
        <v>8.0404413728727882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18.669699021117285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2.4</v>
      </c>
      <c r="DO86" s="12">
        <f>IF('Données projet'!$A$166&gt;35,DO85+DN86-DW85,IF(A86&lt;'Données projet'!$A$166,$DL$205^A86,IF(A86='Données projet'!$A$166,'Données projet'!$B$166,DO85+DN86-DW85)))</f>
        <v>147.20000000000016</v>
      </c>
      <c r="DP86" s="17">
        <f>DO86*VLOOKUP('Données projet'!$B$14,Paramètres!$A$1:$I$89,3,0)*VLOOKUP('Données projet'!$B$14,Paramètres!$A$1:$I$89,5,0)</f>
        <v>119.40864000000013</v>
      </c>
      <c r="DQ86" s="13">
        <f t="shared" si="97"/>
        <v>31.537034654405655</v>
      </c>
      <c r="DR86" s="20">
        <f t="shared" si="70"/>
        <v>262.89705002309006</v>
      </c>
      <c r="DS86" s="59">
        <f t="shared" si="71"/>
        <v>556.23038335642332</v>
      </c>
      <c r="DT86" s="59">
        <f ca="1">AVERAGE(OFFSET($DS$3,0,0,'Données projet'!$E$14+1,1))-AVERAGE(OFFSET($H$3,0,0,'Données projet'!$E$14+1,1))</f>
        <v>96.611230241682733</v>
      </c>
      <c r="DU86" s="59">
        <f t="shared" si="98"/>
        <v>78.711045514042041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0.79243961470241653</v>
      </c>
      <c r="EB86" s="21">
        <f>EXP(-LN(2)/25)*EB85+(1-EXP(-LN(2)/25))/(LN(2)/25)*Calculateur!DW86*Calculateur!DY86*VLOOKUP('Données projet'!$B$14,Paramètres!$A$1:$I$89,3,0)*0.475*44/12</f>
        <v>5.0132504342890334</v>
      </c>
      <c r="EC86" s="21">
        <f>EXP(-LN(2)/2)*EC85+(1-EXP(-LN(2)/2))/(LN(2)/2)*DW86*DZ86*VLOOKUP('Données projet'!$B$14,Paramètres!$A$1:$I$89,3,0)*0.475*44/12</f>
        <v>0.78891609866603885</v>
      </c>
      <c r="ED86" s="22">
        <f t="shared" si="72"/>
        <v>6.5946061476574886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188.61152573050066</v>
      </c>
      <c r="EP86" s="59">
        <f t="shared" si="100"/>
        <v>172.37050503841624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128.64803681631642</v>
      </c>
      <c r="EW86" s="21">
        <f>EXP(-LN(2)/25)*EW85+(1-EXP(-LN(2)/25))/(LN(2)/25)*Calculateur!ER86*Calculateur!ET86*VLOOKUP('Données projet'!$B$15,Paramètres!$A$1:$I$89,3,0)*0.475*44/12</f>
        <v>30.564626248974363</v>
      </c>
      <c r="EX86" s="21">
        <f>EXP(-LN(2)/2)*EX85+(1-EXP(-LN(2)/2))/(LN(2)/2)*ER86*EU86*VLOOKUP('Données projet'!$B$15,Paramètres!$A$1:$I$89,3,0)*0.475*44/12</f>
        <v>0.34797779465120143</v>
      </c>
      <c r="EY86" s="22">
        <f t="shared" si="75"/>
        <v>159.56064085994197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0</v>
      </c>
      <c r="FK86" s="59">
        <f t="shared" si="102"/>
        <v>0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0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197.78572767493569</v>
      </c>
      <c r="T87" s="59">
        <f t="shared" si="88"/>
        <v>288.66487031729008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266.99999999999983</v>
      </c>
      <c r="AJ87" s="13">
        <f>AI87*VLOOKUP('Données projet'!$B$10,Paramètres!$A$1:$I$89,3,0)*VLOOKUP('Données projet'!$B$10,Paramètres!$A$1:$I$89,5,0)</f>
        <v>212.42519999999985</v>
      </c>
      <c r="AK87" s="13">
        <f t="shared" si="89"/>
        <v>52.465198231787184</v>
      </c>
      <c r="AL87" s="20">
        <f t="shared" si="58"/>
        <v>461.35077692036231</v>
      </c>
      <c r="AM87" s="59">
        <f t="shared" si="59"/>
        <v>754.68411025369562</v>
      </c>
      <c r="AN87" s="59">
        <f ca="1">AVERAGE(OFFSET($AM$3,0,0,'Données projet'!$E$10+1,1))-AVERAGE(OFFSET($H$3,0,0,'Données projet'!$E$10+1,1))</f>
        <v>219.43439115440339</v>
      </c>
      <c r="AO87" s="59">
        <f t="shared" si="90"/>
        <v>217.8880462742099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26.598563344868779</v>
      </c>
      <c r="AV87" s="21">
        <f>EXP(-LN(2)/25)*AV86+(1-EXP(-LN(2)/25))/(LN(2)/25)*Calculateur!AQ87*Calculateur!AS87*VLOOKUP('Données projet'!$B$10,Paramètres!$A$1:$I$89,3,0)*0.475*44/12</f>
        <v>7.4545924060524644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34.053155750921242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2.6</v>
      </c>
      <c r="BD87" s="12">
        <f>IF('Données projet'!$A$88&gt;35,BD86+BC87-BL86,IF(A87&lt;'Données projet'!$A$88,$BA$205^A87,IF(A87='Données projet'!$A$88,'Données projet'!$B$88,BD86+BC87-BL86)))</f>
        <v>186.39999999999998</v>
      </c>
      <c r="BE87" s="13">
        <f>BD87*VLOOKUP('Données projet'!$B$11,Paramètres!$A$1:$I$89,3,0)*VLOOKUP('Données projet'!$B$11,Paramètres!$A$1:$I$89,5,0)</f>
        <v>162.83904000000001</v>
      </c>
      <c r="BF87" s="13">
        <f t="shared" si="91"/>
        <v>41.482211836000111</v>
      </c>
      <c r="BG87" s="20">
        <f t="shared" si="61"/>
        <v>355.8595136143669</v>
      </c>
      <c r="BH87" s="59">
        <f t="shared" si="62"/>
        <v>649.19284694770022</v>
      </c>
      <c r="BI87" s="59">
        <f ca="1">AVERAGE(OFFSET($BH$3,0,0,'Données projet'!$E$11+1,1))-AVERAGE(OFFSET($H$3,0,0,'Données projet'!$E$11+1,1))</f>
        <v>175.73188403662408</v>
      </c>
      <c r="BJ87" s="59">
        <f t="shared" si="92"/>
        <v>152.02195399869032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5.5239501552697057</v>
      </c>
      <c r="BQ87" s="21">
        <f>EXP(-LN(2)/25)*BQ86+(1-EXP(-LN(2)/25))/(LN(2)/25)*Calculateur!BL87*Calculateur!BN87*VLOOKUP('Données projet'!$B$11,Paramètres!$A$1:$I$89,3,0)*0.475*44/12</f>
        <v>8.915225685284538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14.439175840554244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200.00641025641025</v>
      </c>
      <c r="BW87" s="12">
        <f>VLOOKUP(A87,'Données projet'!$A$113:$I$133,9,0)</f>
        <v>5.5042735042735051</v>
      </c>
      <c r="BX87" s="12">
        <f t="array" ref="BX87">INDEX(BW:BW,MIN(IF(ISNUMBER(BW87:BW283),ROW(BW87:BW283),"")))</f>
        <v>5.5042735042735051</v>
      </c>
      <c r="BY87" s="12">
        <f>IF('Données projet'!$A$114&gt;35,BY86+BX87-CG86,IF(A87&lt;'Données projet'!$A$114,$BV$205^A87,IF(A87='Données projet'!$A$114,'Données projet'!$B$114,BY86+BX87-CG86)))</f>
        <v>200.00641025641016</v>
      </c>
      <c r="BZ87" s="13">
        <f>BY87*VLOOKUP('Données projet'!$B$12,Paramètres!$A$1:$I$89,3,0)*VLOOKUP('Données projet'!$B$12,Paramètres!$A$1:$I$89,5,0)</f>
        <v>180.96579999999992</v>
      </c>
      <c r="CA87" s="13">
        <f t="shared" si="93"/>
        <v>45.536991906907375</v>
      </c>
      <c r="CB87" s="20">
        <f t="shared" si="64"/>
        <v>394.49236257119691</v>
      </c>
      <c r="CC87" s="59">
        <f t="shared" si="65"/>
        <v>687.82569590453022</v>
      </c>
      <c r="CD87" s="59">
        <f ca="1">AVERAGE(OFFSET($CC$3,0,0,'Données projet'!$E$12+1,1))-AVERAGE(OFFSET($H$3,0,0,'Données projet'!$E$12+1,1))</f>
        <v>213.54857791046686</v>
      </c>
      <c r="CE87" s="59">
        <f t="shared" si="94"/>
        <v>138.46877538074244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35.083333333333329</v>
      </c>
      <c r="CH87" s="16">
        <f>IF(ISNA(VLOOKUP(A87,'Données projet'!$A$113:$I$133,5,0)),0%,VLOOKUP(A87,'Données projet'!$A$113:$I$133,5,0)*VLOOKUP('Données projet'!$B$12,Paramètres!$A$1:$I$89,7,0))</f>
        <v>0.30099999999999999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18.350959932823301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18.350959932823301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213</v>
      </c>
      <c r="CU87" s="17">
        <f>CT87*VLOOKUP('Données projet'!$B$13,Paramètres!$A$1:$I$89,3,0)*VLOOKUP('Données projet'!$B$13,Paramètres!$A$1:$I$89,5,0)</f>
        <v>169.46279999999999</v>
      </c>
      <c r="CV87" s="13">
        <f t="shared" si="95"/>
        <v>42.969686502194378</v>
      </c>
      <c r="CW87" s="20">
        <f t="shared" si="67"/>
        <v>369.9865806579885</v>
      </c>
      <c r="CX87" s="59">
        <f t="shared" si="68"/>
        <v>663.31991399132176</v>
      </c>
      <c r="CY87" s="59">
        <f ca="1">AVERAGE(OFFSET($CX$3,0,0,'Données projet'!$E$13+1,1))-AVERAGE(OFFSET($H$3,0,0,'Données projet'!$E$13+1,1))</f>
        <v>161.87883827031436</v>
      </c>
      <c r="CZ87" s="59">
        <f t="shared" si="96"/>
        <v>163.02076389611869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10.420824388969425</v>
      </c>
      <c r="DG87" s="21">
        <f>EXP(-LN(2)/25)*DG86+(1-EXP(-LN(2)/25))/(LN(2)/25)*Calculateur!DB87*Calculateur!DD87*VLOOKUP('Données projet'!$B$13,Paramètres!$A$1:$I$89,3,0)*0.475*44/12</f>
        <v>7.8205750807031462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18.241399469672572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2.4</v>
      </c>
      <c r="DO87" s="12">
        <f>IF('Données projet'!$A$166&gt;35,DO86+DN87-DW86,IF(A87&lt;'Données projet'!$A$166,$DL$205^A87,IF(A87='Données projet'!$A$166,'Données projet'!$B$166,DO86+DN87-DW86)))</f>
        <v>149.60000000000016</v>
      </c>
      <c r="DP87" s="17">
        <f>DO87*VLOOKUP('Données projet'!$B$14,Paramètres!$A$1:$I$89,3,0)*VLOOKUP('Données projet'!$B$14,Paramètres!$A$1:$I$89,5,0)</f>
        <v>121.35552000000014</v>
      </c>
      <c r="DQ87" s="13">
        <f t="shared" si="97"/>
        <v>31.990945095046623</v>
      </c>
      <c r="DR87" s="20">
        <f t="shared" si="70"/>
        <v>267.07842670720646</v>
      </c>
      <c r="DS87" s="59">
        <f t="shared" si="71"/>
        <v>560.41176004053978</v>
      </c>
      <c r="DT87" s="59">
        <f ca="1">AVERAGE(OFFSET($DS$3,0,0,'Données projet'!$E$14+1,1))-AVERAGE(OFFSET($H$3,0,0,'Données projet'!$E$14+1,1))</f>
        <v>96.611230241682733</v>
      </c>
      <c r="DU87" s="59">
        <f t="shared" si="98"/>
        <v>78.711045514042041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0.77690035719854122</v>
      </c>
      <c r="EB87" s="21">
        <f>EXP(-LN(2)/25)*EB86+(1-EXP(-LN(2)/25))/(LN(2)/25)*Calculateur!DW87*Calculateur!DY87*VLOOKUP('Données projet'!$B$14,Paramètres!$A$1:$I$89,3,0)*0.475*44/12</f>
        <v>4.8761628375280175</v>
      </c>
      <c r="EC87" s="21">
        <f>EXP(-LN(2)/2)*EC86+(1-EXP(-LN(2)/2))/(LN(2)/2)*DW87*DZ87*VLOOKUP('Données projet'!$B$14,Paramètres!$A$1:$I$89,3,0)*0.475*44/12</f>
        <v>0.55784792315399145</v>
      </c>
      <c r="ED87" s="22">
        <f t="shared" si="72"/>
        <v>6.2109111178805501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188.61152573050066</v>
      </c>
      <c r="EP87" s="59">
        <f t="shared" si="100"/>
        <v>172.37050503841624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126.12532728190288</v>
      </c>
      <c r="EW87" s="21">
        <f>EXP(-LN(2)/25)*EW86+(1-EXP(-LN(2)/25))/(LN(2)/25)*Calculateur!ER87*Calculateur!ET87*VLOOKUP('Données projet'!$B$15,Paramètres!$A$1:$I$89,3,0)*0.475*44/12</f>
        <v>29.728834936872321</v>
      </c>
      <c r="EX87" s="21">
        <f>EXP(-LN(2)/2)*EX86+(1-EXP(-LN(2)/2))/(LN(2)/2)*ER87*EU87*VLOOKUP('Données projet'!$B$15,Paramètres!$A$1:$I$89,3,0)*0.475*44/12</f>
        <v>0.24605745830020448</v>
      </c>
      <c r="EY87" s="22">
        <f t="shared" si="75"/>
        <v>156.10021967707542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0</v>
      </c>
      <c r="FK87" s="59">
        <f t="shared" si="102"/>
        <v>0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0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197.78572767493569</v>
      </c>
      <c r="T88" s="59">
        <f t="shared" si="88"/>
        <v>288.66487031729008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266.99999999999983</v>
      </c>
      <c r="AJ88" s="13">
        <f>AI88*VLOOKUP('Données projet'!$B$10,Paramètres!$A$1:$I$89,3,0)*VLOOKUP('Données projet'!$B$10,Paramètres!$A$1:$I$89,5,0)</f>
        <v>212.42519999999985</v>
      </c>
      <c r="AK88" s="13">
        <f t="shared" si="89"/>
        <v>52.465198231787184</v>
      </c>
      <c r="AL88" s="20">
        <f t="shared" si="58"/>
        <v>461.35077692036231</v>
      </c>
      <c r="AM88" s="59">
        <f t="shared" si="59"/>
        <v>754.68411025369562</v>
      </c>
      <c r="AN88" s="59">
        <f ca="1">AVERAGE(OFFSET($AM$3,0,0,'Données projet'!$E$10+1,1))-AVERAGE(OFFSET($H$3,0,0,'Données projet'!$E$10+1,1))</f>
        <v>219.43439115440339</v>
      </c>
      <c r="AO88" s="59">
        <f t="shared" si="90"/>
        <v>217.8880462742099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26.076981741197603</v>
      </c>
      <c r="AV88" s="21">
        <f>EXP(-LN(2)/25)*AV87+(1-EXP(-LN(2)/25))/(LN(2)/25)*Calculateur!AQ88*Calculateur!AS88*VLOOKUP('Données projet'!$B$10,Paramètres!$A$1:$I$89,3,0)*0.475*44/12</f>
        <v>7.2507461846889827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33.327727925886585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189</v>
      </c>
      <c r="BB88" s="12">
        <f>VLOOKUP(A88,'Données projet'!$A$87:$I$107,9,0)</f>
        <v>2.6</v>
      </c>
      <c r="BC88" s="12">
        <f t="array" ref="BC88">INDEX(BB:BB,MIN(IF(ISNUMBER(BB88:BB284),ROW(BB88:BB284),"")))</f>
        <v>2.6</v>
      </c>
      <c r="BD88" s="12">
        <f>IF('Données projet'!$A$88&gt;35,BD87+BC88-BL87,IF(A88&lt;'Données projet'!$A$88,$BA$205^A88,IF(A88='Données projet'!$A$88,'Données projet'!$B$88,BD87+BC88-BL87)))</f>
        <v>188.99999999999997</v>
      </c>
      <c r="BE88" s="13">
        <f>BD88*VLOOKUP('Données projet'!$B$11,Paramètres!$A$1:$I$89,3,0)*VLOOKUP('Données projet'!$B$11,Paramètres!$A$1:$I$89,5,0)</f>
        <v>165.1104</v>
      </c>
      <c r="BF88" s="13">
        <f t="shared" si="91"/>
        <v>41.993062739333446</v>
      </c>
      <c r="BG88" s="20">
        <f t="shared" si="61"/>
        <v>360.70519760433905</v>
      </c>
      <c r="BH88" s="59">
        <f t="shared" si="62"/>
        <v>654.03853093767236</v>
      </c>
      <c r="BI88" s="59">
        <f ca="1">AVERAGE(OFFSET($BH$3,0,0,'Données projet'!$E$11+1,1))-AVERAGE(OFFSET($H$3,0,0,'Données projet'!$E$11+1,1))</f>
        <v>175.73188403662408</v>
      </c>
      <c r="BJ88" s="59">
        <f t="shared" si="92"/>
        <v>152.02195399869032</v>
      </c>
      <c r="BK88" s="15">
        <f>IF(ISNA(VLOOKUP(A88,'Données projet'!$A$87:$I$107,3,0)),0,VLOOKUP(A88,'Données projet'!$A$87:$I$107,3,0))</f>
        <v>13</v>
      </c>
      <c r="BL88" s="15" t="str">
        <f>IF(ISNA(VLOOKUP(A88,'Données projet'!$A$87:$I$107,4,0)),0,VLOOKUP(A88,'Données projet'!$A$87:$I$107,4,0))</f>
        <v>9</v>
      </c>
      <c r="BM88" s="16">
        <f>IF(ISNA(VLOOKUP(A88,'Données projet'!$A$87:$I$107,5,0)),0%,VLOOKUP(A88,'Données projet'!$A$87:$I$107,5,0)*VLOOKUP('Données projet'!$B$11,Paramètres!$A$1:$I$89,7,0))</f>
        <v>0.17200000000000001</v>
      </c>
      <c r="BN88" s="16">
        <f>IF(ISNA(VLOOKUP(A88,'Données projet'!$A$87:$I$107,6,0)),0%,VLOOKUP(A88,'Données projet'!$A$87:$I$107,6,0)*VLOOKUP('Données projet'!$B$11,Paramètres!$A$1:$I$89,7,0))</f>
        <v>0.17200000000000001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6.9105927156726299</v>
      </c>
      <c r="BQ88" s="21">
        <f>EXP(-LN(2)/25)*BQ87+(1-EXP(-LN(2)/25))/(LN(2)/25)*Calculateur!BL88*Calculateur!BN88*VLOOKUP('Données projet'!$B$11,Paramètres!$A$1:$I$89,3,0)*0.475*44/12</f>
        <v>10.16051598144216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17.071108697114788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5.2606837606837598</v>
      </c>
      <c r="BY88" s="12">
        <f>IF('Données projet'!$A$114&gt;35,BY87+BX88-CG87,IF(A88&lt;'Données projet'!$A$114,$BV$205^A88,IF(A88='Données projet'!$A$114,'Données projet'!$B$114,BY87+BX88-CG87)))</f>
        <v>170.18376068376057</v>
      </c>
      <c r="BZ88" s="13">
        <f>BY88*VLOOKUP('Données projet'!$B$12,Paramètres!$A$1:$I$89,3,0)*VLOOKUP('Données projet'!$B$12,Paramètres!$A$1:$I$89,5,0)</f>
        <v>153.98226666666656</v>
      </c>
      <c r="CA88" s="13">
        <f t="shared" si="93"/>
        <v>39.482185325458943</v>
      </c>
      <c r="CB88" s="20">
        <f t="shared" si="64"/>
        <v>336.95058721961857</v>
      </c>
      <c r="CC88" s="59">
        <f t="shared" si="65"/>
        <v>630.28392055295194</v>
      </c>
      <c r="CD88" s="59">
        <f ca="1">AVERAGE(OFFSET($CC$3,0,0,'Données projet'!$E$12+1,1))-AVERAGE(OFFSET($H$3,0,0,'Données projet'!$E$12+1,1))</f>
        <v>213.54857791046686</v>
      </c>
      <c r="CE88" s="59">
        <f t="shared" si="94"/>
        <v>138.46877538074244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17.99110880152098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17.99110880152098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213</v>
      </c>
      <c r="CU88" s="17">
        <f>CT88*VLOOKUP('Données projet'!$B$13,Paramètres!$A$1:$I$89,3,0)*VLOOKUP('Données projet'!$B$13,Paramètres!$A$1:$I$89,5,0)</f>
        <v>169.46279999999999</v>
      </c>
      <c r="CV88" s="13">
        <f t="shared" si="95"/>
        <v>42.969686502194378</v>
      </c>
      <c r="CW88" s="20">
        <f t="shared" si="67"/>
        <v>369.9865806579885</v>
      </c>
      <c r="CX88" s="59">
        <f t="shared" si="68"/>
        <v>663.31991399132176</v>
      </c>
      <c r="CY88" s="59">
        <f ca="1">AVERAGE(OFFSET($CX$3,0,0,'Données projet'!$E$13+1,1))-AVERAGE(OFFSET($H$3,0,0,'Données projet'!$E$13+1,1))</f>
        <v>161.87883827031436</v>
      </c>
      <c r="CZ88" s="59">
        <f t="shared" si="96"/>
        <v>163.02076389611869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10.216478378777001</v>
      </c>
      <c r="DG88" s="21">
        <f>EXP(-LN(2)/25)*DG87+(1-EXP(-LN(2)/25))/(LN(2)/25)*Calculateur!DB88*Calculateur!DD88*VLOOKUP('Données projet'!$B$13,Paramètres!$A$1:$I$89,3,0)*0.475*44/12</f>
        <v>7.6067210438551491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17.82319942263215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152</v>
      </c>
      <c r="DM88" s="12">
        <f>VLOOKUP(A88,'Données projet'!$A$165:$I$185,9,0)</f>
        <v>2.4</v>
      </c>
      <c r="DN88" s="12">
        <f t="array" ref="DN88">INDEX(DM:DM,MIN(IF(ISNUMBER(DM88:DM284),ROW(DM88:DM284),"")))</f>
        <v>2.4</v>
      </c>
      <c r="DO88" s="12">
        <f>IF('Données projet'!$A$166&gt;35,DO87+DN88-DW87,IF(A88&lt;'Données projet'!$A$166,$DL$205^A88,IF(A88='Données projet'!$A$166,'Données projet'!$B$166,DO87+DN88-DW87)))</f>
        <v>152.00000000000017</v>
      </c>
      <c r="DP88" s="17">
        <f>DO88*VLOOKUP('Données projet'!$B$14,Paramètres!$A$1:$I$89,3,0)*VLOOKUP('Données projet'!$B$14,Paramètres!$A$1:$I$89,5,0)</f>
        <v>123.30240000000015</v>
      </c>
      <c r="DQ88" s="13">
        <f t="shared" si="97"/>
        <v>32.444008665071948</v>
      </c>
      <c r="DR88" s="20">
        <f t="shared" si="70"/>
        <v>271.25832842500057</v>
      </c>
      <c r="DS88" s="59">
        <f t="shared" si="71"/>
        <v>564.59166175833388</v>
      </c>
      <c r="DT88" s="59">
        <f ca="1">AVERAGE(OFFSET($DS$3,0,0,'Données projet'!$E$14+1,1))-AVERAGE(OFFSET($H$3,0,0,'Données projet'!$E$14+1,1))</f>
        <v>96.611230241682733</v>
      </c>
      <c r="DU88" s="59">
        <f t="shared" si="98"/>
        <v>78.711045514042041</v>
      </c>
      <c r="DV88" s="15">
        <f>IF(ISNA(VLOOKUP(A88,'Données projet'!$A$165:$I$185,3,0)),0,VLOOKUP(A88,'Données projet'!$A$165:$I$185,3,0))</f>
        <v>13</v>
      </c>
      <c r="DW88" s="15">
        <f>IF(ISNA(VLOOKUP(A88,'Données projet'!$A$165:$I$185,4,0)),0,VLOOKUP(A88,'Données projet'!$A$165:$I$185,4,0))</f>
        <v>8</v>
      </c>
      <c r="DX88" s="16">
        <f>IF(ISNA(VLOOKUP(A88,'Données projet'!$A$165:$I$185,5,0)),0%,VLOOKUP(A88,'Données projet'!$A$165:$I$185,5,0)*VLOOKUP('Données projet'!$B$14,Paramètres!$A$1:$I$89,7,0))</f>
        <v>8.6000000000000007E-2</v>
      </c>
      <c r="DY88" s="16">
        <f>IF(ISNA(VLOOKUP(A88,'Données projet'!$A$165:$I$185,6,0)),0%,VLOOKUP(A88,'Données projet'!$A$165:$I$185,6,0)*VLOOKUP('Données projet'!$B$14,Paramètres!$A$1:$I$89,7,0))</f>
        <v>0.17200000000000001</v>
      </c>
      <c r="DZ88" s="16">
        <f>IF(ISNA(VLOOKUP(A88,'Données projet'!$A$165:$I$185,7,0)),0%,VLOOKUP(A88,'Données projet'!$A$165:$I$185,7,0))</f>
        <v>0.2</v>
      </c>
      <c r="EA88" s="21">
        <f>EXP(-LN(2)/35)*EA87+(1-EXP(-LN(2)/35))/(LN(2)/35)*DW88*DX88*VLOOKUP('Données projet'!$B$14,Paramètres!$A$1:$I$89,3,0)*0.475*44/12</f>
        <v>1.3786350245077705</v>
      </c>
      <c r="EB88" s="21">
        <f>EXP(-LN(2)/25)*EB87+(1-EXP(-LN(2)/25))/(LN(2)/25)*Calculateur!DW88*Calculateur!DY88*VLOOKUP('Données projet'!$B$14,Paramètres!$A$1:$I$89,3,0)*0.475*44/12</f>
        <v>5.9719038414898655</v>
      </c>
      <c r="EC88" s="21">
        <f>EXP(-LN(2)/2)*EC87+(1-EXP(-LN(2)/2))/(LN(2)/2)*DW88*DZ88*VLOOKUP('Données projet'!$B$14,Paramètres!$A$1:$I$89,3,0)*0.475*44/12</f>
        <v>1.6190805023376451</v>
      </c>
      <c r="ED88" s="22">
        <f t="shared" si="72"/>
        <v>8.9696193683352821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188.61152573050066</v>
      </c>
      <c r="EP88" s="59">
        <f t="shared" si="100"/>
        <v>172.37050503841624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123.65208654275831</v>
      </c>
      <c r="EW88" s="21">
        <f>EXP(-LN(2)/25)*EW87+(1-EXP(-LN(2)/25))/(LN(2)/25)*Calculateur!ER88*Calculateur!ET88*VLOOKUP('Données projet'!$B$15,Paramètres!$A$1:$I$89,3,0)*0.475*44/12</f>
        <v>28.915898382152065</v>
      </c>
      <c r="EX88" s="21">
        <f>EXP(-LN(2)/2)*EX87+(1-EXP(-LN(2)/2))/(LN(2)/2)*ER88*EU88*VLOOKUP('Données projet'!$B$15,Paramètres!$A$1:$I$89,3,0)*0.475*44/12</f>
        <v>0.17398889732560074</v>
      </c>
      <c r="EY88" s="22">
        <f t="shared" si="75"/>
        <v>152.74197382223599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0</v>
      </c>
      <c r="FK88" s="59">
        <f t="shared" si="102"/>
        <v>0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0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197.78572767493569</v>
      </c>
      <c r="T89" s="59">
        <f t="shared" si="88"/>
        <v>288.66487031729008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266.99999999999983</v>
      </c>
      <c r="AJ89" s="13">
        <f>AI89*VLOOKUP('Données projet'!$B$10,Paramètres!$A$1:$I$89,3,0)*VLOOKUP('Données projet'!$B$10,Paramètres!$A$1:$I$89,5,0)</f>
        <v>212.42519999999985</v>
      </c>
      <c r="AK89" s="13">
        <f t="shared" si="89"/>
        <v>52.465198231787184</v>
      </c>
      <c r="AL89" s="20">
        <f t="shared" si="58"/>
        <v>461.35077692036231</v>
      </c>
      <c r="AM89" s="59">
        <f t="shared" si="59"/>
        <v>754.68411025369562</v>
      </c>
      <c r="AN89" s="59">
        <f ca="1">AVERAGE(OFFSET($AM$3,0,0,'Données projet'!$E$10+1,1))-AVERAGE(OFFSET($H$3,0,0,'Données projet'!$E$10+1,1))</f>
        <v>219.43439115440339</v>
      </c>
      <c r="AO89" s="59">
        <f t="shared" si="90"/>
        <v>217.8880462742099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25.565628034641055</v>
      </c>
      <c r="AV89" s="21">
        <f>EXP(-LN(2)/25)*AV88+(1-EXP(-LN(2)/25))/(LN(2)/25)*Calculateur!AQ89*Calculateur!AS89*VLOOKUP('Données projet'!$B$10,Paramètres!$A$1:$I$89,3,0)*0.475*44/12</f>
        <v>7.0524741489684928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32.618102183609551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2.6</v>
      </c>
      <c r="BD89" s="12">
        <f>IF('Données projet'!$A$88&gt;35,BD88+BC89-BL88,IF(A89&lt;'Données projet'!$A$88,$BA$205^A89,IF(A89='Données projet'!$A$88,'Données projet'!$B$88,BD88+BC89-BL88)))</f>
        <v>182.59999999999997</v>
      </c>
      <c r="BE89" s="13">
        <f>BD89*VLOOKUP('Données projet'!$B$11,Paramètres!$A$1:$I$89,3,0)*VLOOKUP('Données projet'!$B$11,Paramètres!$A$1:$I$89,5,0)</f>
        <v>159.51935999999998</v>
      </c>
      <c r="BF89" s="13">
        <f t="shared" si="91"/>
        <v>40.734086738277284</v>
      </c>
      <c r="BG89" s="20">
        <f t="shared" si="61"/>
        <v>348.77475306916625</v>
      </c>
      <c r="BH89" s="59">
        <f t="shared" si="62"/>
        <v>642.10808640249957</v>
      </c>
      <c r="BI89" s="59">
        <f ca="1">AVERAGE(OFFSET($BH$3,0,0,'Données projet'!$E$11+1,1))-AVERAGE(OFFSET($H$3,0,0,'Données projet'!$E$11+1,1))</f>
        <v>175.73188403662408</v>
      </c>
      <c r="BJ89" s="59">
        <f t="shared" si="92"/>
        <v>152.02195399869032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6.7750802075636454</v>
      </c>
      <c r="BQ89" s="21">
        <f>EXP(-LN(2)/25)*BQ88+(1-EXP(-LN(2)/25))/(LN(2)/25)*Calculateur!BL89*Calculateur!BN89*VLOOKUP('Données projet'!$B$11,Paramètres!$A$1:$I$89,3,0)*0.475*44/12</f>
        <v>9.8826761376113108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16.657756345174956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5.2606837606837598</v>
      </c>
      <c r="BY89" s="12">
        <f>IF('Données projet'!$A$114&gt;35,BY88+BX89-CG88,IF(A89&lt;'Données projet'!$A$114,$BV$205^A89,IF(A89='Données projet'!$A$114,'Données projet'!$B$114,BY88+BX89-CG88)))</f>
        <v>175.44444444444431</v>
      </c>
      <c r="BZ89" s="13">
        <f>BY89*VLOOKUP('Données projet'!$B$12,Paramètres!$A$1:$I$89,3,0)*VLOOKUP('Données projet'!$B$12,Paramètres!$A$1:$I$89,5,0)</f>
        <v>158.74213333333321</v>
      </c>
      <c r="CA89" s="13">
        <f t="shared" si="93"/>
        <v>40.558669873865824</v>
      </c>
      <c r="CB89" s="20">
        <f t="shared" si="64"/>
        <v>347.11556558587159</v>
      </c>
      <c r="CC89" s="59">
        <f t="shared" si="65"/>
        <v>640.44889891920491</v>
      </c>
      <c r="CD89" s="59">
        <f ca="1">AVERAGE(OFFSET($CC$3,0,0,'Données projet'!$E$12+1,1))-AVERAGE(OFFSET($H$3,0,0,'Données projet'!$E$12+1,1))</f>
        <v>213.54857791046686</v>
      </c>
      <c r="CE89" s="59">
        <f t="shared" si="94"/>
        <v>138.46877538074244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17.638314131415981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17.638314131415981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213</v>
      </c>
      <c r="CU89" s="17">
        <f>CT89*VLOOKUP('Données projet'!$B$13,Paramètres!$A$1:$I$89,3,0)*VLOOKUP('Données projet'!$B$13,Paramètres!$A$1:$I$89,5,0)</f>
        <v>169.46279999999999</v>
      </c>
      <c r="CV89" s="13">
        <f t="shared" si="95"/>
        <v>42.969686502194378</v>
      </c>
      <c r="CW89" s="20">
        <f t="shared" si="67"/>
        <v>369.9865806579885</v>
      </c>
      <c r="CX89" s="59">
        <f t="shared" si="68"/>
        <v>663.31991399132176</v>
      </c>
      <c r="CY89" s="59">
        <f ca="1">AVERAGE(OFFSET($CX$3,0,0,'Données projet'!$E$13+1,1))-AVERAGE(OFFSET($H$3,0,0,'Données projet'!$E$13+1,1))</f>
        <v>161.87883827031436</v>
      </c>
      <c r="CZ89" s="59">
        <f t="shared" si="96"/>
        <v>163.02076389611869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10.016139469205692</v>
      </c>
      <c r="DG89" s="21">
        <f>EXP(-LN(2)/25)*DG88+(1-EXP(-LN(2)/25))/(LN(2)/25)*Calculateur!DB89*Calculateur!DD89*VLOOKUP('Données projet'!$B$13,Paramètres!$A$1:$I$89,3,0)*0.475*44/12</f>
        <v>7.3987148568908561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17.414854326096549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2.4</v>
      </c>
      <c r="DO89" s="12">
        <f>IF('Données projet'!$A$166&gt;35,DO88+DN89-DW88,IF(A89&lt;'Données projet'!$A$166,$DL$205^A89,IF(A89='Données projet'!$A$166,'Données projet'!$B$166,DO88+DN89-DW88)))</f>
        <v>146.40000000000018</v>
      </c>
      <c r="DP89" s="17">
        <f>DO89*VLOOKUP('Données projet'!$B$14,Paramètres!$A$1:$I$89,3,0)*VLOOKUP('Données projet'!$B$14,Paramètres!$A$1:$I$89,5,0)</f>
        <v>118.75968000000016</v>
      </c>
      <c r="DQ89" s="13">
        <f t="shared" si="97"/>
        <v>31.385540329000545</v>
      </c>
      <c r="DR89" s="20">
        <f t="shared" si="70"/>
        <v>261.50292540634285</v>
      </c>
      <c r="DS89" s="59">
        <f t="shared" si="71"/>
        <v>554.83625873967617</v>
      </c>
      <c r="DT89" s="59">
        <f ca="1">AVERAGE(OFFSET($DS$3,0,0,'Données projet'!$E$14+1,1))-AVERAGE(OFFSET($H$3,0,0,'Données projet'!$E$14+1,1))</f>
        <v>96.611230241682733</v>
      </c>
      <c r="DU89" s="59">
        <f t="shared" si="98"/>
        <v>78.711045514042041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1.3516008325615076</v>
      </c>
      <c r="EB89" s="21">
        <f>EXP(-LN(2)/25)*EB88+(1-EXP(-LN(2)/25))/(LN(2)/25)*Calculateur!DW89*Calculateur!DY89*VLOOKUP('Données projet'!$B$14,Paramètres!$A$1:$I$89,3,0)*0.475*44/12</f>
        <v>5.8086018168955507</v>
      </c>
      <c r="EC89" s="21">
        <f>EXP(-LN(2)/2)*EC88+(1-EXP(-LN(2)/2))/(LN(2)/2)*DW89*DZ89*VLOOKUP('Données projet'!$B$14,Paramètres!$A$1:$I$89,3,0)*0.475*44/12</f>
        <v>1.1448628024898708</v>
      </c>
      <c r="ED89" s="22">
        <f t="shared" si="72"/>
        <v>8.3050654519469305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188.61152573050066</v>
      </c>
      <c r="EP89" s="59">
        <f t="shared" si="100"/>
        <v>172.37050503841624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121.22734454598047</v>
      </c>
      <c r="EW89" s="21">
        <f>EXP(-LN(2)/25)*EW88+(1-EXP(-LN(2)/25))/(LN(2)/25)*Calculateur!ER89*Calculateur!ET89*VLOOKUP('Données projet'!$B$15,Paramètres!$A$1:$I$89,3,0)*0.475*44/12</f>
        <v>28.12519162027111</v>
      </c>
      <c r="EX89" s="21">
        <f>EXP(-LN(2)/2)*EX88+(1-EXP(-LN(2)/2))/(LN(2)/2)*ER89*EU89*VLOOKUP('Données projet'!$B$15,Paramètres!$A$1:$I$89,3,0)*0.475*44/12</f>
        <v>0.12302872915010225</v>
      </c>
      <c r="EY89" s="22">
        <f t="shared" si="75"/>
        <v>149.47556489540167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0</v>
      </c>
      <c r="FK89" s="59">
        <f t="shared" si="102"/>
        <v>0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0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197.78572767493569</v>
      </c>
      <c r="T90" s="59">
        <f t="shared" si="88"/>
        <v>288.66487031729008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266.99999999999983</v>
      </c>
      <c r="AJ90" s="13">
        <f>AI90*VLOOKUP('Données projet'!$B$10,Paramètres!$A$1:$I$89,3,0)*VLOOKUP('Données projet'!$B$10,Paramètres!$A$1:$I$89,5,0)</f>
        <v>212.42519999999985</v>
      </c>
      <c r="AK90" s="13">
        <f t="shared" si="89"/>
        <v>52.465198231787184</v>
      </c>
      <c r="AL90" s="20">
        <f t="shared" si="58"/>
        <v>461.35077692036231</v>
      </c>
      <c r="AM90" s="59">
        <f t="shared" si="59"/>
        <v>754.68411025369562</v>
      </c>
      <c r="AN90" s="59">
        <f ca="1">AVERAGE(OFFSET($AM$3,0,0,'Données projet'!$E$10+1,1))-AVERAGE(OFFSET($H$3,0,0,'Données projet'!$E$10+1,1))</f>
        <v>219.43439115440339</v>
      </c>
      <c r="AO90" s="59">
        <f t="shared" si="90"/>
        <v>217.8880462742099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25.064301662375115</v>
      </c>
      <c r="AV90" s="21">
        <f>EXP(-LN(2)/25)*AV89+(1-EXP(-LN(2)/25))/(LN(2)/25)*Calculateur!AQ90*Calculateur!AS90*VLOOKUP('Données projet'!$B$10,Paramètres!$A$1:$I$89,3,0)*0.475*44/12</f>
        <v>6.8596238724914524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31.923925534866569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2.6</v>
      </c>
      <c r="BD90" s="12">
        <f>IF('Données projet'!$A$88&gt;35,BD89+BC90-BL89,IF(A90&lt;'Données projet'!$A$88,$BA$205^A90,IF(A90='Données projet'!$A$88,'Données projet'!$B$88,BD89+BC90-BL89)))</f>
        <v>185.19999999999996</v>
      </c>
      <c r="BE90" s="13">
        <f>BD90*VLOOKUP('Données projet'!$B$11,Paramètres!$A$1:$I$89,3,0)*VLOOKUP('Données projet'!$B$11,Paramètres!$A$1:$I$89,5,0)</f>
        <v>161.79071999999999</v>
      </c>
      <c r="BF90" s="13">
        <f t="shared" si="91"/>
        <v>41.246155299148</v>
      </c>
      <c r="BG90" s="20">
        <f t="shared" si="61"/>
        <v>353.62255781268271</v>
      </c>
      <c r="BH90" s="59">
        <f t="shared" si="62"/>
        <v>646.95589114601603</v>
      </c>
      <c r="BI90" s="59">
        <f ca="1">AVERAGE(OFFSET($BH$3,0,0,'Données projet'!$E$11+1,1))-AVERAGE(OFFSET($H$3,0,0,'Données projet'!$E$11+1,1))</f>
        <v>175.73188403662408</v>
      </c>
      <c r="BJ90" s="59">
        <f t="shared" si="92"/>
        <v>152.02195399869032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6.6422250170842094</v>
      </c>
      <c r="BQ90" s="21">
        <f>EXP(-LN(2)/25)*BQ89+(1-EXP(-LN(2)/25))/(LN(2)/25)*Calculateur!BL90*Calculateur!BN90*VLOOKUP('Données projet'!$B$11,Paramètres!$A$1:$I$89,3,0)*0.475*44/12</f>
        <v>9.6124338389209782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16.254658856005186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5.2606837606837598</v>
      </c>
      <c r="BY90" s="12">
        <f>IF('Données projet'!$A$114&gt;35,BY89+BX90-CG89,IF(A90&lt;'Données projet'!$A$114,$BV$205^A90,IF(A90='Données projet'!$A$114,'Données projet'!$B$114,BY89+BX90-CG89)))</f>
        <v>180.70512820512806</v>
      </c>
      <c r="BZ90" s="13">
        <f>BY90*VLOOKUP('Données projet'!$B$12,Paramètres!$A$1:$I$89,3,0)*VLOOKUP('Données projet'!$B$12,Paramètres!$A$1:$I$89,5,0)</f>
        <v>163.50199999999987</v>
      </c>
      <c r="CA90" s="13">
        <f t="shared" si="93"/>
        <v>41.631403185766587</v>
      </c>
      <c r="CB90" s="20">
        <f t="shared" si="64"/>
        <v>357.27401054854323</v>
      </c>
      <c r="CC90" s="59">
        <f t="shared" si="65"/>
        <v>650.60734388187655</v>
      </c>
      <c r="CD90" s="59">
        <f ca="1">AVERAGE(OFFSET($CC$3,0,0,'Données projet'!$E$12+1,1))-AVERAGE(OFFSET($H$3,0,0,'Données projet'!$E$12+1,1))</f>
        <v>213.54857791046686</v>
      </c>
      <c r="CE90" s="59">
        <f t="shared" si="94"/>
        <v>138.46877538074244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17.292437549608241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17.292437549608241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213</v>
      </c>
      <c r="CU90" s="17">
        <f>CT90*VLOOKUP('Données projet'!$B$13,Paramètres!$A$1:$I$89,3,0)*VLOOKUP('Données projet'!$B$13,Paramètres!$A$1:$I$89,5,0)</f>
        <v>169.46279999999999</v>
      </c>
      <c r="CV90" s="13">
        <f t="shared" si="95"/>
        <v>42.969686502194378</v>
      </c>
      <c r="CW90" s="20">
        <f t="shared" si="67"/>
        <v>369.9865806579885</v>
      </c>
      <c r="CX90" s="59">
        <f t="shared" si="68"/>
        <v>663.31991399132176</v>
      </c>
      <c r="CY90" s="59">
        <f ca="1">AVERAGE(OFFSET($CX$3,0,0,'Données projet'!$E$13+1,1))-AVERAGE(OFFSET($H$3,0,0,'Données projet'!$E$13+1,1))</f>
        <v>161.87883827031436</v>
      </c>
      <c r="CZ90" s="59">
        <f t="shared" si="96"/>
        <v>163.02076389611869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9.8197290834564068</v>
      </c>
      <c r="DG90" s="21">
        <f>EXP(-LN(2)/25)*DG89+(1-EXP(-LN(2)/25))/(LN(2)/25)*Calculateur!DB90*Calculateur!DD90*VLOOKUP('Données projet'!$B$13,Paramètres!$A$1:$I$89,3,0)*0.475*44/12</f>
        <v>7.1963966100476711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17.01612569350408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2.4</v>
      </c>
      <c r="DO90" s="12">
        <f>IF('Données projet'!$A$166&gt;35,DO89+DN90-DW89,IF(A90&lt;'Données projet'!$A$166,$DL$205^A90,IF(A90='Données projet'!$A$166,'Données projet'!$B$166,DO89+DN90-DW89)))</f>
        <v>148.80000000000018</v>
      </c>
      <c r="DP90" s="17">
        <f>DO90*VLOOKUP('Données projet'!$B$14,Paramètres!$A$1:$I$89,3,0)*VLOOKUP('Données projet'!$B$14,Paramètres!$A$1:$I$89,5,0)</f>
        <v>120.70656000000017</v>
      </c>
      <c r="DQ90" s="13">
        <f t="shared" si="97"/>
        <v>31.839736462736866</v>
      </c>
      <c r="DR90" s="20">
        <f t="shared" si="70"/>
        <v>265.68479967260026</v>
      </c>
      <c r="DS90" s="59">
        <f t="shared" si="71"/>
        <v>559.01813300593358</v>
      </c>
      <c r="DT90" s="59">
        <f ca="1">AVERAGE(OFFSET($DS$3,0,0,'Données projet'!$E$14+1,1))-AVERAGE(OFFSET($H$3,0,0,'Données projet'!$E$14+1,1))</f>
        <v>96.611230241682733</v>
      </c>
      <c r="DU90" s="59">
        <f t="shared" si="98"/>
        <v>78.711045514042041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1.3250967646300822</v>
      </c>
      <c r="EB90" s="21">
        <f>EXP(-LN(2)/25)*EB89+(1-EXP(-LN(2)/25))/(LN(2)/25)*Calculateur!DW90*Calculateur!DY90*VLOOKUP('Données projet'!$B$14,Paramètres!$A$1:$I$89,3,0)*0.475*44/12</f>
        <v>5.6497652947514476</v>
      </c>
      <c r="EC90" s="21">
        <f>EXP(-LN(2)/2)*EC89+(1-EXP(-LN(2)/2))/(LN(2)/2)*DW90*DZ90*VLOOKUP('Données projet'!$B$14,Paramètres!$A$1:$I$89,3,0)*0.475*44/12</f>
        <v>0.80954025116882267</v>
      </c>
      <c r="ED90" s="22">
        <f t="shared" si="72"/>
        <v>7.7844023105503526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188.61152573050066</v>
      </c>
      <c r="EP90" s="59">
        <f t="shared" si="100"/>
        <v>172.37050503841624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118.85015026081287</v>
      </c>
      <c r="EW90" s="21">
        <f>EXP(-LN(2)/25)*EW89+(1-EXP(-LN(2)/25))/(LN(2)/25)*Calculateur!ER90*Calculateur!ET90*VLOOKUP('Données projet'!$B$15,Paramètres!$A$1:$I$89,3,0)*0.475*44/12</f>
        <v>27.356106776375249</v>
      </c>
      <c r="EX90" s="21">
        <f>EXP(-LN(2)/2)*EX89+(1-EXP(-LN(2)/2))/(LN(2)/2)*ER90*EU90*VLOOKUP('Données projet'!$B$15,Paramètres!$A$1:$I$89,3,0)*0.475*44/12</f>
        <v>8.6994448662800386E-2</v>
      </c>
      <c r="EY90" s="22">
        <f t="shared" si="75"/>
        <v>146.29325148585093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0</v>
      </c>
      <c r="FK90" s="59">
        <f t="shared" si="102"/>
        <v>0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0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197.78572767493569</v>
      </c>
      <c r="T91" s="59">
        <f t="shared" si="88"/>
        <v>288.66487031729008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266.99999999999983</v>
      </c>
      <c r="AJ91" s="13">
        <f>AI91*VLOOKUP('Données projet'!$B$10,Paramètres!$A$1:$I$89,3,0)*VLOOKUP('Données projet'!$B$10,Paramètres!$A$1:$I$89,5,0)</f>
        <v>212.42519999999985</v>
      </c>
      <c r="AK91" s="13">
        <f t="shared" si="89"/>
        <v>52.465198231787184</v>
      </c>
      <c r="AL91" s="20">
        <f t="shared" si="58"/>
        <v>461.35077692036231</v>
      </c>
      <c r="AM91" s="59">
        <f t="shared" si="59"/>
        <v>754.68411025369562</v>
      </c>
      <c r="AN91" s="59">
        <f ca="1">AVERAGE(OFFSET($AM$3,0,0,'Données projet'!$E$10+1,1))-AVERAGE(OFFSET($H$3,0,0,'Données projet'!$E$10+1,1))</f>
        <v>219.43439115440339</v>
      </c>
      <c r="AO91" s="59">
        <f t="shared" si="90"/>
        <v>217.8880462742099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24.572805994490416</v>
      </c>
      <c r="AV91" s="21">
        <f>EXP(-LN(2)/25)*AV90+(1-EXP(-LN(2)/25))/(LN(2)/25)*Calculateur!AQ91*Calculateur!AS91*VLOOKUP('Données projet'!$B$10,Paramètres!$A$1:$I$89,3,0)*0.475*44/12</f>
        <v>6.6720470969662324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31.244853091456648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2.6</v>
      </c>
      <c r="BD91" s="12">
        <f>IF('Données projet'!$A$88&gt;35,BD90+BC91-BL90,IF(A91&lt;'Données projet'!$A$88,$BA$205^A91,IF(A91='Données projet'!$A$88,'Données projet'!$B$88,BD90+BC91-BL90)))</f>
        <v>187.79999999999995</v>
      </c>
      <c r="BE91" s="13">
        <f>BD91*VLOOKUP('Données projet'!$B$11,Paramètres!$A$1:$I$89,3,0)*VLOOKUP('Données projet'!$B$11,Paramètres!$A$1:$I$89,5,0)</f>
        <v>164.06207999999998</v>
      </c>
      <c r="BF91" s="13">
        <f t="shared" si="91"/>
        <v>41.75738773013461</v>
      </c>
      <c r="BG91" s="20">
        <f t="shared" si="61"/>
        <v>358.46890629665103</v>
      </c>
      <c r="BH91" s="59">
        <f t="shared" si="62"/>
        <v>651.80223962998434</v>
      </c>
      <c r="BI91" s="59">
        <f ca="1">AVERAGE(OFFSET($BH$3,0,0,'Données projet'!$E$11+1,1))-AVERAGE(OFFSET($H$3,0,0,'Données projet'!$E$11+1,1))</f>
        <v>175.73188403662408</v>
      </c>
      <c r="BJ91" s="59">
        <f t="shared" si="92"/>
        <v>152.02195399869032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6.5119750358564099</v>
      </c>
      <c r="BQ91" s="21">
        <f>EXP(-LN(2)/25)*BQ90+(1-EXP(-LN(2)/25))/(LN(2)/25)*Calculateur!BL91*Calculateur!BN91*VLOOKUP('Données projet'!$B$11,Paramètres!$A$1:$I$89,3,0)*0.475*44/12</f>
        <v>9.3495813300997579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15.861556365956169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5.2606837606837598</v>
      </c>
      <c r="BY91" s="12">
        <f>IF('Données projet'!$A$114&gt;35,BY90+BX91-CG90,IF(A91&lt;'Données projet'!$A$114,$BV$205^A91,IF(A91='Données projet'!$A$114,'Données projet'!$B$114,BY90+BX91-CG90)))</f>
        <v>185.96581196581181</v>
      </c>
      <c r="BZ91" s="13">
        <f>BY91*VLOOKUP('Données projet'!$B$12,Paramètres!$A$1:$I$89,3,0)*VLOOKUP('Données projet'!$B$12,Paramètres!$A$1:$I$89,5,0)</f>
        <v>168.26186666666652</v>
      </c>
      <c r="CA91" s="13">
        <f t="shared" si="93"/>
        <v>42.700507007169499</v>
      </c>
      <c r="CB91" s="20">
        <f t="shared" si="64"/>
        <v>367.42613414859778</v>
      </c>
      <c r="CC91" s="59">
        <f t="shared" si="65"/>
        <v>660.7594674819311</v>
      </c>
      <c r="CD91" s="59">
        <f ca="1">AVERAGE(OFFSET($CC$3,0,0,'Données projet'!$E$12+1,1))-AVERAGE(OFFSET($H$3,0,0,'Données projet'!$E$12+1,1))</f>
        <v>213.54857791046686</v>
      </c>
      <c r="CE91" s="59">
        <f t="shared" si="94"/>
        <v>138.46877538074244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16.953343396605867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16.953343396605867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213</v>
      </c>
      <c r="CU91" s="17">
        <f>CT91*VLOOKUP('Données projet'!$B$13,Paramètres!$A$1:$I$89,3,0)*VLOOKUP('Données projet'!$B$13,Paramètres!$A$1:$I$89,5,0)</f>
        <v>169.46279999999999</v>
      </c>
      <c r="CV91" s="13">
        <f t="shared" si="95"/>
        <v>42.969686502194378</v>
      </c>
      <c r="CW91" s="20">
        <f t="shared" si="67"/>
        <v>369.9865806579885</v>
      </c>
      <c r="CX91" s="59">
        <f t="shared" si="68"/>
        <v>663.31991399132176</v>
      </c>
      <c r="CY91" s="59">
        <f ca="1">AVERAGE(OFFSET($CX$3,0,0,'Données projet'!$E$13+1,1))-AVERAGE(OFFSET($H$3,0,0,'Données projet'!$E$13+1,1))</f>
        <v>161.87883827031436</v>
      </c>
      <c r="CZ91" s="59">
        <f t="shared" si="96"/>
        <v>163.02076389611869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9.62717018557316</v>
      </c>
      <c r="DG91" s="21">
        <f>EXP(-LN(2)/25)*DG90+(1-EXP(-LN(2)/25))/(LN(2)/25)*Calculateur!DB91*Calculateur!DD91*VLOOKUP('Données projet'!$B$13,Paramètres!$A$1:$I$89,3,0)*0.475*44/12</f>
        <v>6.9996107663038671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16.626780951877027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2.4</v>
      </c>
      <c r="DO91" s="12">
        <f>IF('Données projet'!$A$166&gt;35,DO90+DN91-DW90,IF(A91&lt;'Données projet'!$A$166,$DL$205^A91,IF(A91='Données projet'!$A$166,'Données projet'!$B$166,DO90+DN91-DW90)))</f>
        <v>151.20000000000019</v>
      </c>
      <c r="DP91" s="17">
        <f>DO91*VLOOKUP('Données projet'!$B$14,Paramètres!$A$1:$I$89,3,0)*VLOOKUP('Données projet'!$B$14,Paramètres!$A$1:$I$89,5,0)</f>
        <v>122.65344000000015</v>
      </c>
      <c r="DQ91" s="13">
        <f t="shared" si="97"/>
        <v>32.293080640759065</v>
      </c>
      <c r="DR91" s="20">
        <f t="shared" si="70"/>
        <v>269.86519011598898</v>
      </c>
      <c r="DS91" s="59">
        <f t="shared" si="71"/>
        <v>563.19852344932224</v>
      </c>
      <c r="DT91" s="59">
        <f ca="1">AVERAGE(OFFSET($DS$3,0,0,'Données projet'!$E$14+1,1))-AVERAGE(OFFSET($H$3,0,0,'Données projet'!$E$14+1,1))</f>
        <v>96.611230241682733</v>
      </c>
      <c r="DU91" s="59">
        <f t="shared" si="98"/>
        <v>78.711045514042041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1.2991124253049067</v>
      </c>
      <c r="EB91" s="21">
        <f>EXP(-LN(2)/25)*EB90+(1-EXP(-LN(2)/25))/(LN(2)/25)*Calculateur!DW91*Calculateur!DY91*VLOOKUP('Données projet'!$B$14,Paramètres!$A$1:$I$89,3,0)*0.475*44/12</f>
        <v>5.4952721656582248</v>
      </c>
      <c r="EC91" s="21">
        <f>EXP(-LN(2)/2)*EC90+(1-EXP(-LN(2)/2))/(LN(2)/2)*DW91*DZ91*VLOOKUP('Données projet'!$B$14,Paramètres!$A$1:$I$89,3,0)*0.475*44/12</f>
        <v>0.57243140124493541</v>
      </c>
      <c r="ED91" s="22">
        <f t="shared" si="72"/>
        <v>7.3668159922080676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188.61152573050066</v>
      </c>
      <c r="EP91" s="59">
        <f t="shared" si="100"/>
        <v>172.37050503841624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116.51957130563206</v>
      </c>
      <c r="EW91" s="21">
        <f>EXP(-LN(2)/25)*EW90+(1-EXP(-LN(2)/25))/(LN(2)/25)*Calculateur!ER91*Calculateur!ET91*VLOOKUP('Données projet'!$B$15,Paramètres!$A$1:$I$89,3,0)*0.475*44/12</f>
        <v>26.608052597980137</v>
      </c>
      <c r="EX91" s="21">
        <f>EXP(-LN(2)/2)*EX90+(1-EXP(-LN(2)/2))/(LN(2)/2)*ER91*EU91*VLOOKUP('Données projet'!$B$15,Paramètres!$A$1:$I$89,3,0)*0.475*44/12</f>
        <v>6.1514364575051141E-2</v>
      </c>
      <c r="EY91" s="22">
        <f t="shared" si="75"/>
        <v>143.18913826818726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0</v>
      </c>
      <c r="FK91" s="59">
        <f t="shared" si="102"/>
        <v>0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0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197.78572767493569</v>
      </c>
      <c r="T92" s="59">
        <f t="shared" si="88"/>
        <v>288.66487031729008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266.99999999999983</v>
      </c>
      <c r="AJ92" s="13">
        <f>AI92*VLOOKUP('Données projet'!$B$10,Paramètres!$A$1:$I$89,3,0)*VLOOKUP('Données projet'!$B$10,Paramètres!$A$1:$I$89,5,0)</f>
        <v>212.42519999999985</v>
      </c>
      <c r="AK92" s="13">
        <f t="shared" si="89"/>
        <v>52.465198231787184</v>
      </c>
      <c r="AL92" s="20">
        <f t="shared" si="58"/>
        <v>461.35077692036231</v>
      </c>
      <c r="AM92" s="59">
        <f t="shared" si="59"/>
        <v>754.68411025369562</v>
      </c>
      <c r="AN92" s="59">
        <f ca="1">AVERAGE(OFFSET($AM$3,0,0,'Données projet'!$E$10+1,1))-AVERAGE(OFFSET($H$3,0,0,'Données projet'!$E$10+1,1))</f>
        <v>219.43439115440339</v>
      </c>
      <c r="AO92" s="59">
        <f t="shared" si="90"/>
        <v>217.8880462742099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24.090948256870181</v>
      </c>
      <c r="AV92" s="21">
        <f>EXP(-LN(2)/25)*AV91+(1-EXP(-LN(2)/25))/(LN(2)/25)*Calculateur!AQ92*Calculateur!AS92*VLOOKUP('Données projet'!$B$10,Paramètres!$A$1:$I$89,3,0)*0.475*44/12</f>
        <v>6.4895996182319831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30.580547875102162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2.6</v>
      </c>
      <c r="BD92" s="12">
        <f>IF('Données projet'!$A$88&gt;35,BD91+BC92-BL91,IF(A92&lt;'Données projet'!$A$88,$BA$205^A92,IF(A92='Données projet'!$A$88,'Données projet'!$B$88,BD91+BC92-BL91)))</f>
        <v>190.39999999999995</v>
      </c>
      <c r="BE92" s="13">
        <f>BD92*VLOOKUP('Données projet'!$B$11,Paramètres!$A$1:$I$89,3,0)*VLOOKUP('Données projet'!$B$11,Paramètres!$A$1:$I$89,5,0)</f>
        <v>166.33343999999997</v>
      </c>
      <c r="BF92" s="13">
        <f t="shared" si="91"/>
        <v>42.267796944897761</v>
      </c>
      <c r="BG92" s="20">
        <f t="shared" si="61"/>
        <v>363.31382101236346</v>
      </c>
      <c r="BH92" s="59">
        <f t="shared" si="62"/>
        <v>656.64715434569678</v>
      </c>
      <c r="BI92" s="59">
        <f ca="1">AVERAGE(OFFSET($BH$3,0,0,'Données projet'!$E$11+1,1))-AVERAGE(OFFSET($H$3,0,0,'Données projet'!$E$11+1,1))</f>
        <v>175.73188403662408</v>
      </c>
      <c r="BJ92" s="59">
        <f t="shared" si="92"/>
        <v>152.02195399869032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6.384279177315844</v>
      </c>
      <c r="BQ92" s="21">
        <f>EXP(-LN(2)/25)*BQ91+(1-EXP(-LN(2)/25))/(LN(2)/25)*Calculateur!BL92*Calculateur!BN92*VLOOKUP('Données projet'!$B$11,Paramètres!$A$1:$I$89,3,0)*0.475*44/12</f>
        <v>9.0939165369550672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15.47819571427091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5.2606837606837598</v>
      </c>
      <c r="BY92" s="12">
        <f>IF('Données projet'!$A$114&gt;35,BY91+BX92-CG91,IF(A92&lt;'Données projet'!$A$114,$BV$205^A92,IF(A92='Données projet'!$A$114,'Données projet'!$B$114,BY91+BX92-CG91)))</f>
        <v>191.22649572649556</v>
      </c>
      <c r="BZ92" s="13">
        <f>BY92*VLOOKUP('Données projet'!$B$12,Paramètres!$A$1:$I$89,3,0)*VLOOKUP('Données projet'!$B$12,Paramètres!$A$1:$I$89,5,0)</f>
        <v>173.02173333333317</v>
      </c>
      <c r="CA92" s="13">
        <f t="shared" si="93"/>
        <v>43.766095804240145</v>
      </c>
      <c r="CB92" s="20">
        <f t="shared" si="64"/>
        <v>377.57213574794014</v>
      </c>
      <c r="CC92" s="59">
        <f t="shared" si="65"/>
        <v>670.9054690812734</v>
      </c>
      <c r="CD92" s="59">
        <f ca="1">AVERAGE(OFFSET($CC$3,0,0,'Données projet'!$E$12+1,1))-AVERAGE(OFFSET($H$3,0,0,'Données projet'!$E$12+1,1))</f>
        <v>213.54857791046686</v>
      </c>
      <c r="CE92" s="59">
        <f t="shared" si="94"/>
        <v>138.46877538074244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16.620898673116855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16.620898673116855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213</v>
      </c>
      <c r="CU92" s="17">
        <f>CT92*VLOOKUP('Données projet'!$B$13,Paramètres!$A$1:$I$89,3,0)*VLOOKUP('Données projet'!$B$13,Paramètres!$A$1:$I$89,5,0)</f>
        <v>169.46279999999999</v>
      </c>
      <c r="CV92" s="13">
        <f t="shared" si="95"/>
        <v>42.969686502194378</v>
      </c>
      <c r="CW92" s="20">
        <f t="shared" si="67"/>
        <v>369.9865806579885</v>
      </c>
      <c r="CX92" s="59">
        <f t="shared" si="68"/>
        <v>663.31991399132176</v>
      </c>
      <c r="CY92" s="59">
        <f ca="1">AVERAGE(OFFSET($CX$3,0,0,'Données projet'!$E$13+1,1))-AVERAGE(OFFSET($H$3,0,0,'Données projet'!$E$13+1,1))</f>
        <v>161.87883827031436</v>
      </c>
      <c r="CZ92" s="59">
        <f t="shared" si="96"/>
        <v>163.02076389611869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9.4383872502280717</v>
      </c>
      <c r="DG92" s="21">
        <f>EXP(-LN(2)/25)*DG91+(1-EXP(-LN(2)/25))/(LN(2)/25)*Calculateur!DB92*Calculateur!DD92*VLOOKUP('Données projet'!$B$13,Paramètres!$A$1:$I$89,3,0)*0.475*44/12</f>
        <v>6.8082060418057555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16.246593292033829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2.4</v>
      </c>
      <c r="DO92" s="12">
        <f>IF('Données projet'!$A$166&gt;35,DO91+DN92-DW91,IF(A92&lt;'Données projet'!$A$166,$DL$205^A92,IF(A92='Données projet'!$A$166,'Données projet'!$B$166,DO91+DN92-DW91)))</f>
        <v>153.60000000000019</v>
      </c>
      <c r="DP92" s="17">
        <f>DO92*VLOOKUP('Données projet'!$B$14,Paramètres!$A$1:$I$89,3,0)*VLOOKUP('Données projet'!$B$14,Paramètres!$A$1:$I$89,5,0)</f>
        <v>124.60032000000015</v>
      </c>
      <c r="DQ92" s="13">
        <f t="shared" si="97"/>
        <v>32.745587947600995</v>
      </c>
      <c r="DR92" s="20">
        <f t="shared" si="70"/>
        <v>274.04412300873861</v>
      </c>
      <c r="DS92" s="59">
        <f t="shared" si="71"/>
        <v>567.37745634207192</v>
      </c>
      <c r="DT92" s="59">
        <f ca="1">AVERAGE(OFFSET($DS$3,0,0,'Données projet'!$E$14+1,1))-AVERAGE(OFFSET($H$3,0,0,'Données projet'!$E$14+1,1))</f>
        <v>96.611230241682733</v>
      </c>
      <c r="DU92" s="59">
        <f t="shared" si="98"/>
        <v>78.711045514042041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1.2736376230250159</v>
      </c>
      <c r="EB92" s="21">
        <f>EXP(-LN(2)/25)*EB91+(1-EXP(-LN(2)/25))/(LN(2)/25)*Calculateur!DW92*Calculateur!DY92*VLOOKUP('Données projet'!$B$14,Paramètres!$A$1:$I$89,3,0)*0.475*44/12</f>
        <v>5.3450036593044974</v>
      </c>
      <c r="EC92" s="21">
        <f>EXP(-LN(2)/2)*EC91+(1-EXP(-LN(2)/2))/(LN(2)/2)*DW92*DZ92*VLOOKUP('Données projet'!$B$14,Paramètres!$A$1:$I$89,3,0)*0.475*44/12</f>
        <v>0.40477012558441133</v>
      </c>
      <c r="ED92" s="22">
        <f t="shared" si="72"/>
        <v>7.0234114079139243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188.61152573050066</v>
      </c>
      <c r="EP92" s="59">
        <f t="shared" si="100"/>
        <v>172.37050503841624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114.23469358224953</v>
      </c>
      <c r="EW92" s="21">
        <f>EXP(-LN(2)/25)*EW91+(1-EXP(-LN(2)/25))/(LN(2)/25)*Calculateur!ER92*Calculateur!ET92*VLOOKUP('Données projet'!$B$15,Paramètres!$A$1:$I$89,3,0)*0.475*44/12</f>
        <v>25.880454000431698</v>
      </c>
      <c r="EX92" s="21">
        <f>EXP(-LN(2)/2)*EX91+(1-EXP(-LN(2)/2))/(LN(2)/2)*ER92*EU92*VLOOKUP('Données projet'!$B$15,Paramètres!$A$1:$I$89,3,0)*0.475*44/12</f>
        <v>4.34972243314002E-2</v>
      </c>
      <c r="EY92" s="22">
        <f t="shared" si="75"/>
        <v>140.15864480701262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0</v>
      </c>
      <c r="FK92" s="59">
        <f t="shared" si="102"/>
        <v>0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0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197.78572767493569</v>
      </c>
      <c r="T93" s="59">
        <f t="shared" si="88"/>
        <v>288.66487031729008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266.99999999999983</v>
      </c>
      <c r="AJ93" s="13">
        <f>AI93*VLOOKUP('Données projet'!$B$10,Paramètres!$A$1:$I$89,3,0)*VLOOKUP('Données projet'!$B$10,Paramètres!$A$1:$I$89,5,0)</f>
        <v>212.42519999999985</v>
      </c>
      <c r="AK93" s="13">
        <f t="shared" si="89"/>
        <v>52.465198231787184</v>
      </c>
      <c r="AL93" s="20">
        <f t="shared" si="58"/>
        <v>461.35077692036231</v>
      </c>
      <c r="AM93" s="59">
        <f t="shared" si="59"/>
        <v>754.68411025369562</v>
      </c>
      <c r="AN93" s="59">
        <f ca="1">AVERAGE(OFFSET($AM$3,0,0,'Données projet'!$E$10+1,1))-AVERAGE(OFFSET($H$3,0,0,'Données projet'!$E$10+1,1))</f>
        <v>219.43439115440339</v>
      </c>
      <c r="AO93" s="59">
        <f t="shared" si="90"/>
        <v>217.8880462742099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23.618539455580478</v>
      </c>
      <c r="AV93" s="21">
        <f>EXP(-LN(2)/25)*AV92+(1-EXP(-LN(2)/25))/(LN(2)/25)*Calculateur!AQ93*Calculateur!AS93*VLOOKUP('Données projet'!$B$10,Paramètres!$A$1:$I$89,3,0)*0.475*44/12</f>
        <v>6.3121411753982182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29.930680630978696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193</v>
      </c>
      <c r="BB93" s="12">
        <f>VLOOKUP(A93,'Données projet'!$A$87:$I$107,9,0)</f>
        <v>2.6</v>
      </c>
      <c r="BC93" s="12">
        <f t="array" ref="BC93">INDEX(BB:BB,MIN(IF(ISNUMBER(BB93:BB289),ROW(BB93:BB289),"")))</f>
        <v>2.6</v>
      </c>
      <c r="BD93" s="12">
        <f>IF('Données projet'!$A$88&gt;35,BD92+BC93-BL92,IF(A93&lt;'Données projet'!$A$88,$BA$205^A93,IF(A93='Données projet'!$A$88,'Données projet'!$B$88,BD92+BC93-BL92)))</f>
        <v>192.99999999999994</v>
      </c>
      <c r="BE93" s="13">
        <f>BD93*VLOOKUP('Données projet'!$B$11,Paramètres!$A$1:$I$89,3,0)*VLOOKUP('Données projet'!$B$11,Paramètres!$A$1:$I$89,5,0)</f>
        <v>168.60479999999998</v>
      </c>
      <c r="BF93" s="13">
        <f t="shared" si="91"/>
        <v>42.777395484149757</v>
      </c>
      <c r="BG93" s="20">
        <f t="shared" si="61"/>
        <v>368.15732380156078</v>
      </c>
      <c r="BH93" s="59">
        <f t="shared" si="62"/>
        <v>661.49065713489404</v>
      </c>
      <c r="BI93" s="59">
        <f ca="1">AVERAGE(OFFSET($BH$3,0,0,'Données projet'!$E$11+1,1))-AVERAGE(OFFSET($H$3,0,0,'Données projet'!$E$11+1,1))</f>
        <v>175.73188403662408</v>
      </c>
      <c r="BJ93" s="59">
        <f t="shared" si="92"/>
        <v>152.02195399869032</v>
      </c>
      <c r="BK93" s="15">
        <f>IF(ISNA(VLOOKUP(A93,'Données projet'!$A$87:$I$107,3,0)),0,VLOOKUP(A93,'Données projet'!$A$87:$I$107,3,0))</f>
        <v>14</v>
      </c>
      <c r="BL93" s="15" t="str">
        <f>IF(ISNA(VLOOKUP(A93,'Données projet'!$A$87:$I$107,4,0)),0,VLOOKUP(A93,'Données projet'!$A$87:$I$107,4,0))</f>
        <v>9</v>
      </c>
      <c r="BM93" s="16">
        <f>IF(ISNA(VLOOKUP(A93,'Données projet'!$A$87:$I$107,5,0)),0%,VLOOKUP(A93,'Données projet'!$A$87:$I$107,5,0)*VLOOKUP('Données projet'!$B$11,Paramètres!$A$1:$I$89,7,0))</f>
        <v>0.17200000000000001</v>
      </c>
      <c r="BN93" s="16">
        <f>IF(ISNA(VLOOKUP(A93,'Données projet'!$A$87:$I$107,6,0)),0%,VLOOKUP(A93,'Données projet'!$A$87:$I$107,6,0)*VLOOKUP('Données projet'!$B$11,Paramètres!$A$1:$I$89,7,0))</f>
        <v>0.17200000000000001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7.7540512103453327</v>
      </c>
      <c r="BQ93" s="21">
        <f>EXP(-LN(2)/25)*BQ92+(1-EXP(-LN(2)/25))/(LN(2)/25)*Calculateur!BL93*Calculateur!BN93*VLOOKUP('Données projet'!$B$11,Paramètres!$A$1:$I$89,3,0)*0.475*44/12</f>
        <v>10.334320522376814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18.088371732722145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5.2606837606837598</v>
      </c>
      <c r="BY93" s="12">
        <f>IF('Données projet'!$A$114&gt;35,BY92+BX93-CG92,IF(A93&lt;'Données projet'!$A$114,$BV$205^A93,IF(A93='Données projet'!$A$114,'Données projet'!$B$114,BY92+BX93-CG92)))</f>
        <v>196.4871794871793</v>
      </c>
      <c r="BZ93" s="13">
        <f>BY93*VLOOKUP('Données projet'!$B$12,Paramètres!$A$1:$I$89,3,0)*VLOOKUP('Données projet'!$B$12,Paramètres!$A$1:$I$89,5,0)</f>
        <v>177.78159999999983</v>
      </c>
      <c r="CA93" s="13">
        <f t="shared" si="93"/>
        <v>44.828277386743572</v>
      </c>
      <c r="CB93" s="20">
        <f t="shared" si="64"/>
        <v>387.71220311524468</v>
      </c>
      <c r="CC93" s="59">
        <f t="shared" si="65"/>
        <v>681.04553644857799</v>
      </c>
      <c r="CD93" s="59">
        <f ca="1">AVERAGE(OFFSET($CC$3,0,0,'Données projet'!$E$12+1,1))-AVERAGE(OFFSET($H$3,0,0,'Données projet'!$E$12+1,1))</f>
        <v>213.54857791046686</v>
      </c>
      <c r="CE93" s="59">
        <f t="shared" si="94"/>
        <v>138.46877538074244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16.294972987884204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16.294972987884204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213</v>
      </c>
      <c r="CU93" s="17">
        <f>CT93*VLOOKUP('Données projet'!$B$13,Paramètres!$A$1:$I$89,3,0)*VLOOKUP('Données projet'!$B$13,Paramètres!$A$1:$I$89,5,0)</f>
        <v>169.46279999999999</v>
      </c>
      <c r="CV93" s="13">
        <f t="shared" si="95"/>
        <v>42.969686502194378</v>
      </c>
      <c r="CW93" s="20">
        <f t="shared" si="67"/>
        <v>369.9865806579885</v>
      </c>
      <c r="CX93" s="59">
        <f t="shared" si="68"/>
        <v>663.31991399132176</v>
      </c>
      <c r="CY93" s="59">
        <f ca="1">AVERAGE(OFFSET($CX$3,0,0,'Données projet'!$E$13+1,1))-AVERAGE(OFFSET($H$3,0,0,'Données projet'!$E$13+1,1))</f>
        <v>161.87883827031436</v>
      </c>
      <c r="CZ93" s="59">
        <f t="shared" si="96"/>
        <v>163.02076389611869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9.2533062330988809</v>
      </c>
      <c r="DG93" s="21">
        <f>EXP(-LN(2)/25)*DG92+(1-EXP(-LN(2)/25))/(LN(2)/25)*Calculateur!DB93*Calculateur!DD93*VLOOKUP('Données projet'!$B$13,Paramètres!$A$1:$I$89,3,0)*0.475*44/12</f>
        <v>6.6220352895645815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15.875341522663462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156</v>
      </c>
      <c r="DM93" s="12">
        <f>VLOOKUP(A93,'Données projet'!$A$165:$I$185,9,0)</f>
        <v>2.4</v>
      </c>
      <c r="DN93" s="12">
        <f t="array" ref="DN93">INDEX(DM:DM,MIN(IF(ISNUMBER(DM93:DM289),ROW(DM93:DM289),"")))</f>
        <v>2.4</v>
      </c>
      <c r="DO93" s="12">
        <f>IF('Données projet'!$A$166&gt;35,DO92+DN93-DW92,IF(A93&lt;'Données projet'!$A$166,$DL$205^A93,IF(A93='Données projet'!$A$166,'Données projet'!$B$166,DO92+DN93-DW92)))</f>
        <v>156.0000000000002</v>
      </c>
      <c r="DP93" s="17">
        <f>DO93*VLOOKUP('Données projet'!$B$14,Paramètres!$A$1:$I$89,3,0)*VLOOKUP('Données projet'!$B$14,Paramètres!$A$1:$I$89,5,0)</f>
        <v>126.54720000000016</v>
      </c>
      <c r="DQ93" s="13">
        <f t="shared" si="97"/>
        <v>33.197272969362487</v>
      </c>
      <c r="DR93" s="20">
        <f t="shared" si="70"/>
        <v>278.22162375497328</v>
      </c>
      <c r="DS93" s="59">
        <f t="shared" si="71"/>
        <v>571.55495708830654</v>
      </c>
      <c r="DT93" s="59">
        <f ca="1">AVERAGE(OFFSET($DS$3,0,0,'Données projet'!$E$14+1,1))-AVERAGE(OFFSET($H$3,0,0,'Données projet'!$E$14+1,1))</f>
        <v>96.611230241682733</v>
      </c>
      <c r="DU93" s="59">
        <f t="shared" si="98"/>
        <v>78.711045514042041</v>
      </c>
      <c r="DV93" s="15">
        <f>IF(ISNA(VLOOKUP(A93,'Données projet'!$A$165:$I$185,3,0)),0,VLOOKUP(A93,'Données projet'!$A$165:$I$185,3,0))</f>
        <v>14</v>
      </c>
      <c r="DW93" s="15">
        <f>IF(ISNA(VLOOKUP(A93,'Données projet'!$A$165:$I$185,4,0)),0,VLOOKUP(A93,'Données projet'!$A$165:$I$185,4,0))</f>
        <v>7</v>
      </c>
      <c r="DX93" s="16">
        <f>IF(ISNA(VLOOKUP(A93,'Données projet'!$A$165:$I$185,5,0)),0%,VLOOKUP(A93,'Données projet'!$A$165:$I$185,5,0)*VLOOKUP('Données projet'!$B$14,Paramètres!$A$1:$I$89,7,0))</f>
        <v>8.6000000000000007E-2</v>
      </c>
      <c r="DY93" s="16">
        <f>IF(ISNA(VLOOKUP(A93,'Données projet'!$A$165:$I$185,6,0)),0%,VLOOKUP(A93,'Données projet'!$A$165:$I$185,6,0)*VLOOKUP('Données projet'!$B$14,Paramètres!$A$1:$I$89,7,0))</f>
        <v>0.17200000000000001</v>
      </c>
      <c r="DZ93" s="16">
        <f>IF(ISNA(VLOOKUP(A93,'Données projet'!$A$165:$I$185,7,0)),0%,VLOOKUP(A93,'Données projet'!$A$165:$I$185,7,0))</f>
        <v>0.2</v>
      </c>
      <c r="EA93" s="21">
        <f>EXP(-LN(2)/35)*EA92+(1-EXP(-LN(2)/35))/(LN(2)/35)*DW93*DX93*VLOOKUP('Données projet'!$B$14,Paramètres!$A$1:$I$89,3,0)*0.475*44/12</f>
        <v>1.7885104243497705</v>
      </c>
      <c r="EB93" s="21">
        <f>EXP(-LN(2)/25)*EB92+(1-EXP(-LN(2)/25))/(LN(2)/25)*Calculateur!DW93*Calculateur!DY93*VLOOKUP('Données projet'!$B$14,Paramètres!$A$1:$I$89,3,0)*0.475*44/12</f>
        <v>6.2742891946920611</v>
      </c>
      <c r="EC93" s="21">
        <f>EXP(-LN(2)/2)*EC92+(1-EXP(-LN(2)/2))/(LN(2)/2)*DW93*DZ93*VLOOKUP('Données projet'!$B$14,Paramètres!$A$1:$I$89,3,0)*0.475*44/12</f>
        <v>1.3577603470015149</v>
      </c>
      <c r="ED93" s="22">
        <f t="shared" si="72"/>
        <v>9.4205599660433457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188.61152573050066</v>
      </c>
      <c r="EP93" s="59">
        <f t="shared" si="100"/>
        <v>172.37050503841624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111.99462091738475</v>
      </c>
      <c r="EW93" s="21">
        <f>EXP(-LN(2)/25)*EW92+(1-EXP(-LN(2)/25))/(LN(2)/25)*Calculateur!ER93*Calculateur!ET93*VLOOKUP('Données projet'!$B$15,Paramètres!$A$1:$I$89,3,0)*0.475*44/12</f>
        <v>25.172751624795968</v>
      </c>
      <c r="EX93" s="21">
        <f>EXP(-LN(2)/2)*EX92+(1-EXP(-LN(2)/2))/(LN(2)/2)*ER93*EU93*VLOOKUP('Données projet'!$B$15,Paramètres!$A$1:$I$89,3,0)*0.475*44/12</f>
        <v>3.0757182287525574E-2</v>
      </c>
      <c r="EY93" s="22">
        <f t="shared" si="75"/>
        <v>137.19812972446823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0</v>
      </c>
      <c r="FK93" s="59">
        <f t="shared" si="102"/>
        <v>0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0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197.78572767493569</v>
      </c>
      <c r="T94" s="59">
        <f t="shared" si="88"/>
        <v>288.66487031729008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266.99999999999983</v>
      </c>
      <c r="AJ94" s="13">
        <f>AI94*VLOOKUP('Données projet'!$B$10,Paramètres!$A$1:$I$89,3,0)*VLOOKUP('Données projet'!$B$10,Paramètres!$A$1:$I$89,5,0)</f>
        <v>212.42519999999985</v>
      </c>
      <c r="AK94" s="13">
        <f t="shared" si="89"/>
        <v>52.465198231787184</v>
      </c>
      <c r="AL94" s="20">
        <f t="shared" si="58"/>
        <v>461.35077692036231</v>
      </c>
      <c r="AM94" s="59">
        <f t="shared" si="59"/>
        <v>754.68411025369562</v>
      </c>
      <c r="AN94" s="59">
        <f ca="1">AVERAGE(OFFSET($AM$3,0,0,'Données projet'!$E$10+1,1))-AVERAGE(OFFSET($H$3,0,0,'Données projet'!$E$10+1,1))</f>
        <v>219.43439115440339</v>
      </c>
      <c r="AO94" s="59">
        <f t="shared" si="90"/>
        <v>217.8880462742099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23.155394302743151</v>
      </c>
      <c r="AV94" s="21">
        <f>EXP(-LN(2)/25)*AV93+(1-EXP(-LN(2)/25))/(LN(2)/25)*Calculateur!AQ94*Calculateur!AS94*VLOOKUP('Données projet'!$B$10,Paramètres!$A$1:$I$89,3,0)*0.475*44/12</f>
        <v>6.1395353430158757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29.294929645759026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2.8</v>
      </c>
      <c r="BD94" s="12">
        <f>IF('Données projet'!$A$88&gt;35,BD93+BC94-BL93,IF(A94&lt;'Données projet'!$A$88,$BA$205^A94,IF(A94='Données projet'!$A$88,'Données projet'!$B$88,BD93+BC94-BL93)))</f>
        <v>186.79999999999995</v>
      </c>
      <c r="BE94" s="13">
        <f>BD94*VLOOKUP('Données projet'!$B$11,Paramètres!$A$1:$I$89,3,0)*VLOOKUP('Données projet'!$B$11,Paramètres!$A$1:$I$89,5,0)</f>
        <v>163.18848</v>
      </c>
      <c r="BF94" s="13">
        <f t="shared" si="91"/>
        <v>41.560857991048017</v>
      </c>
      <c r="BG94" s="20">
        <f t="shared" si="61"/>
        <v>356.60509700107531</v>
      </c>
      <c r="BH94" s="59">
        <f t="shared" si="62"/>
        <v>649.93843033440862</v>
      </c>
      <c r="BI94" s="59">
        <f ca="1">AVERAGE(OFFSET($BH$3,0,0,'Données projet'!$E$11+1,1))-AVERAGE(OFFSET($H$3,0,0,'Données projet'!$E$11+1,1))</f>
        <v>175.73188403662408</v>
      </c>
      <c r="BJ94" s="59">
        <f t="shared" si="92"/>
        <v>152.02195399869032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7.6019989956146992</v>
      </c>
      <c r="BQ94" s="21">
        <f>EXP(-LN(2)/25)*BQ93+(1-EXP(-LN(2)/25))/(LN(2)/25)*Calculateur!BL94*Calculateur!BN94*VLOOKUP('Données projet'!$B$11,Paramètres!$A$1:$I$89,3,0)*0.475*44/12</f>
        <v>10.051727984234123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17.653726979848823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5.2606837606837598</v>
      </c>
      <c r="BY94" s="12">
        <f>IF('Données projet'!$A$114&gt;35,BY93+BX94-CG93,IF(A94&lt;'Données projet'!$A$114,$BV$205^A94,IF(A94='Données projet'!$A$114,'Données projet'!$B$114,BY93+BX94-CG93)))</f>
        <v>201.74786324786305</v>
      </c>
      <c r="BZ94" s="13">
        <f>BY94*VLOOKUP('Données projet'!$B$12,Paramètres!$A$1:$I$89,3,0)*VLOOKUP('Données projet'!$B$12,Paramètres!$A$1:$I$89,5,0)</f>
        <v>182.54146666666648</v>
      </c>
      <c r="CA94" s="13">
        <f t="shared" si="93"/>
        <v>45.887153462840786</v>
      </c>
      <c r="CB94" s="20">
        <f t="shared" si="64"/>
        <v>397.84651339222506</v>
      </c>
      <c r="CC94" s="59">
        <f t="shared" si="65"/>
        <v>691.17984672555838</v>
      </c>
      <c r="CD94" s="59">
        <f ca="1">AVERAGE(OFFSET($CC$3,0,0,'Données projet'!$E$12+1,1))-AVERAGE(OFFSET($H$3,0,0,'Données projet'!$E$12+1,1))</f>
        <v>213.54857791046686</v>
      </c>
      <c r="CE94" s="59">
        <f t="shared" si="94"/>
        <v>138.46877538074244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15.975438506543927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15.975438506543927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213</v>
      </c>
      <c r="CU94" s="17">
        <f>CT94*VLOOKUP('Données projet'!$B$13,Paramètres!$A$1:$I$89,3,0)*VLOOKUP('Données projet'!$B$13,Paramètres!$A$1:$I$89,5,0)</f>
        <v>169.46279999999999</v>
      </c>
      <c r="CV94" s="13">
        <f t="shared" si="95"/>
        <v>42.969686502194378</v>
      </c>
      <c r="CW94" s="20">
        <f t="shared" si="67"/>
        <v>369.9865806579885</v>
      </c>
      <c r="CX94" s="59">
        <f t="shared" si="68"/>
        <v>663.31991399132176</v>
      </c>
      <c r="CY94" s="59">
        <f ca="1">AVERAGE(OFFSET($CX$3,0,0,'Données projet'!$E$13+1,1))-AVERAGE(OFFSET($H$3,0,0,'Données projet'!$E$13+1,1))</f>
        <v>161.87883827031436</v>
      </c>
      <c r="CZ94" s="59">
        <f t="shared" si="96"/>
        <v>163.02076389611869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9.0718545418273191</v>
      </c>
      <c r="DG94" s="21">
        <f>EXP(-LN(2)/25)*DG93+(1-EXP(-LN(2)/25))/(LN(2)/25)*Calculateur!DB94*Calculateur!DD94*VLOOKUP('Données projet'!$B$13,Paramètres!$A$1:$I$89,3,0)*0.475*44/12</f>
        <v>6.4409553863337372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15.512809928161056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149.0000000000002</v>
      </c>
      <c r="DP94" s="17">
        <f>DO94*VLOOKUP('Données projet'!$B$14,Paramètres!$A$1:$I$89,3,0)*VLOOKUP('Données projet'!$B$14,Paramètres!$A$1:$I$89,5,0)</f>
        <v>120.86880000000016</v>
      </c>
      <c r="DQ94" s="13">
        <f t="shared" si="97"/>
        <v>31.877547472771326</v>
      </c>
      <c r="DR94" s="20">
        <f t="shared" si="70"/>
        <v>266.03322184841039</v>
      </c>
      <c r="DS94" s="59">
        <f t="shared" si="71"/>
        <v>559.36655518174371</v>
      </c>
      <c r="DT94" s="59">
        <f ca="1">AVERAGE(OFFSET($DS$3,0,0,'Données projet'!$E$14+1,1))-AVERAGE(OFFSET($H$3,0,0,'Données projet'!$E$14+1,1))</f>
        <v>96.611230241682733</v>
      </c>
      <c r="DU94" s="59">
        <f t="shared" si="98"/>
        <v>78.711045514042041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1.7534388258119145</v>
      </c>
      <c r="EB94" s="21">
        <f>EXP(-LN(2)/25)*EB93+(1-EXP(-LN(2)/25))/(LN(2)/25)*Calculateur!DW94*Calculateur!DY94*VLOOKUP('Données projet'!$B$14,Paramètres!$A$1:$I$89,3,0)*0.475*44/12</f>
        <v>6.1027184267126779</v>
      </c>
      <c r="EC94" s="21">
        <f>EXP(-LN(2)/2)*EC93+(1-EXP(-LN(2)/2))/(LN(2)/2)*DW94*DZ94*VLOOKUP('Données projet'!$B$14,Paramètres!$A$1:$I$89,3,0)*0.475*44/12</f>
        <v>0.96008154859097117</v>
      </c>
      <c r="ED94" s="22">
        <f t="shared" si="72"/>
        <v>8.8162388011155635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188.61152573050066</v>
      </c>
      <c r="EP94" s="59">
        <f t="shared" si="100"/>
        <v>172.37050503841624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109.79847471116855</v>
      </c>
      <c r="EW94" s="21">
        <f>EXP(-LN(2)/25)*EW93+(1-EXP(-LN(2)/25))/(LN(2)/25)*Calculateur!ER94*Calculateur!ET94*VLOOKUP('Données projet'!$B$15,Paramètres!$A$1:$I$89,3,0)*0.475*44/12</f>
        <v>24.484401407838448</v>
      </c>
      <c r="EX94" s="21">
        <f>EXP(-LN(2)/2)*EX93+(1-EXP(-LN(2)/2))/(LN(2)/2)*ER94*EU94*VLOOKUP('Données projet'!$B$15,Paramètres!$A$1:$I$89,3,0)*0.475*44/12</f>
        <v>2.1748612165700103E-2</v>
      </c>
      <c r="EY94" s="22">
        <f t="shared" si="75"/>
        <v>134.30462473117271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0</v>
      </c>
      <c r="FK94" s="59">
        <f t="shared" si="102"/>
        <v>0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0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197.78572767493569</v>
      </c>
      <c r="T95" s="59">
        <f t="shared" si="88"/>
        <v>288.66487031729008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266.99999999999983</v>
      </c>
      <c r="AJ95" s="13">
        <f>AI95*VLOOKUP('Données projet'!$B$10,Paramètres!$A$1:$I$89,3,0)*VLOOKUP('Données projet'!$B$10,Paramètres!$A$1:$I$89,5,0)</f>
        <v>212.42519999999985</v>
      </c>
      <c r="AK95" s="13">
        <f t="shared" si="89"/>
        <v>52.465198231787184</v>
      </c>
      <c r="AL95" s="20">
        <f t="shared" si="58"/>
        <v>461.35077692036231</v>
      </c>
      <c r="AM95" s="59">
        <f t="shared" si="59"/>
        <v>754.68411025369562</v>
      </c>
      <c r="AN95" s="59">
        <f ca="1">AVERAGE(OFFSET($AM$3,0,0,'Données projet'!$E$10+1,1))-AVERAGE(OFFSET($H$3,0,0,'Données projet'!$E$10+1,1))</f>
        <v>219.43439115440339</v>
      </c>
      <c r="AO95" s="59">
        <f t="shared" si="90"/>
        <v>217.8880462742099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22.701331143862312</v>
      </c>
      <c r="AV95" s="21">
        <f>EXP(-LN(2)/25)*AV94+(1-EXP(-LN(2)/25))/(LN(2)/25)*Calculateur!AQ95*Calculateur!AS95*VLOOKUP('Données projet'!$B$10,Paramètres!$A$1:$I$89,3,0)*0.475*44/12</f>
        <v>5.9716494261969748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28.672980570059288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2.8</v>
      </c>
      <c r="BD95" s="12">
        <f>IF('Données projet'!$A$88&gt;35,BD94+BC95-BL94,IF(A95&lt;'Données projet'!$A$88,$BA$205^A95,IF(A95='Données projet'!$A$88,'Données projet'!$B$88,BD94+BC95-BL94)))</f>
        <v>189.59999999999997</v>
      </c>
      <c r="BE95" s="13">
        <f>BD95*VLOOKUP('Données projet'!$B$11,Paramètres!$A$1:$I$89,3,0)*VLOOKUP('Données projet'!$B$11,Paramètres!$A$1:$I$89,5,0)</f>
        <v>165.63455999999999</v>
      </c>
      <c r="BF95" s="13">
        <f t="shared" si="91"/>
        <v>42.110834874947706</v>
      </c>
      <c r="BG95" s="20">
        <f t="shared" si="61"/>
        <v>361.82322940720059</v>
      </c>
      <c r="BH95" s="59">
        <f t="shared" si="62"/>
        <v>655.1565627405339</v>
      </c>
      <c r="BI95" s="59">
        <f ca="1">AVERAGE(OFFSET($BH$3,0,0,'Données projet'!$E$11+1,1))-AVERAGE(OFFSET($H$3,0,0,'Données projet'!$E$11+1,1))</f>
        <v>175.73188403662408</v>
      </c>
      <c r="BJ95" s="59">
        <f t="shared" si="92"/>
        <v>152.02195399869032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7.4529284320722402</v>
      </c>
      <c r="BQ95" s="21">
        <f>EXP(-LN(2)/25)*BQ94+(1-EXP(-LN(2)/25))/(LN(2)/25)*Calculateur!BL95*Calculateur!BN95*VLOOKUP('Données projet'!$B$11,Paramètres!$A$1:$I$89,3,0)*0.475*44/12</f>
        <v>9.7768629539078393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17.229791385980079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5.2606837606837598</v>
      </c>
      <c r="BY95" s="12">
        <f>IF('Données projet'!$A$114&gt;35,BY94+BX95-CG94,IF(A95&lt;'Données projet'!$A$114,$BV$205^A95,IF(A95='Données projet'!$A$114,'Données projet'!$B$114,BY94+BX95-CG94)))</f>
        <v>207.0085470085468</v>
      </c>
      <c r="BZ95" s="13">
        <f>BY95*VLOOKUP('Données projet'!$B$12,Paramètres!$A$1:$I$89,3,0)*VLOOKUP('Données projet'!$B$12,Paramètres!$A$1:$I$89,5,0)</f>
        <v>187.30133333333313</v>
      </c>
      <c r="CA95" s="13">
        <f t="shared" si="93"/>
        <v>46.942820134391475</v>
      </c>
      <c r="CB95" s="20">
        <f t="shared" si="64"/>
        <v>407.97523395628696</v>
      </c>
      <c r="CC95" s="59">
        <f t="shared" si="65"/>
        <v>701.30856728962021</v>
      </c>
      <c r="CD95" s="59">
        <f ca="1">AVERAGE(OFFSET($CC$3,0,0,'Données projet'!$E$12+1,1))-AVERAGE(OFFSET($H$3,0,0,'Données projet'!$E$12+1,1))</f>
        <v>213.54857791046686</v>
      </c>
      <c r="CE95" s="59">
        <f t="shared" si="94"/>
        <v>138.46877538074244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15.662169901485944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15.662169901485944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213</v>
      </c>
      <c r="CU95" s="17">
        <f>CT95*VLOOKUP('Données projet'!$B$13,Paramètres!$A$1:$I$89,3,0)*VLOOKUP('Données projet'!$B$13,Paramètres!$A$1:$I$89,5,0)</f>
        <v>169.46279999999999</v>
      </c>
      <c r="CV95" s="13">
        <f t="shared" si="95"/>
        <v>42.969686502194378</v>
      </c>
      <c r="CW95" s="20">
        <f t="shared" si="67"/>
        <v>369.9865806579885</v>
      </c>
      <c r="CX95" s="59">
        <f t="shared" si="68"/>
        <v>663.31991399132176</v>
      </c>
      <c r="CY95" s="59">
        <f ca="1">AVERAGE(OFFSET($CX$3,0,0,'Données projet'!$E$13+1,1))-AVERAGE(OFFSET($H$3,0,0,'Données projet'!$E$13+1,1))</f>
        <v>161.87883827031436</v>
      </c>
      <c r="CZ95" s="59">
        <f t="shared" si="96"/>
        <v>163.02076389611869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8.8939610075469897</v>
      </c>
      <c r="DG95" s="21">
        <f>EXP(-LN(2)/25)*DG94+(1-EXP(-LN(2)/25))/(LN(2)/25)*Calculateur!DB95*Calculateur!DD95*VLOOKUP('Données projet'!$B$13,Paramètres!$A$1:$I$89,3,0)*0.475*44/12</f>
        <v>6.2648271225793186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15.158788130126307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149.0000000000002</v>
      </c>
      <c r="DP95" s="17">
        <f>DO95*VLOOKUP('Données projet'!$B$14,Paramètres!$A$1:$I$89,3,0)*VLOOKUP('Données projet'!$B$14,Paramètres!$A$1:$I$89,5,0)</f>
        <v>120.86880000000016</v>
      </c>
      <c r="DQ95" s="13">
        <f t="shared" si="97"/>
        <v>31.877547472771326</v>
      </c>
      <c r="DR95" s="20">
        <f t="shared" si="70"/>
        <v>266.03322184841039</v>
      </c>
      <c r="DS95" s="59">
        <f t="shared" si="71"/>
        <v>559.36655518174371</v>
      </c>
      <c r="DT95" s="59">
        <f ca="1">AVERAGE(OFFSET($DS$3,0,0,'Données projet'!$E$14+1,1))-AVERAGE(OFFSET($H$3,0,0,'Données projet'!$E$14+1,1))</f>
        <v>96.611230241682733</v>
      </c>
      <c r="DU95" s="59">
        <f t="shared" si="98"/>
        <v>78.711045514042041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1.719054959929823</v>
      </c>
      <c r="EB95" s="21">
        <f>EXP(-LN(2)/25)*EB94+(1-EXP(-LN(2)/25))/(LN(2)/25)*Calculateur!DW95*Calculateur!DY95*VLOOKUP('Données projet'!$B$14,Paramètres!$A$1:$I$89,3,0)*0.475*44/12</f>
        <v>5.9358392704062055</v>
      </c>
      <c r="EC95" s="21">
        <f>EXP(-LN(2)/2)*EC94+(1-EXP(-LN(2)/2))/(LN(2)/2)*DW95*DZ95*VLOOKUP('Données projet'!$B$14,Paramètres!$A$1:$I$89,3,0)*0.475*44/12</f>
        <v>0.67888017350075758</v>
      </c>
      <c r="ED95" s="22">
        <f t="shared" si="72"/>
        <v>8.3337744038367862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188.61152573050066</v>
      </c>
      <c r="EP95" s="59">
        <f t="shared" si="100"/>
        <v>172.37050503841624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107.64539359253932</v>
      </c>
      <c r="EW95" s="21">
        <f>EXP(-LN(2)/25)*EW94+(1-EXP(-LN(2)/25))/(LN(2)/25)*Calculateur!ER95*Calculateur!ET95*VLOOKUP('Données projet'!$B$15,Paramètres!$A$1:$I$89,3,0)*0.475*44/12</f>
        <v>23.814874163762394</v>
      </c>
      <c r="EX95" s="21">
        <f>EXP(-LN(2)/2)*EX94+(1-EXP(-LN(2)/2))/(LN(2)/2)*ER95*EU95*VLOOKUP('Données projet'!$B$15,Paramètres!$A$1:$I$89,3,0)*0.475*44/12</f>
        <v>1.537859114376279E-2</v>
      </c>
      <c r="EY95" s="22">
        <f t="shared" si="75"/>
        <v>131.47564634744546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0</v>
      </c>
      <c r="FK95" s="59">
        <f t="shared" si="102"/>
        <v>0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0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197.78572767493569</v>
      </c>
      <c r="T96" s="59">
        <f t="shared" si="88"/>
        <v>288.66487031729008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266.99999999999983</v>
      </c>
      <c r="AJ96" s="13">
        <f>AI96*VLOOKUP('Données projet'!$B$10,Paramètres!$A$1:$I$89,3,0)*VLOOKUP('Données projet'!$B$10,Paramètres!$A$1:$I$89,5,0)</f>
        <v>212.42519999999985</v>
      </c>
      <c r="AK96" s="13">
        <f t="shared" si="89"/>
        <v>52.465198231787184</v>
      </c>
      <c r="AL96" s="20">
        <f t="shared" si="58"/>
        <v>461.35077692036231</v>
      </c>
      <c r="AM96" s="59">
        <f t="shared" si="59"/>
        <v>754.68411025369562</v>
      </c>
      <c r="AN96" s="59">
        <f ca="1">AVERAGE(OFFSET($AM$3,0,0,'Données projet'!$E$10+1,1))-AVERAGE(OFFSET($H$3,0,0,'Données projet'!$E$10+1,1))</f>
        <v>219.43439115440339</v>
      </c>
      <c r="AO96" s="59">
        <f t="shared" si="90"/>
        <v>217.8880462742099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22.256171886575945</v>
      </c>
      <c r="AV96" s="21">
        <f>EXP(-LN(2)/25)*AV95+(1-EXP(-LN(2)/25))/(LN(2)/25)*Calculateur!AQ96*Calculateur!AS96*VLOOKUP('Données projet'!$B$10,Paramètres!$A$1:$I$89,3,0)*0.475*44/12</f>
        <v>5.8083543586022239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28.064526245178168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2.8</v>
      </c>
      <c r="BD96" s="12">
        <f>IF('Données projet'!$A$88&gt;35,BD95+BC96-BL95,IF(A96&lt;'Données projet'!$A$88,$BA$205^A96,IF(A96='Données projet'!$A$88,'Données projet'!$B$88,BD95+BC96-BL95)))</f>
        <v>192.39999999999998</v>
      </c>
      <c r="BE96" s="13">
        <f>BD96*VLOOKUP('Données projet'!$B$11,Paramètres!$A$1:$I$89,3,0)*VLOOKUP('Données projet'!$B$11,Paramètres!$A$1:$I$89,5,0)</f>
        <v>168.08064000000002</v>
      </c>
      <c r="BF96" s="13">
        <f t="shared" si="91"/>
        <v>42.659867131343468</v>
      </c>
      <c r="BG96" s="20">
        <f t="shared" si="61"/>
        <v>367.03971658708991</v>
      </c>
      <c r="BH96" s="59">
        <f t="shared" si="62"/>
        <v>660.37304992042323</v>
      </c>
      <c r="BI96" s="59">
        <f ca="1">AVERAGE(OFFSET($BH$3,0,0,'Données projet'!$E$11+1,1))-AVERAGE(OFFSET($H$3,0,0,'Données projet'!$E$11+1,1))</f>
        <v>175.73188403662408</v>
      </c>
      <c r="BJ96" s="59">
        <f t="shared" si="92"/>
        <v>152.02195399869032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7.3067810513567828</v>
      </c>
      <c r="BQ96" s="21">
        <f>EXP(-LN(2)/25)*BQ95+(1-EXP(-LN(2)/25))/(LN(2)/25)*Calculateur!BL96*Calculateur!BN96*VLOOKUP('Données projet'!$B$11,Paramètres!$A$1:$I$89,3,0)*0.475*44/12</f>
        <v>9.5095141222903514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16.816295173647134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212.26923076923075</v>
      </c>
      <c r="BW96" s="12">
        <f>VLOOKUP(A96,'Données projet'!$A$113:$I$133,9,0)</f>
        <v>5.2606837606837598</v>
      </c>
      <c r="BX96" s="12">
        <f t="array" ref="BX96">INDEX(BW:BW,MIN(IF(ISNUMBER(BW96:BW292),ROW(BW96:BW292),"")))</f>
        <v>5.2606837606837598</v>
      </c>
      <c r="BY96" s="12">
        <f>IF('Données projet'!$A$114&gt;35,BY95+BX96-CG95,IF(A96&lt;'Données projet'!$A$114,$BV$205^A96,IF(A96='Données projet'!$A$114,'Données projet'!$B$114,BY95+BX96-CG95)))</f>
        <v>212.26923076923055</v>
      </c>
      <c r="BZ96" s="13">
        <f>BY96*VLOOKUP('Données projet'!$B$12,Paramètres!$A$1:$I$89,3,0)*VLOOKUP('Données projet'!$B$12,Paramètres!$A$1:$I$89,5,0)</f>
        <v>192.06119999999979</v>
      </c>
      <c r="CA96" s="13">
        <f t="shared" si="93"/>
        <v>47.995368340490955</v>
      </c>
      <c r="CB96" s="20">
        <f t="shared" si="64"/>
        <v>418.09852319302132</v>
      </c>
      <c r="CC96" s="59">
        <f t="shared" si="65"/>
        <v>711.43185652635464</v>
      </c>
      <c r="CD96" s="59">
        <f ca="1">AVERAGE(OFFSET($CC$3,0,0,'Données projet'!$E$12+1,1))-AVERAGE(OFFSET($H$3,0,0,'Données projet'!$E$12+1,1))</f>
        <v>213.54857791046686</v>
      </c>
      <c r="CE96" s="59">
        <f t="shared" si="94"/>
        <v>138.46877538074244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30.083333333333332</v>
      </c>
      <c r="CH96" s="16">
        <f>IF(ISNA(VLOOKUP(A96,'Données projet'!$A$113:$I$133,5,0)),0%,VLOOKUP(A96,'Données projet'!$A$113:$I$133,5,0)*VLOOKUP('Données projet'!$B$12,Paramètres!$A$1:$I$89,7,0))</f>
        <v>0.30099999999999999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24.412206677744578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24.412206677744578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213</v>
      </c>
      <c r="CU96" s="17">
        <f>CT96*VLOOKUP('Données projet'!$B$13,Paramètres!$A$1:$I$89,3,0)*VLOOKUP('Données projet'!$B$13,Paramètres!$A$1:$I$89,5,0)</f>
        <v>169.46279999999999</v>
      </c>
      <c r="CV96" s="13">
        <f t="shared" si="95"/>
        <v>42.969686502194378</v>
      </c>
      <c r="CW96" s="20">
        <f t="shared" si="67"/>
        <v>369.9865806579885</v>
      </c>
      <c r="CX96" s="59">
        <f t="shared" si="68"/>
        <v>663.31991399132176</v>
      </c>
      <c r="CY96" s="59">
        <f ca="1">AVERAGE(OFFSET($CX$3,0,0,'Données projet'!$E$13+1,1))-AVERAGE(OFFSET($H$3,0,0,'Données projet'!$E$13+1,1))</f>
        <v>161.87883827031436</v>
      </c>
      <c r="CZ96" s="59">
        <f t="shared" si="96"/>
        <v>163.02076389611869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8.7195558569695546</v>
      </c>
      <c r="DG96" s="21">
        <f>EXP(-LN(2)/25)*DG95+(1-EXP(-LN(2)/25))/(LN(2)/25)*Calculateur!DB96*Calculateur!DD96*VLOOKUP('Données projet'!$B$13,Paramètres!$A$1:$I$89,3,0)*0.475*44/12</f>
        <v>6.0935150954594475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14.813070952429001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149.0000000000002</v>
      </c>
      <c r="DP96" s="17">
        <f>DO96*VLOOKUP('Données projet'!$B$14,Paramètres!$A$1:$I$89,3,0)*VLOOKUP('Données projet'!$B$14,Paramètres!$A$1:$I$89,5,0)</f>
        <v>120.86880000000016</v>
      </c>
      <c r="DQ96" s="13">
        <f t="shared" si="97"/>
        <v>31.877547472771326</v>
      </c>
      <c r="DR96" s="20">
        <f t="shared" si="70"/>
        <v>266.03322184841039</v>
      </c>
      <c r="DS96" s="59">
        <f t="shared" si="71"/>
        <v>559.36655518174371</v>
      </c>
      <c r="DT96" s="59">
        <f ca="1">AVERAGE(OFFSET($DS$3,0,0,'Données projet'!$E$14+1,1))-AVERAGE(OFFSET($H$3,0,0,'Données projet'!$E$14+1,1))</f>
        <v>96.611230241682733</v>
      </c>
      <c r="DU96" s="59">
        <f t="shared" si="98"/>
        <v>78.711045514042041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1.6853453406855921</v>
      </c>
      <c r="EB96" s="21">
        <f>EXP(-LN(2)/25)*EB95+(1-EXP(-LN(2)/25))/(LN(2)/25)*Calculateur!DW96*Calculateur!DY96*VLOOKUP('Données projet'!$B$14,Paramètres!$A$1:$I$89,3,0)*0.475*44/12</f>
        <v>5.7735234334047272</v>
      </c>
      <c r="EC96" s="21">
        <f>EXP(-LN(2)/2)*EC95+(1-EXP(-LN(2)/2))/(LN(2)/2)*DW96*DZ96*VLOOKUP('Données projet'!$B$14,Paramètres!$A$1:$I$89,3,0)*0.475*44/12</f>
        <v>0.48004077429548564</v>
      </c>
      <c r="ED96" s="22">
        <f t="shared" si="72"/>
        <v>7.938909548385805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188.61152573050066</v>
      </c>
      <c r="EP96" s="59">
        <f t="shared" si="100"/>
        <v>172.37050503841624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105.5345330813966</v>
      </c>
      <c r="EW96" s="21">
        <f>EXP(-LN(2)/25)*EW95+(1-EXP(-LN(2)/25))/(LN(2)/25)*Calculateur!ER96*Calculateur!ET96*VLOOKUP('Données projet'!$B$15,Paramètres!$A$1:$I$89,3,0)*0.475*44/12</f>
        <v>23.163655177384509</v>
      </c>
      <c r="EX96" s="21">
        <f>EXP(-LN(2)/2)*EX95+(1-EXP(-LN(2)/2))/(LN(2)/2)*ER96*EU96*VLOOKUP('Données projet'!$B$15,Paramètres!$A$1:$I$89,3,0)*0.475*44/12</f>
        <v>1.0874306082850053E-2</v>
      </c>
      <c r="EY96" s="22">
        <f t="shared" si="75"/>
        <v>128.70906256486396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0</v>
      </c>
      <c r="FK96" s="59">
        <f t="shared" si="102"/>
        <v>0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0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197.78572767493569</v>
      </c>
      <c r="T97" s="59">
        <f t="shared" si="88"/>
        <v>288.66487031729008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266.99999999999983</v>
      </c>
      <c r="AJ97" s="13">
        <f>AI97*VLOOKUP('Données projet'!$B$10,Paramètres!$A$1:$I$89,3,0)*VLOOKUP('Données projet'!$B$10,Paramètres!$A$1:$I$89,5,0)</f>
        <v>212.42519999999985</v>
      </c>
      <c r="AK97" s="13">
        <f t="shared" si="89"/>
        <v>52.465198231787184</v>
      </c>
      <c r="AL97" s="20">
        <f t="shared" si="58"/>
        <v>461.35077692036231</v>
      </c>
      <c r="AM97" s="59">
        <f t="shared" si="59"/>
        <v>754.68411025369562</v>
      </c>
      <c r="AN97" s="59">
        <f ca="1">AVERAGE(OFFSET($AM$3,0,0,'Données projet'!$E$10+1,1))-AVERAGE(OFFSET($H$3,0,0,'Données projet'!$E$10+1,1))</f>
        <v>219.43439115440339</v>
      </c>
      <c r="AO97" s="59">
        <f t="shared" si="90"/>
        <v>217.8880462742099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21.819741930804629</v>
      </c>
      <c r="AV97" s="21">
        <f>EXP(-LN(2)/25)*AV96+(1-EXP(-LN(2)/25))/(LN(2)/25)*Calculateur!AQ97*Calculateur!AS97*VLOOKUP('Données projet'!$B$10,Paramètres!$A$1:$I$89,3,0)*0.475*44/12</f>
        <v>5.6495246032181656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27.469266534022793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2.8</v>
      </c>
      <c r="BD97" s="12">
        <f>IF('Données projet'!$A$88&gt;35,BD96+BC97-BL96,IF(A97&lt;'Données projet'!$A$88,$BA$205^A97,IF(A97='Données projet'!$A$88,'Données projet'!$B$88,BD96+BC97-BL96)))</f>
        <v>195.2</v>
      </c>
      <c r="BE97" s="13">
        <f>BD97*VLOOKUP('Données projet'!$B$11,Paramètres!$A$1:$I$89,3,0)*VLOOKUP('Données projet'!$B$11,Paramètres!$A$1:$I$89,5,0)</f>
        <v>170.52672000000001</v>
      </c>
      <c r="BF97" s="13">
        <f t="shared" si="91"/>
        <v>43.207970095682747</v>
      </c>
      <c r="BG97" s="20">
        <f t="shared" si="61"/>
        <v>372.25458524998083</v>
      </c>
      <c r="BH97" s="59">
        <f t="shared" si="62"/>
        <v>665.58791858331415</v>
      </c>
      <c r="BI97" s="59">
        <f ca="1">AVERAGE(OFFSET($BH$3,0,0,'Données projet'!$E$11+1,1))-AVERAGE(OFFSET($H$3,0,0,'Données projet'!$E$11+1,1))</f>
        <v>175.73188403662408</v>
      </c>
      <c r="BJ97" s="59">
        <f t="shared" si="92"/>
        <v>152.02195399869032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7.163499531636055</v>
      </c>
      <c r="BQ97" s="21">
        <f>EXP(-LN(2)/25)*BQ96+(1-EXP(-LN(2)/25))/(LN(2)/25)*Calculateur!BL97*Calculateur!BN97*VLOOKUP('Données projet'!$B$11,Paramètres!$A$1:$I$89,3,0)*0.475*44/12</f>
        <v>9.2494759585327078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16.412975490168762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5.2583333333333373</v>
      </c>
      <c r="BY97" s="12">
        <f>IF('Données projet'!$A$114&gt;35,BY96+BX97-CG96,IF(A97&lt;'Données projet'!$A$114,$BV$205^A97,IF(A97='Données projet'!$A$114,'Données projet'!$B$114,BY96+BX97-CG96)))</f>
        <v>187.44423076923053</v>
      </c>
      <c r="BZ97" s="13">
        <f>BY97*VLOOKUP('Données projet'!$B$12,Paramètres!$A$1:$I$89,3,0)*VLOOKUP('Données projet'!$B$12,Paramètres!$A$1:$I$89,5,0)</f>
        <v>169.59953999999976</v>
      </c>
      <c r="CA97" s="13">
        <f t="shared" si="93"/>
        <v>43.000321559740421</v>
      </c>
      <c r="CB97" s="20">
        <f t="shared" si="64"/>
        <v>370.27809221654746</v>
      </c>
      <c r="CC97" s="59">
        <f t="shared" si="65"/>
        <v>663.61142554988078</v>
      </c>
      <c r="CD97" s="59">
        <f ca="1">AVERAGE(OFFSET($CC$3,0,0,'Données projet'!$E$12+1,1))-AVERAGE(OFFSET($H$3,0,0,'Données projet'!$E$12+1,1))</f>
        <v>213.54857791046686</v>
      </c>
      <c r="CE97" s="59">
        <f t="shared" si="94"/>
        <v>138.46877538074244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23.933498194769818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23.933498194769818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213</v>
      </c>
      <c r="CU97" s="17">
        <f>CT97*VLOOKUP('Données projet'!$B$13,Paramètres!$A$1:$I$89,3,0)*VLOOKUP('Données projet'!$B$13,Paramètres!$A$1:$I$89,5,0)</f>
        <v>169.46279999999999</v>
      </c>
      <c r="CV97" s="13">
        <f t="shared" si="95"/>
        <v>42.969686502194378</v>
      </c>
      <c r="CW97" s="20">
        <f t="shared" si="67"/>
        <v>369.9865806579885</v>
      </c>
      <c r="CX97" s="59">
        <f t="shared" si="68"/>
        <v>663.31991399132176</v>
      </c>
      <c r="CY97" s="59">
        <f ca="1">AVERAGE(OFFSET($CX$3,0,0,'Données projet'!$E$13+1,1))-AVERAGE(OFFSET($H$3,0,0,'Données projet'!$E$13+1,1))</f>
        <v>161.87883827031436</v>
      </c>
      <c r="CZ97" s="59">
        <f t="shared" si="96"/>
        <v>163.02076389611869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8.548570685018305</v>
      </c>
      <c r="DG97" s="21">
        <f>EXP(-LN(2)/25)*DG96+(1-EXP(-LN(2)/25))/(LN(2)/25)*Calculateur!DB97*Calculateur!DD97*VLOOKUP('Données projet'!$B$13,Paramètres!$A$1:$I$89,3,0)*0.475*44/12</f>
        <v>5.9268876047300774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14.475458289748381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149.0000000000002</v>
      </c>
      <c r="DP97" s="17">
        <f>DO97*VLOOKUP('Données projet'!$B$14,Paramètres!$A$1:$I$89,3,0)*VLOOKUP('Données projet'!$B$14,Paramètres!$A$1:$I$89,5,0)</f>
        <v>120.86880000000016</v>
      </c>
      <c r="DQ97" s="13">
        <f t="shared" si="97"/>
        <v>31.877547472771326</v>
      </c>
      <c r="DR97" s="20">
        <f t="shared" si="70"/>
        <v>266.03322184841039</v>
      </c>
      <c r="DS97" s="59">
        <f t="shared" si="71"/>
        <v>559.36655518174371</v>
      </c>
      <c r="DT97" s="59">
        <f ca="1">AVERAGE(OFFSET($DS$3,0,0,'Données projet'!$E$14+1,1))-AVERAGE(OFFSET($H$3,0,0,'Données projet'!$E$14+1,1))</f>
        <v>96.611230241682733</v>
      </c>
      <c r="DU97" s="59">
        <f t="shared" si="98"/>
        <v>78.711045514042041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1.6522967465139029</v>
      </c>
      <c r="EB97" s="21">
        <f>EXP(-LN(2)/25)*EB96+(1-EXP(-LN(2)/25))/(LN(2)/25)*Calculateur!DW97*Calculateur!DY97*VLOOKUP('Données projet'!$B$14,Paramètres!$A$1:$I$89,3,0)*0.475*44/12</f>
        <v>5.6156461315018733</v>
      </c>
      <c r="EC97" s="21">
        <f>EXP(-LN(2)/2)*EC96+(1-EXP(-LN(2)/2))/(LN(2)/2)*DW97*DZ97*VLOOKUP('Données projet'!$B$14,Paramètres!$A$1:$I$89,3,0)*0.475*44/12</f>
        <v>0.33944008675037884</v>
      </c>
      <c r="ED97" s="22">
        <f t="shared" si="72"/>
        <v>7.6073829647661553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188.61152573050066</v>
      </c>
      <c r="EP97" s="59">
        <f t="shared" si="100"/>
        <v>172.37050503841624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103.46506525737962</v>
      </c>
      <c r="EW97" s="21">
        <f>EXP(-LN(2)/25)*EW96+(1-EXP(-LN(2)/25))/(LN(2)/25)*Calculateur!ER97*Calculateur!ET97*VLOOKUP('Données projet'!$B$15,Paramètres!$A$1:$I$89,3,0)*0.475*44/12</f>
        <v>22.530243808435245</v>
      </c>
      <c r="EX97" s="21">
        <f>EXP(-LN(2)/2)*EX96+(1-EXP(-LN(2)/2))/(LN(2)/2)*ER97*EU97*VLOOKUP('Données projet'!$B$15,Paramètres!$A$1:$I$89,3,0)*0.475*44/12</f>
        <v>7.689295571881396E-3</v>
      </c>
      <c r="EY97" s="22">
        <f t="shared" si="75"/>
        <v>126.00299836138674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0</v>
      </c>
      <c r="FK97" s="59">
        <f t="shared" si="102"/>
        <v>0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0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197.78572767493569</v>
      </c>
      <c r="T98" s="59">
        <f t="shared" si="88"/>
        <v>288.66487031729008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266.99999999999983</v>
      </c>
      <c r="AJ98" s="13">
        <f>AI98*VLOOKUP('Données projet'!$B$10,Paramètres!$A$1:$I$89,3,0)*VLOOKUP('Données projet'!$B$10,Paramètres!$A$1:$I$89,5,0)</f>
        <v>212.42519999999985</v>
      </c>
      <c r="AK98" s="13">
        <f t="shared" si="89"/>
        <v>52.465198231787184</v>
      </c>
      <c r="AL98" s="20">
        <f t="shared" si="58"/>
        <v>461.35077692036231</v>
      </c>
      <c r="AM98" s="59">
        <f t="shared" si="59"/>
        <v>754.68411025369562</v>
      </c>
      <c r="AN98" s="59">
        <f ca="1">AVERAGE(OFFSET($AM$3,0,0,'Données projet'!$E$10+1,1))-AVERAGE(OFFSET($H$3,0,0,'Données projet'!$E$10+1,1))</f>
        <v>219.43439115440339</v>
      </c>
      <c r="AO98" s="59">
        <f t="shared" si="90"/>
        <v>217.8880462742099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21.391870100270001</v>
      </c>
      <c r="AV98" s="21">
        <f>EXP(-LN(2)/25)*AV97+(1-EXP(-LN(2)/25))/(LN(2)/25)*Calculateur!AQ98*Calculateur!AS98*VLOOKUP('Données projet'!$B$10,Paramètres!$A$1:$I$89,3,0)*0.475*44/12</f>
        <v>5.4950380558475782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26.886908156117578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198</v>
      </c>
      <c r="BB98" s="12">
        <f>VLOOKUP(A98,'Données projet'!$A$87:$I$107,9,0)</f>
        <v>2.8</v>
      </c>
      <c r="BC98" s="12">
        <f t="array" ref="BC98">INDEX(BB:BB,MIN(IF(ISNUMBER(BB98:BB294),ROW(BB98:BB294),"")))</f>
        <v>2.8</v>
      </c>
      <c r="BD98" s="12">
        <f>IF('Données projet'!$A$88&gt;35,BD97+BC98-BL97,IF(A98&lt;'Données projet'!$A$88,$BA$205^A98,IF(A98='Données projet'!$A$88,'Données projet'!$B$88,BD97+BC98-BL97)))</f>
        <v>198</v>
      </c>
      <c r="BE98" s="13">
        <f>BD98*VLOOKUP('Données projet'!$B$11,Paramètres!$A$1:$I$89,3,0)*VLOOKUP('Données projet'!$B$11,Paramètres!$A$1:$I$89,5,0)</f>
        <v>172.97280000000003</v>
      </c>
      <c r="BF98" s="13">
        <f t="shared" si="91"/>
        <v>43.75515863819728</v>
      </c>
      <c r="BG98" s="20">
        <f t="shared" si="61"/>
        <v>377.46786129486031</v>
      </c>
      <c r="BH98" s="59">
        <f t="shared" si="62"/>
        <v>670.80119462819357</v>
      </c>
      <c r="BI98" s="59">
        <f ca="1">AVERAGE(OFFSET($BH$3,0,0,'Données projet'!$E$11+1,1))-AVERAGE(OFFSET($H$3,0,0,'Données projet'!$E$11+1,1))</f>
        <v>175.73188403662408</v>
      </c>
      <c r="BJ98" s="59">
        <f t="shared" si="92"/>
        <v>152.02195399869032</v>
      </c>
      <c r="BK98" s="15">
        <f>IF(ISNA(VLOOKUP(A98,'Données projet'!$A$87:$I$107,3,0)),0,VLOOKUP(A98,'Données projet'!$A$87:$I$107,3,0))</f>
        <v>15</v>
      </c>
      <c r="BL98" s="15" t="str">
        <f>IF(ISNA(VLOOKUP(A98,'Données projet'!$A$87:$I$107,4,0)),0,VLOOKUP(A98,'Données projet'!$A$87:$I$107,4,0))</f>
        <v>10</v>
      </c>
      <c r="BM98" s="16">
        <f>IF(ISNA(VLOOKUP(A98,'Données projet'!$A$87:$I$107,5,0)),0%,VLOOKUP(A98,'Données projet'!$A$87:$I$107,5,0)*VLOOKUP('Données projet'!$B$11,Paramètres!$A$1:$I$89,7,0))</f>
        <v>0.17200000000000001</v>
      </c>
      <c r="BN98" s="16">
        <f>IF(ISNA(VLOOKUP(A98,'Données projet'!$A$87:$I$107,6,0)),0%,VLOOKUP(A98,'Données projet'!$A$87:$I$107,6,0)*VLOOKUP('Données projet'!$B$11,Paramètres!$A$1:$I$89,7,0))</f>
        <v>0.17200000000000001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8.6840986236471274</v>
      </c>
      <c r="BQ98" s="21">
        <f>EXP(-LN(2)/25)*BQ97+(1-EXP(-LN(2)/25))/(LN(2)/25)*Calculateur!BL98*Calculateur!BN98*VLOOKUP('Données projet'!$B$11,Paramètres!$A$1:$I$89,3,0)*0.475*44/12</f>
        <v>10.651079231319017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19.335177854966144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5.2583333333333373</v>
      </c>
      <c r="BY98" s="12">
        <f>IF('Données projet'!$A$114&gt;35,BY97+BX98-CG97,IF(A98&lt;'Données projet'!$A$114,$BV$205^A98,IF(A98='Données projet'!$A$114,'Données projet'!$B$114,BY97+BX98-CG97)))</f>
        <v>192.70256410256385</v>
      </c>
      <c r="BZ98" s="13">
        <f>BY98*VLOOKUP('Données projet'!$B$12,Paramètres!$A$1:$I$89,3,0)*VLOOKUP('Données projet'!$B$12,Paramètres!$A$1:$I$89,5,0)</f>
        <v>174.35727999999978</v>
      </c>
      <c r="CA98" s="13">
        <f t="shared" si="93"/>
        <v>44.064467301710017</v>
      </c>
      <c r="CB98" s="20">
        <f t="shared" si="64"/>
        <v>380.41787655047784</v>
      </c>
      <c r="CC98" s="59">
        <f t="shared" si="65"/>
        <v>673.75120988381116</v>
      </c>
      <c r="CD98" s="59">
        <f ca="1">AVERAGE(OFFSET($CC$3,0,0,'Données projet'!$E$12+1,1))-AVERAGE(OFFSET($H$3,0,0,'Données projet'!$E$12+1,1))</f>
        <v>213.54857791046686</v>
      </c>
      <c r="CE98" s="59">
        <f t="shared" si="94"/>
        <v>138.46877538074244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23.46417689316285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23.46417689316285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213</v>
      </c>
      <c r="CU98" s="17">
        <f>CT98*VLOOKUP('Données projet'!$B$13,Paramètres!$A$1:$I$89,3,0)*VLOOKUP('Données projet'!$B$13,Paramètres!$A$1:$I$89,5,0)</f>
        <v>169.46279999999999</v>
      </c>
      <c r="CV98" s="13">
        <f t="shared" si="95"/>
        <v>42.969686502194378</v>
      </c>
      <c r="CW98" s="20">
        <f t="shared" si="67"/>
        <v>369.9865806579885</v>
      </c>
      <c r="CX98" s="59">
        <f t="shared" si="68"/>
        <v>663.31991399132176</v>
      </c>
      <c r="CY98" s="59">
        <f ca="1">AVERAGE(OFFSET($CX$3,0,0,'Données projet'!$E$13+1,1))-AVERAGE(OFFSET($H$3,0,0,'Données projet'!$E$13+1,1))</f>
        <v>161.87883827031436</v>
      </c>
      <c r="CZ98" s="59">
        <f t="shared" si="96"/>
        <v>163.02076389611869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8.3809384279983625</v>
      </c>
      <c r="DG98" s="21">
        <f>EXP(-LN(2)/25)*DG97+(1-EXP(-LN(2)/25))/(LN(2)/25)*Calculateur!DB98*Calculateur!DD98*VLOOKUP('Données projet'!$B$13,Paramètres!$A$1:$I$89,3,0)*0.475*44/12</f>
        <v>5.76481655149726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14.145754979495623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149.0000000000002</v>
      </c>
      <c r="DP98" s="17">
        <f>DO98*VLOOKUP('Données projet'!$B$14,Paramètres!$A$1:$I$89,3,0)*VLOOKUP('Données projet'!$B$14,Paramètres!$A$1:$I$89,5,0)</f>
        <v>120.86880000000016</v>
      </c>
      <c r="DQ98" s="13">
        <f t="shared" si="97"/>
        <v>31.877547472771326</v>
      </c>
      <c r="DR98" s="20">
        <f t="shared" si="70"/>
        <v>266.03322184841039</v>
      </c>
      <c r="DS98" s="59">
        <f t="shared" si="71"/>
        <v>559.36655518174371</v>
      </c>
      <c r="DT98" s="59">
        <f ca="1">AVERAGE(OFFSET($DS$3,0,0,'Données projet'!$E$14+1,1))-AVERAGE(OFFSET($H$3,0,0,'Données projet'!$E$14+1,1))</f>
        <v>96.611230241682733</v>
      </c>
      <c r="DU98" s="59">
        <f t="shared" si="98"/>
        <v>78.711045514042041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1.6198962151162686</v>
      </c>
      <c r="EB98" s="21">
        <f>EXP(-LN(2)/25)*EB97+(1-EXP(-LN(2)/25))/(LN(2)/25)*Calculateur!DW98*Calculateur!DY98*VLOOKUP('Données projet'!$B$14,Paramètres!$A$1:$I$89,3,0)*0.475*44/12</f>
        <v>5.4620859927219589</v>
      </c>
      <c r="EC98" s="21">
        <f>EXP(-LN(2)/2)*EC97+(1-EXP(-LN(2)/2))/(LN(2)/2)*DW98*DZ98*VLOOKUP('Données projet'!$B$14,Paramètres!$A$1:$I$89,3,0)*0.475*44/12</f>
        <v>0.24002038714774285</v>
      </c>
      <c r="ED98" s="22">
        <f t="shared" si="72"/>
        <v>7.3220025949859702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188.61152573050066</v>
      </c>
      <c r="EP98" s="59">
        <f t="shared" si="100"/>
        <v>172.37050503841624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101.43617843514087</v>
      </c>
      <c r="EW98" s="21">
        <f>EXP(-LN(2)/25)*EW97+(1-EXP(-LN(2)/25))/(LN(2)/25)*Calculateur!ER98*Calculateur!ET98*VLOOKUP('Données projet'!$B$15,Paramètres!$A$1:$I$89,3,0)*0.475*44/12</f>
        <v>21.914153106679553</v>
      </c>
      <c r="EX98" s="21">
        <f>EXP(-LN(2)/2)*EX97+(1-EXP(-LN(2)/2))/(LN(2)/2)*ER98*EU98*VLOOKUP('Données projet'!$B$15,Paramètres!$A$1:$I$89,3,0)*0.475*44/12</f>
        <v>5.4371530414250276E-3</v>
      </c>
      <c r="EY98" s="22">
        <f t="shared" si="75"/>
        <v>123.35576869486185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0</v>
      </c>
      <c r="FK98" s="59">
        <f t="shared" si="102"/>
        <v>0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0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197.78572767493569</v>
      </c>
      <c r="T99" s="59">
        <f t="shared" si="88"/>
        <v>288.66487031729008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266.99999999999983</v>
      </c>
      <c r="AJ99" s="13">
        <f>AI99*VLOOKUP('Données projet'!$B$10,Paramètres!$A$1:$I$89,3,0)*VLOOKUP('Données projet'!$B$10,Paramètres!$A$1:$I$89,5,0)</f>
        <v>212.42519999999985</v>
      </c>
      <c r="AK99" s="13">
        <f t="shared" si="89"/>
        <v>52.465198231787184</v>
      </c>
      <c r="AL99" s="20">
        <f t="shared" si="58"/>
        <v>461.35077692036231</v>
      </c>
      <c r="AM99" s="59">
        <f t="shared" si="59"/>
        <v>754.68411025369562</v>
      </c>
      <c r="AN99" s="59">
        <f ca="1">AVERAGE(OFFSET($AM$3,0,0,'Données projet'!$E$10+1,1))-AVERAGE(OFFSET($H$3,0,0,'Données projet'!$E$10+1,1))</f>
        <v>219.43439115440339</v>
      </c>
      <c r="AO99" s="59">
        <f t="shared" si="90"/>
        <v>217.8880462742099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20.97238857535611</v>
      </c>
      <c r="AV99" s="21">
        <f>EXP(-LN(2)/25)*AV98+(1-EXP(-LN(2)/25))/(LN(2)/25)*Calculateur!AQ99*Calculateur!AS99*VLOOKUP('Données projet'!$B$10,Paramètres!$A$1:$I$89,3,0)*0.475*44/12</f>
        <v>5.3447759512389341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26.317164526595043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2.6</v>
      </c>
      <c r="BD99" s="12">
        <f>IF('Données projet'!$A$88&gt;35,BD98+BC99-BL98,IF(A99&lt;'Données projet'!$A$88,$BA$205^A99,IF(A99='Données projet'!$A$88,'Données projet'!$B$88,BD98+BC99-BL98)))</f>
        <v>190.6</v>
      </c>
      <c r="BE99" s="13">
        <f>BD99*VLOOKUP('Données projet'!$B$11,Paramètres!$A$1:$I$89,3,0)*VLOOKUP('Données projet'!$B$11,Paramètres!$A$1:$I$89,5,0)</f>
        <v>166.50816</v>
      </c>
      <c r="BF99" s="13">
        <f t="shared" si="91"/>
        <v>42.307025456487715</v>
      </c>
      <c r="BG99" s="20">
        <f t="shared" si="61"/>
        <v>363.68644800338274</v>
      </c>
      <c r="BH99" s="59">
        <f t="shared" si="62"/>
        <v>657.01978133671605</v>
      </c>
      <c r="BI99" s="59">
        <f ca="1">AVERAGE(OFFSET($BH$3,0,0,'Données projet'!$E$11+1,1))-AVERAGE(OFFSET($H$3,0,0,'Données projet'!$E$11+1,1))</f>
        <v>175.73188403662408</v>
      </c>
      <c r="BJ99" s="59">
        <f t="shared" si="92"/>
        <v>152.02195399869032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8.5138087464145542</v>
      </c>
      <c r="BQ99" s="21">
        <f>EXP(-LN(2)/25)*BQ98+(1-EXP(-LN(2)/25))/(LN(2)/25)*Calculateur!BL99*Calculateur!BN99*VLOOKUP('Données projet'!$B$11,Paramètres!$A$1:$I$89,3,0)*0.475*44/12</f>
        <v>10.359824909622684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18.873633656037239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5.2583333333333373</v>
      </c>
      <c r="BY99" s="12">
        <f>IF('Données projet'!$A$114&gt;35,BY98+BX99-CG98,IF(A99&lt;'Données projet'!$A$114,$BV$205^A99,IF(A99='Données projet'!$A$114,'Données projet'!$B$114,BY98+BX99-CG98)))</f>
        <v>197.96089743589718</v>
      </c>
      <c r="BZ99" s="13">
        <f>BY99*VLOOKUP('Données projet'!$B$12,Paramètres!$A$1:$I$89,3,0)*VLOOKUP('Données projet'!$B$12,Paramètres!$A$1:$I$89,5,0)</f>
        <v>179.11501999999976</v>
      </c>
      <c r="CA99" s="13">
        <f t="shared" si="93"/>
        <v>45.125237978705186</v>
      </c>
      <c r="CB99" s="20">
        <f t="shared" si="64"/>
        <v>390.55178264624448</v>
      </c>
      <c r="CC99" s="59">
        <f t="shared" si="65"/>
        <v>683.88511597957779</v>
      </c>
      <c r="CD99" s="59">
        <f ca="1">AVERAGE(OFFSET($CC$3,0,0,'Données projet'!$E$12+1,1))-AVERAGE(OFFSET($H$3,0,0,'Données projet'!$E$12+1,1))</f>
        <v>213.54857791046686</v>
      </c>
      <c r="CE99" s="59">
        <f t="shared" si="94"/>
        <v>138.46877538074244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23.004058696022664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23.004058696022664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213</v>
      </c>
      <c r="CU99" s="17">
        <f>CT99*VLOOKUP('Données projet'!$B$13,Paramètres!$A$1:$I$89,3,0)*VLOOKUP('Données projet'!$B$13,Paramètres!$A$1:$I$89,5,0)</f>
        <v>169.46279999999999</v>
      </c>
      <c r="CV99" s="13">
        <f t="shared" si="95"/>
        <v>42.969686502194378</v>
      </c>
      <c r="CW99" s="20">
        <f t="shared" si="67"/>
        <v>369.9865806579885</v>
      </c>
      <c r="CX99" s="59">
        <f t="shared" si="68"/>
        <v>663.31991399132176</v>
      </c>
      <c r="CY99" s="59">
        <f ca="1">AVERAGE(OFFSET($CX$3,0,0,'Données projet'!$E$13+1,1))-AVERAGE(OFFSET($H$3,0,0,'Données projet'!$E$13+1,1))</f>
        <v>161.87883827031436</v>
      </c>
      <c r="CZ99" s="59">
        <f t="shared" si="96"/>
        <v>163.02076389611869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8.2165933372930002</v>
      </c>
      <c r="DG99" s="21">
        <f>EXP(-LN(2)/25)*DG98+(1-EXP(-LN(2)/25))/(LN(2)/25)*Calculateur!DB99*Calculateur!DD99*VLOOKUP('Données projet'!$B$13,Paramètres!$A$1:$I$89,3,0)*0.475*44/12</f>
        <v>5.6071773397380404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13.823770677031041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149.0000000000002</v>
      </c>
      <c r="DP99" s="17">
        <f>DO99*VLOOKUP('Données projet'!$B$14,Paramètres!$A$1:$I$89,3,0)*VLOOKUP('Données projet'!$B$14,Paramètres!$A$1:$I$89,5,0)</f>
        <v>120.86880000000016</v>
      </c>
      <c r="DQ99" s="13">
        <f t="shared" si="97"/>
        <v>31.877547472771326</v>
      </c>
      <c r="DR99" s="20">
        <f t="shared" si="70"/>
        <v>266.03322184841039</v>
      </c>
      <c r="DS99" s="59">
        <f t="shared" si="71"/>
        <v>559.36655518174371</v>
      </c>
      <c r="DT99" s="59">
        <f ca="1">AVERAGE(OFFSET($DS$3,0,0,'Données projet'!$E$14+1,1))-AVERAGE(OFFSET($H$3,0,0,'Données projet'!$E$14+1,1))</f>
        <v>96.611230241682733</v>
      </c>
      <c r="DU99" s="59">
        <f t="shared" si="98"/>
        <v>78.711045514042041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1.5881310383769691</v>
      </c>
      <c r="EB99" s="21">
        <f>EXP(-LN(2)/25)*EB98+(1-EXP(-LN(2)/25))/(LN(2)/25)*Calculateur!DW99*Calculateur!DY99*VLOOKUP('Données projet'!$B$14,Paramètres!$A$1:$I$89,3,0)*0.475*44/12</f>
        <v>5.3127249640123582</v>
      </c>
      <c r="EC99" s="21">
        <f>EXP(-LN(2)/2)*EC98+(1-EXP(-LN(2)/2))/(LN(2)/2)*DW99*DZ99*VLOOKUP('Données projet'!$B$14,Paramètres!$A$1:$I$89,3,0)*0.475*44/12</f>
        <v>0.16972004337518945</v>
      </c>
      <c r="ED99" s="22">
        <f t="shared" si="72"/>
        <v>7.0705760457645166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188.61152573050066</v>
      </c>
      <c r="EP99" s="59">
        <f t="shared" si="100"/>
        <v>172.37050503841624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99.447076845987453</v>
      </c>
      <c r="EW99" s="21">
        <f>EXP(-LN(2)/25)*EW98+(1-EXP(-LN(2)/25))/(LN(2)/25)*Calculateur!ER99*Calculateur!ET99*VLOOKUP('Données projet'!$B$15,Paramètres!$A$1:$I$89,3,0)*0.475*44/12</f>
        <v>21.314909437562175</v>
      </c>
      <c r="EX99" s="21">
        <f>EXP(-LN(2)/2)*EX98+(1-EXP(-LN(2)/2))/(LN(2)/2)*ER99*EU99*VLOOKUP('Données projet'!$B$15,Paramètres!$A$1:$I$89,3,0)*0.475*44/12</f>
        <v>3.8446477859406985E-3</v>
      </c>
      <c r="EY99" s="22">
        <f t="shared" si="75"/>
        <v>120.76583093133557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0</v>
      </c>
      <c r="FK99" s="59">
        <f t="shared" si="102"/>
        <v>0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0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197.78572767493569</v>
      </c>
      <c r="T100" s="59">
        <f t="shared" si="88"/>
        <v>288.66487031729008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266.99999999999983</v>
      </c>
      <c r="AJ100" s="13">
        <f>AI100*VLOOKUP('Données projet'!$B$10,Paramètres!$A$1:$I$89,3,0)*VLOOKUP('Données projet'!$B$10,Paramètres!$A$1:$I$89,5,0)</f>
        <v>212.42519999999985</v>
      </c>
      <c r="AK100" s="13">
        <f t="shared" si="89"/>
        <v>52.465198231787184</v>
      </c>
      <c r="AL100" s="20">
        <f t="shared" si="58"/>
        <v>461.35077692036231</v>
      </c>
      <c r="AM100" s="59">
        <f t="shared" si="59"/>
        <v>754.68411025369562</v>
      </c>
      <c r="AN100" s="59">
        <f ca="1">AVERAGE(OFFSET($AM$3,0,0,'Données projet'!$E$10+1,1))-AVERAGE(OFFSET($H$3,0,0,'Données projet'!$E$10+1,1))</f>
        <v>219.43439115440339</v>
      </c>
      <c r="AO100" s="59">
        <f t="shared" si="90"/>
        <v>217.8880462742099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20.561132827287313</v>
      </c>
      <c r="AV100" s="21">
        <f>EXP(-LN(2)/25)*AV99+(1-EXP(-LN(2)/25))/(LN(2)/25)*Calculateur!AQ100*Calculateur!AS100*VLOOKUP('Données projet'!$B$10,Paramètres!$A$1:$I$89,3,0)*0.475*44/12</f>
        <v>5.1986227717827536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25.759755599070068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2.6</v>
      </c>
      <c r="BD100" s="12">
        <f>IF('Données projet'!$A$88&gt;35,BD99+BC100-BL99,IF(A100&lt;'Données projet'!$A$88,$BA$205^A100,IF(A100='Données projet'!$A$88,'Données projet'!$B$88,BD99+BC100-BL99)))</f>
        <v>193.2</v>
      </c>
      <c r="BE100" s="13">
        <f>BD100*VLOOKUP('Données projet'!$B$11,Paramètres!$A$1:$I$89,3,0)*VLOOKUP('Données projet'!$B$11,Paramètres!$A$1:$I$89,5,0)</f>
        <v>168.77952000000002</v>
      </c>
      <c r="BF100" s="13">
        <f t="shared" si="91"/>
        <v>42.816562145177031</v>
      </c>
      <c r="BG100" s="20">
        <f t="shared" si="61"/>
        <v>368.52984306951663</v>
      </c>
      <c r="BH100" s="59">
        <f t="shared" si="62"/>
        <v>661.86317640284994</v>
      </c>
      <c r="BI100" s="59">
        <f ca="1">AVERAGE(OFFSET($BH$3,0,0,'Données projet'!$E$11+1,1))-AVERAGE(OFFSET($H$3,0,0,'Données projet'!$E$11+1,1))</f>
        <v>175.73188403662408</v>
      </c>
      <c r="BJ100" s="59">
        <f t="shared" si="92"/>
        <v>152.02195399869032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8.3468581498079431</v>
      </c>
      <c r="BQ100" s="21">
        <f>EXP(-LN(2)/25)*BQ99+(1-EXP(-LN(2)/25))/(LN(2)/25)*Calculateur!BL100*Calculateur!BN100*VLOOKUP('Données projet'!$B$11,Paramètres!$A$1:$I$89,3,0)*0.475*44/12</f>
        <v>10.076534952669538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18.423393102477483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5.2583333333333373</v>
      </c>
      <c r="BY100" s="12">
        <f>IF('Données projet'!$A$114&gt;35,BY99+BX100-CG99,IF(A100&lt;'Données projet'!$A$114,$BV$205^A100,IF(A100='Données projet'!$A$114,'Données projet'!$B$114,BY99+BX100-CG99)))</f>
        <v>203.21923076923051</v>
      </c>
      <c r="BZ100" s="13">
        <f>BY100*VLOOKUP('Données projet'!$B$12,Paramètres!$A$1:$I$89,3,0)*VLOOKUP('Données projet'!$B$12,Paramètres!$A$1:$I$89,5,0)</f>
        <v>183.87275999999974</v>
      </c>
      <c r="CA100" s="13">
        <f t="shared" si="93"/>
        <v>46.182733545341328</v>
      </c>
      <c r="CB100" s="20">
        <f t="shared" si="64"/>
        <v>400.67998459146901</v>
      </c>
      <c r="CC100" s="59">
        <f t="shared" si="65"/>
        <v>694.01331792480232</v>
      </c>
      <c r="CD100" s="59">
        <f ca="1">AVERAGE(OFFSET($CC$3,0,0,'Données projet'!$E$12+1,1))-AVERAGE(OFFSET($H$3,0,0,'Données projet'!$E$12+1,1))</f>
        <v>213.54857791046686</v>
      </c>
      <c r="CE100" s="59">
        <f t="shared" si="94"/>
        <v>138.46877538074244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22.55296313608401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22.55296313608401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213</v>
      </c>
      <c r="CU100" s="17">
        <f>CT100*VLOOKUP('Données projet'!$B$13,Paramètres!$A$1:$I$89,3,0)*VLOOKUP('Données projet'!$B$13,Paramètres!$A$1:$I$89,5,0)</f>
        <v>169.46279999999999</v>
      </c>
      <c r="CV100" s="13">
        <f t="shared" si="95"/>
        <v>42.969686502194378</v>
      </c>
      <c r="CW100" s="20">
        <f t="shared" si="67"/>
        <v>369.9865806579885</v>
      </c>
      <c r="CX100" s="59">
        <f t="shared" si="68"/>
        <v>663.31991399132176</v>
      </c>
      <c r="CY100" s="59">
        <f ca="1">AVERAGE(OFFSET($CX$3,0,0,'Données projet'!$E$13+1,1))-AVERAGE(OFFSET($H$3,0,0,'Données projet'!$E$13+1,1))</f>
        <v>161.87883827031436</v>
      </c>
      <c r="CZ100" s="59">
        <f t="shared" si="96"/>
        <v>163.02076389611869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8.0554709535757638</v>
      </c>
      <c r="DG100" s="21">
        <f>EXP(-LN(2)/25)*DG99+(1-EXP(-LN(2)/25))/(LN(2)/25)*Calculateur!DB100*Calculateur!DD100*VLOOKUP('Données projet'!$B$13,Paramètres!$A$1:$I$89,3,0)*0.475*44/12</f>
        <v>5.4538487805142628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13.509319734090028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149.0000000000002</v>
      </c>
      <c r="DP100" s="17">
        <f>DO100*VLOOKUP('Données projet'!$B$14,Paramètres!$A$1:$I$89,3,0)*VLOOKUP('Données projet'!$B$14,Paramètres!$A$1:$I$89,5,0)</f>
        <v>120.86880000000016</v>
      </c>
      <c r="DQ100" s="13">
        <f t="shared" si="97"/>
        <v>31.877547472771326</v>
      </c>
      <c r="DR100" s="20">
        <f t="shared" si="70"/>
        <v>266.03322184841039</v>
      </c>
      <c r="DS100" s="59">
        <f t="shared" si="71"/>
        <v>559.36655518174371</v>
      </c>
      <c r="DT100" s="59">
        <f ca="1">AVERAGE(OFFSET($DS$3,0,0,'Données projet'!$E$14+1,1))-AVERAGE(OFFSET($H$3,0,0,'Données projet'!$E$14+1,1))</f>
        <v>96.611230241682733</v>
      </c>
      <c r="DU100" s="59">
        <f t="shared" si="98"/>
        <v>78.711045514042041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1.5569887573786825</v>
      </c>
      <c r="EB100" s="21">
        <f>EXP(-LN(2)/25)*EB99+(1-EXP(-LN(2)/25))/(LN(2)/25)*Calculateur!DW100*Calculateur!DY100*VLOOKUP('Données projet'!$B$14,Paramètres!$A$1:$I$89,3,0)*0.475*44/12</f>
        <v>5.1674482204873771</v>
      </c>
      <c r="EC100" s="21">
        <f>EXP(-LN(2)/2)*EC99+(1-EXP(-LN(2)/2))/(LN(2)/2)*DW100*DZ100*VLOOKUP('Données projet'!$B$14,Paramètres!$A$1:$I$89,3,0)*0.475*44/12</f>
        <v>0.12001019357387145</v>
      </c>
      <c r="ED100" s="22">
        <f t="shared" si="72"/>
        <v>6.8444471714399304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188.61152573050066</v>
      </c>
      <c r="EP100" s="59">
        <f t="shared" si="100"/>
        <v>172.37050503841624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97.496980325765165</v>
      </c>
      <c r="EW100" s="21">
        <f>EXP(-LN(2)/25)*EW99+(1-EXP(-LN(2)/25))/(LN(2)/25)*Calculateur!ER100*Calculateur!ET100*VLOOKUP('Données projet'!$B$15,Paramètres!$A$1:$I$89,3,0)*0.475*44/12</f>
        <v>20.732052118089666</v>
      </c>
      <c r="EX100" s="21">
        <f>EXP(-LN(2)/2)*EX99+(1-EXP(-LN(2)/2))/(LN(2)/2)*ER100*EU100*VLOOKUP('Données projet'!$B$15,Paramètres!$A$1:$I$89,3,0)*0.475*44/12</f>
        <v>2.7185765207125142E-3</v>
      </c>
      <c r="EY100" s="22">
        <f t="shared" si="75"/>
        <v>118.23175102037554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0</v>
      </c>
      <c r="FK100" s="59">
        <f t="shared" si="102"/>
        <v>0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0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197.78572767493569</v>
      </c>
      <c r="T101" s="59">
        <f t="shared" si="88"/>
        <v>288.66487031729008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266.99999999999983</v>
      </c>
      <c r="AJ101" s="13">
        <f>AI101*VLOOKUP('Données projet'!$B$10,Paramètres!$A$1:$I$89,3,0)*VLOOKUP('Données projet'!$B$10,Paramètres!$A$1:$I$89,5,0)</f>
        <v>212.42519999999985</v>
      </c>
      <c r="AK101" s="13">
        <f t="shared" si="89"/>
        <v>52.465198231787184</v>
      </c>
      <c r="AL101" s="20">
        <f t="shared" si="58"/>
        <v>461.35077692036231</v>
      </c>
      <c r="AM101" s="59">
        <f t="shared" si="59"/>
        <v>754.68411025369562</v>
      </c>
      <c r="AN101" s="59">
        <f ca="1">AVERAGE(OFFSET($AM$3,0,0,'Données projet'!$E$10+1,1))-AVERAGE(OFFSET($H$3,0,0,'Données projet'!$E$10+1,1))</f>
        <v>219.43439115440339</v>
      </c>
      <c r="AO101" s="59">
        <f t="shared" si="90"/>
        <v>217.8880462742099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20.157941553596906</v>
      </c>
      <c r="AV101" s="21">
        <f>EXP(-LN(2)/25)*AV100+(1-EXP(-LN(2)/25))/(LN(2)/25)*Calculateur!AQ101*Calculateur!AS101*VLOOKUP('Données projet'!$B$10,Paramètres!$A$1:$I$89,3,0)*0.475*44/12</f>
        <v>5.056466158704664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25.214407712301572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2.6</v>
      </c>
      <c r="BD101" s="12">
        <f>IF('Données projet'!$A$88&gt;35,BD100+BC101-BL100,IF(A101&lt;'Données projet'!$A$88,$BA$205^A101,IF(A101='Données projet'!$A$88,'Données projet'!$B$88,BD100+BC101-BL100)))</f>
        <v>195.79999999999998</v>
      </c>
      <c r="BE101" s="13">
        <f>BD101*VLOOKUP('Données projet'!$B$11,Paramètres!$A$1:$I$89,3,0)*VLOOKUP('Données projet'!$B$11,Paramètres!$A$1:$I$89,5,0)</f>
        <v>171.05088000000001</v>
      </c>
      <c r="BF101" s="13">
        <f t="shared" si="91"/>
        <v>43.325301264581704</v>
      </c>
      <c r="BG101" s="20">
        <f t="shared" si="61"/>
        <v>373.37184903581311</v>
      </c>
      <c r="BH101" s="59">
        <f t="shared" si="62"/>
        <v>666.70518236914643</v>
      </c>
      <c r="BI101" s="59">
        <f ca="1">AVERAGE(OFFSET($BH$3,0,0,'Données projet'!$E$11+1,1))-AVERAGE(OFFSET($H$3,0,0,'Données projet'!$E$11+1,1))</f>
        <v>175.73188403662408</v>
      </c>
      <c r="BJ101" s="59">
        <f t="shared" si="92"/>
        <v>152.02195399869032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8.183181352570978</v>
      </c>
      <c r="BQ101" s="21">
        <f>EXP(-LN(2)/25)*BQ100+(1-EXP(-LN(2)/25))/(LN(2)/25)*Calculateur!BL101*Calculateur!BN101*VLOOKUP('Données projet'!$B$11,Paramètres!$A$1:$I$89,3,0)*0.475*44/12</f>
        <v>9.8009915744868472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17.984172927057827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5.2583333333333373</v>
      </c>
      <c r="BY101" s="12">
        <f>IF('Données projet'!$A$114&gt;35,BY100+BX101-CG100,IF(A101&lt;'Données projet'!$A$114,$BV$205^A101,IF(A101='Données projet'!$A$114,'Données projet'!$B$114,BY100+BX101-CG100)))</f>
        <v>208.47756410256383</v>
      </c>
      <c r="BZ101" s="13">
        <f>BY101*VLOOKUP('Données projet'!$B$12,Paramètres!$A$1:$I$89,3,0)*VLOOKUP('Données projet'!$B$12,Paramètres!$A$1:$I$89,5,0)</f>
        <v>188.63049999999973</v>
      </c>
      <c r="CA101" s="13">
        <f t="shared" si="93"/>
        <v>47.237048488890842</v>
      </c>
      <c r="CB101" s="20">
        <f t="shared" si="64"/>
        <v>410.80264695148441</v>
      </c>
      <c r="CC101" s="59">
        <f t="shared" si="65"/>
        <v>704.13598028481772</v>
      </c>
      <c r="CD101" s="59">
        <f ca="1">AVERAGE(OFFSET($CC$3,0,0,'Données projet'!$E$12+1,1))-AVERAGE(OFFSET($H$3,0,0,'Données projet'!$E$12+1,1))</f>
        <v>213.54857791046686</v>
      </c>
      <c r="CE101" s="59">
        <f t="shared" si="94"/>
        <v>138.46877538074244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22.110713284934629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22.110713284934629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213</v>
      </c>
      <c r="CU101" s="17">
        <f>CT101*VLOOKUP('Données projet'!$B$13,Paramètres!$A$1:$I$89,3,0)*VLOOKUP('Données projet'!$B$13,Paramètres!$A$1:$I$89,5,0)</f>
        <v>169.46279999999999</v>
      </c>
      <c r="CV101" s="13">
        <f t="shared" si="95"/>
        <v>42.969686502194378</v>
      </c>
      <c r="CW101" s="20">
        <f t="shared" si="67"/>
        <v>369.9865806579885</v>
      </c>
      <c r="CX101" s="59">
        <f t="shared" si="68"/>
        <v>663.31991399132176</v>
      </c>
      <c r="CY101" s="59">
        <f ca="1">AVERAGE(OFFSET($CX$3,0,0,'Données projet'!$E$13+1,1))-AVERAGE(OFFSET($H$3,0,0,'Données projet'!$E$13+1,1))</f>
        <v>161.87883827031436</v>
      </c>
      <c r="CZ101" s="59">
        <f t="shared" si="96"/>
        <v>163.02076389611869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7.8975080815282714</v>
      </c>
      <c r="DG101" s="21">
        <f>EXP(-LN(2)/25)*DG100+(1-EXP(-LN(2)/25))/(LN(2)/25)*Calculateur!DB101*Calculateur!DD101*VLOOKUP('Données projet'!$B$13,Paramètres!$A$1:$I$89,3,0)*0.475*44/12</f>
        <v>5.3047129988056581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13.202221080333929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149.0000000000002</v>
      </c>
      <c r="DP101" s="17">
        <f>DO101*VLOOKUP('Données projet'!$B$14,Paramètres!$A$1:$I$89,3,0)*VLOOKUP('Données projet'!$B$14,Paramètres!$A$1:$I$89,5,0)</f>
        <v>120.86880000000016</v>
      </c>
      <c r="DQ101" s="13">
        <f t="shared" si="97"/>
        <v>31.877547472771326</v>
      </c>
      <c r="DR101" s="20">
        <f t="shared" si="70"/>
        <v>266.03322184841039</v>
      </c>
      <c r="DS101" s="59">
        <f t="shared" si="71"/>
        <v>559.36655518174371</v>
      </c>
      <c r="DT101" s="59">
        <f ca="1">AVERAGE(OFFSET($DS$3,0,0,'Données projet'!$E$14+1,1))-AVERAGE(OFFSET($H$3,0,0,'Données projet'!$E$14+1,1))</f>
        <v>96.611230241682733</v>
      </c>
      <c r="DU101" s="59">
        <f t="shared" si="98"/>
        <v>78.711045514042041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1.5264571575158565</v>
      </c>
      <c r="EB101" s="21">
        <f>EXP(-LN(2)/25)*EB100+(1-EXP(-LN(2)/25))/(LN(2)/25)*Calculateur!DW101*Calculateur!DY101*VLOOKUP('Données projet'!$B$14,Paramètres!$A$1:$I$89,3,0)*0.475*44/12</f>
        <v>5.0261440771538579</v>
      </c>
      <c r="EC101" s="21">
        <f>EXP(-LN(2)/2)*EC100+(1-EXP(-LN(2)/2))/(LN(2)/2)*DW101*DZ101*VLOOKUP('Données projet'!$B$14,Paramètres!$A$1:$I$89,3,0)*0.475*44/12</f>
        <v>8.4860021687594739E-2</v>
      </c>
      <c r="ED101" s="22">
        <f t="shared" si="72"/>
        <v>6.6374612563573088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188.61152573050066</v>
      </c>
      <c r="EP101" s="59">
        <f t="shared" si="100"/>
        <v>172.37050503841624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95.585124008863005</v>
      </c>
      <c r="EW101" s="21">
        <f>EXP(-LN(2)/25)*EW100+(1-EXP(-LN(2)/25))/(LN(2)/25)*Calculateur!ER101*Calculateur!ET101*VLOOKUP('Données projet'!$B$15,Paramètres!$A$1:$I$89,3,0)*0.475*44/12</f>
        <v>20.165133062669266</v>
      </c>
      <c r="EX101" s="21">
        <f>EXP(-LN(2)/2)*EX100+(1-EXP(-LN(2)/2))/(LN(2)/2)*ER101*EU101*VLOOKUP('Données projet'!$B$15,Paramètres!$A$1:$I$89,3,0)*0.475*44/12</f>
        <v>1.9223238929703497E-3</v>
      </c>
      <c r="EY101" s="22">
        <f t="shared" si="75"/>
        <v>115.75217939542524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0</v>
      </c>
      <c r="FK101" s="59">
        <f t="shared" si="102"/>
        <v>0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0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197.78572767493569</v>
      </c>
      <c r="T102" s="59">
        <f t="shared" si="88"/>
        <v>288.66487031729008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266.99999999999983</v>
      </c>
      <c r="AJ102" s="13">
        <f>AI102*VLOOKUP('Données projet'!$B$10,Paramètres!$A$1:$I$89,3,0)*VLOOKUP('Données projet'!$B$10,Paramètres!$A$1:$I$89,5,0)</f>
        <v>212.42519999999985</v>
      </c>
      <c r="AK102" s="13">
        <f t="shared" si="89"/>
        <v>52.465198231787184</v>
      </c>
      <c r="AL102" s="20">
        <f t="shared" si="58"/>
        <v>461.35077692036231</v>
      </c>
      <c r="AM102" s="59">
        <f t="shared" si="59"/>
        <v>754.68411025369562</v>
      </c>
      <c r="AN102" s="59">
        <f ca="1">AVERAGE(OFFSET($AM$3,0,0,'Données projet'!$E$10+1,1))-AVERAGE(OFFSET($H$3,0,0,'Données projet'!$E$10+1,1))</f>
        <v>219.43439115440339</v>
      </c>
      <c r="AO102" s="59">
        <f t="shared" si="90"/>
        <v>217.8880462742099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19.762656614861175</v>
      </c>
      <c r="AV102" s="21">
        <f>EXP(-LN(2)/25)*AV101+(1-EXP(-LN(2)/25))/(LN(2)/25)*Calculateur!AQ102*Calculateur!AS102*VLOOKUP('Données projet'!$B$10,Paramètres!$A$1:$I$89,3,0)*0.475*44/12</f>
        <v>4.918196825686886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24.680853440548063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2.6</v>
      </c>
      <c r="BD102" s="12">
        <f>IF('Données projet'!$A$88&gt;35,BD101+BC102-BL101,IF(A102&lt;'Données projet'!$A$88,$BA$205^A102,IF(A102='Données projet'!$A$88,'Données projet'!$B$88,BD101+BC102-BL101)))</f>
        <v>198.39999999999998</v>
      </c>
      <c r="BE102" s="13">
        <f>BD102*VLOOKUP('Données projet'!$B$11,Paramètres!$A$1:$I$89,3,0)*VLOOKUP('Données projet'!$B$11,Paramètres!$A$1:$I$89,5,0)</f>
        <v>173.32223999999999</v>
      </c>
      <c r="BF102" s="13">
        <f t="shared" si="91"/>
        <v>43.833254629845122</v>
      </c>
      <c r="BG102" s="20">
        <f t="shared" si="61"/>
        <v>378.2124864803136</v>
      </c>
      <c r="BH102" s="59">
        <f t="shared" si="62"/>
        <v>671.54581981364686</v>
      </c>
      <c r="BI102" s="59">
        <f ca="1">AVERAGE(OFFSET($BH$3,0,0,'Données projet'!$E$11+1,1))-AVERAGE(OFFSET($H$3,0,0,'Données projet'!$E$11+1,1))</f>
        <v>175.73188403662408</v>
      </c>
      <c r="BJ102" s="59">
        <f t="shared" si="92"/>
        <v>152.02195399869032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8.0227141574948408</v>
      </c>
      <c r="BQ102" s="21">
        <f>EXP(-LN(2)/25)*BQ101+(1-EXP(-LN(2)/25))/(LN(2)/25)*Calculateur!BL102*Calculateur!BN102*VLOOKUP('Données projet'!$B$11,Paramètres!$A$1:$I$89,3,0)*0.475*44/12</f>
        <v>9.5329829444707581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17.555697101965599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5.2583333333333373</v>
      </c>
      <c r="BY102" s="12">
        <f>IF('Données projet'!$A$114&gt;35,BY101+BX102-CG101,IF(A102&lt;'Données projet'!$A$114,$BV$205^A102,IF(A102='Données projet'!$A$114,'Données projet'!$B$114,BY101+BX102-CG101)))</f>
        <v>213.73589743589716</v>
      </c>
      <c r="BZ102" s="13">
        <f>BY102*VLOOKUP('Données projet'!$B$12,Paramètres!$A$1:$I$89,3,0)*VLOOKUP('Données projet'!$B$12,Paramètres!$A$1:$I$89,5,0)</f>
        <v>193.38823999999974</v>
      </c>
      <c r="CA102" s="13">
        <f t="shared" si="93"/>
        <v>48.288272258589146</v>
      </c>
      <c r="CB102" s="20">
        <f t="shared" si="64"/>
        <v>420.91992551704237</v>
      </c>
      <c r="CC102" s="59">
        <f t="shared" si="65"/>
        <v>714.25325885037569</v>
      </c>
      <c r="CD102" s="59">
        <f ca="1">AVERAGE(OFFSET($CC$3,0,0,'Données projet'!$E$12+1,1))-AVERAGE(OFFSET($H$3,0,0,'Données projet'!$E$12+1,1))</f>
        <v>213.54857791046686</v>
      </c>
      <c r="CE102" s="59">
        <f t="shared" si="94"/>
        <v>138.46877538074244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21.677135683620513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21.677135683620513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213</v>
      </c>
      <c r="CU102" s="17">
        <f>CT102*VLOOKUP('Données projet'!$B$13,Paramètres!$A$1:$I$89,3,0)*VLOOKUP('Données projet'!$B$13,Paramètres!$A$1:$I$89,5,0)</f>
        <v>169.46279999999999</v>
      </c>
      <c r="CV102" s="13">
        <f t="shared" si="95"/>
        <v>42.969686502194378</v>
      </c>
      <c r="CW102" s="20">
        <f t="shared" si="67"/>
        <v>369.9865806579885</v>
      </c>
      <c r="CX102" s="59">
        <f t="shared" si="68"/>
        <v>663.31991399132176</v>
      </c>
      <c r="CY102" s="59">
        <f ca="1">AVERAGE(OFFSET($CX$3,0,0,'Données projet'!$E$13+1,1))-AVERAGE(OFFSET($H$3,0,0,'Données projet'!$E$13+1,1))</f>
        <v>161.87883827031436</v>
      </c>
      <c r="CZ102" s="59">
        <f t="shared" si="96"/>
        <v>163.02076389611869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7.7426427650537919</v>
      </c>
      <c r="DG102" s="21">
        <f>EXP(-LN(2)/25)*DG101+(1-EXP(-LN(2)/25))/(LN(2)/25)*Calculateur!DB102*Calculateur!DD102*VLOOKUP('Données projet'!$B$13,Paramètres!$A$1:$I$89,3,0)*0.475*44/12</f>
        <v>5.1596553428905851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12.902298107944377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149.0000000000002</v>
      </c>
      <c r="DP102" s="17">
        <f>DO102*VLOOKUP('Données projet'!$B$14,Paramètres!$A$1:$I$89,3,0)*VLOOKUP('Données projet'!$B$14,Paramètres!$A$1:$I$89,5,0)</f>
        <v>120.86880000000016</v>
      </c>
      <c r="DQ102" s="13">
        <f t="shared" si="97"/>
        <v>31.877547472771326</v>
      </c>
      <c r="DR102" s="20">
        <f t="shared" si="70"/>
        <v>266.03322184841039</v>
      </c>
      <c r="DS102" s="59">
        <f t="shared" si="71"/>
        <v>559.36655518174371</v>
      </c>
      <c r="DT102" s="59">
        <f ca="1">AVERAGE(OFFSET($DS$3,0,0,'Données projet'!$E$14+1,1))-AVERAGE(OFFSET($H$3,0,0,'Données projet'!$E$14+1,1))</f>
        <v>96.611230241682733</v>
      </c>
      <c r="DU102" s="59">
        <f t="shared" si="98"/>
        <v>78.711045514042041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1.4965242637039033</v>
      </c>
      <c r="EB102" s="21">
        <f>EXP(-LN(2)/25)*EB101+(1-EXP(-LN(2)/25))/(LN(2)/25)*Calculateur!DW102*Calculateur!DY102*VLOOKUP('Données projet'!$B$14,Paramètres!$A$1:$I$89,3,0)*0.475*44/12</f>
        <v>4.8887039030506561</v>
      </c>
      <c r="EC102" s="21">
        <f>EXP(-LN(2)/2)*EC101+(1-EXP(-LN(2)/2))/(LN(2)/2)*DW102*DZ102*VLOOKUP('Données projet'!$B$14,Paramètres!$A$1:$I$89,3,0)*0.475*44/12</f>
        <v>6.0005096786935733E-2</v>
      </c>
      <c r="ED102" s="22">
        <f t="shared" si="72"/>
        <v>6.4452332635414953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188.61152573050066</v>
      </c>
      <c r="EP102" s="59">
        <f t="shared" si="100"/>
        <v>172.37050503841624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93.710758028218081</v>
      </c>
      <c r="EW102" s="21">
        <f>EXP(-LN(2)/25)*EW101+(1-EXP(-LN(2)/25))/(LN(2)/25)*Calculateur!ER102*Calculateur!ET102*VLOOKUP('Données projet'!$B$15,Paramètres!$A$1:$I$89,3,0)*0.475*44/12</f>
        <v>19.613716438632316</v>
      </c>
      <c r="EX102" s="21">
        <f>EXP(-LN(2)/2)*EX101+(1-EXP(-LN(2)/2))/(LN(2)/2)*ER102*EU102*VLOOKUP('Données projet'!$B$15,Paramètres!$A$1:$I$89,3,0)*0.475*44/12</f>
        <v>1.3592882603562573E-3</v>
      </c>
      <c r="EY102" s="22">
        <f t="shared" si="75"/>
        <v>113.32583375511076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0</v>
      </c>
      <c r="FK102" s="59">
        <f t="shared" si="102"/>
        <v>0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0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197.78572767493569</v>
      </c>
      <c r="T103" s="59">
        <f t="shared" si="88"/>
        <v>288.66487031729008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266.99999999999983</v>
      </c>
      <c r="AJ103" s="13">
        <f>AI103*VLOOKUP('Données projet'!$B$10,Paramètres!$A$1:$I$89,3,0)*VLOOKUP('Données projet'!$B$10,Paramètres!$A$1:$I$89,5,0)</f>
        <v>212.42519999999985</v>
      </c>
      <c r="AK103" s="13">
        <f t="shared" si="89"/>
        <v>52.465198231787184</v>
      </c>
      <c r="AL103" s="20">
        <f t="shared" si="58"/>
        <v>461.35077692036231</v>
      </c>
      <c r="AM103" s="59">
        <f t="shared" si="59"/>
        <v>754.68411025369562</v>
      </c>
      <c r="AN103" s="59">
        <f ca="1">AVERAGE(OFFSET($AM$3,0,0,'Données projet'!$E$10+1,1))-AVERAGE(OFFSET($H$3,0,0,'Données projet'!$E$10+1,1))</f>
        <v>219.43439115440339</v>
      </c>
      <c r="AO103" s="59">
        <f t="shared" si="90"/>
        <v>217.8880462742099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19.375122972674045</v>
      </c>
      <c r="AV103" s="21">
        <f>EXP(-LN(2)/25)*AV102+(1-EXP(-LN(2)/25))/(LN(2)/25)*Calculateur!AQ103*Calculateur!AS103*VLOOKUP('Données projet'!$B$10,Paramètres!$A$1:$I$89,3,0)*0.475*44/12</f>
        <v>4.783708474851748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24.158831447525792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201</v>
      </c>
      <c r="BB103" s="12">
        <f>VLOOKUP(A103,'Données projet'!$A$87:$I$107,9,0)</f>
        <v>2.6</v>
      </c>
      <c r="BC103" s="12">
        <f t="array" ref="BC103">INDEX(BB:BB,MIN(IF(ISNUMBER(BB103:BB299),ROW(BB103:BB299),"")))</f>
        <v>2.6</v>
      </c>
      <c r="BD103" s="12">
        <f>IF('Données projet'!$A$88&gt;35,BD102+BC103-BL102,IF(A103&lt;'Données projet'!$A$88,$BA$205^A103,IF(A103='Données projet'!$A$88,'Données projet'!$B$88,BD102+BC103-BL102)))</f>
        <v>200.99999999999997</v>
      </c>
      <c r="BE103" s="13">
        <f>BD103*VLOOKUP('Données projet'!$B$11,Paramètres!$A$1:$I$89,3,0)*VLOOKUP('Données projet'!$B$11,Paramètres!$A$1:$I$89,5,0)</f>
        <v>175.59359999999998</v>
      </c>
      <c r="BF103" s="13">
        <f t="shared" si="91"/>
        <v>44.340433728638573</v>
      </c>
      <c r="BG103" s="20">
        <f t="shared" si="61"/>
        <v>383.05177541071208</v>
      </c>
      <c r="BH103" s="59">
        <f t="shared" si="62"/>
        <v>676.3851087440454</v>
      </c>
      <c r="BI103" s="59">
        <f ca="1">AVERAGE(OFFSET($BH$3,0,0,'Données projet'!$E$11+1,1))-AVERAGE(OFFSET($H$3,0,0,'Données projet'!$E$11+1,1))</f>
        <v>175.73188403662408</v>
      </c>
      <c r="BJ103" s="59">
        <f t="shared" si="92"/>
        <v>152.02195399869032</v>
      </c>
      <c r="BK103" s="15">
        <f>IF(ISNA(VLOOKUP(A103,'Données projet'!$A$87:$I$107,3,0)),0,VLOOKUP(A103,'Données projet'!$A$87:$I$107,3,0))</f>
        <v>16</v>
      </c>
      <c r="BL103" s="15" t="str">
        <f>IF(ISNA(VLOOKUP(A103,'Données projet'!$A$87:$I$107,4,0)),0,VLOOKUP(A103,'Données projet'!$A$87:$I$107,4,0))</f>
        <v>10</v>
      </c>
      <c r="BM103" s="16">
        <f>IF(ISNA(VLOOKUP(A103,'Données projet'!$A$87:$I$107,5,0)),0%,VLOOKUP(A103,'Données projet'!$A$87:$I$107,5,0)*VLOOKUP('Données projet'!$B$11,Paramètres!$A$1:$I$89,7,0))</f>
        <v>0.17200000000000001</v>
      </c>
      <c r="BN103" s="16">
        <f>IF(ISNA(VLOOKUP(A103,'Données projet'!$A$87:$I$107,6,0)),0%,VLOOKUP(A103,'Données projet'!$A$87:$I$107,6,0)*VLOOKUP('Données projet'!$B$11,Paramètres!$A$1:$I$89,7,0))</f>
        <v>0.17200000000000001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9.5264645747619969</v>
      </c>
      <c r="BQ103" s="21">
        <f>EXP(-LN(2)/25)*BQ102+(1-EXP(-LN(2)/25))/(LN(2)/25)*Calculateur!BL103*Calculateur!BN103*VLOOKUP('Données projet'!$B$11,Paramètres!$A$1:$I$89,3,0)*0.475*44/12</f>
        <v>10.926833703817607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20.453298278579602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5.2583333333333373</v>
      </c>
      <c r="BY103" s="12">
        <f>IF('Données projet'!$A$114&gt;35,BY102+BX103-CG102,IF(A103&lt;'Données projet'!$A$114,$BV$205^A103,IF(A103='Données projet'!$A$114,'Données projet'!$B$114,BY102+BX103-CG102)))</f>
        <v>218.99423076923048</v>
      </c>
      <c r="BZ103" s="13">
        <f>BY103*VLOOKUP('Données projet'!$B$12,Paramètres!$A$1:$I$89,3,0)*VLOOKUP('Données projet'!$B$12,Paramètres!$A$1:$I$89,5,0)</f>
        <v>198.14597999999972</v>
      </c>
      <c r="CA103" s="13">
        <f t="shared" si="93"/>
        <v>49.336489651503598</v>
      </c>
      <c r="CB103" s="20">
        <f t="shared" si="64"/>
        <v>431.03196797636821</v>
      </c>
      <c r="CC103" s="59">
        <f t="shared" si="65"/>
        <v>724.36530130970152</v>
      </c>
      <c r="CD103" s="59">
        <f ca="1">AVERAGE(OFFSET($CC$3,0,0,'Données projet'!$E$12+1,1))-AVERAGE(OFFSET($H$3,0,0,'Données projet'!$E$12+1,1))</f>
        <v>213.54857791046686</v>
      </c>
      <c r="CE103" s="59">
        <f t="shared" si="94"/>
        <v>138.46877538074244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21.252060274611942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21.252060274611942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213</v>
      </c>
      <c r="CU103" s="17">
        <f>CT103*VLOOKUP('Données projet'!$B$13,Paramètres!$A$1:$I$89,3,0)*VLOOKUP('Données projet'!$B$13,Paramètres!$A$1:$I$89,5,0)</f>
        <v>169.46279999999999</v>
      </c>
      <c r="CV103" s="13">
        <f t="shared" si="95"/>
        <v>42.969686502194378</v>
      </c>
      <c r="CW103" s="20">
        <f t="shared" si="67"/>
        <v>369.9865806579885</v>
      </c>
      <c r="CX103" s="59">
        <f t="shared" si="68"/>
        <v>663.31991399132176</v>
      </c>
      <c r="CY103" s="59">
        <f ca="1">AVERAGE(OFFSET($CX$3,0,0,'Données projet'!$E$13+1,1))-AVERAGE(OFFSET($H$3,0,0,'Données projet'!$E$13+1,1))</f>
        <v>161.87883827031436</v>
      </c>
      <c r="CZ103" s="59">
        <f t="shared" si="96"/>
        <v>163.02076389611869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7.5908142629768607</v>
      </c>
      <c r="DG103" s="21">
        <f>EXP(-LN(2)/25)*DG102+(1-EXP(-LN(2)/25))/(LN(2)/25)*Calculateur!DB103*Calculateur!DD103*VLOOKUP('Données projet'!$B$13,Paramètres!$A$1:$I$89,3,0)*0.475*44/12</f>
        <v>5.0185642962047599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12.609378559181621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149.0000000000002</v>
      </c>
      <c r="DP103" s="17">
        <f>DO103*VLOOKUP('Données projet'!$B$14,Paramètres!$A$1:$I$89,3,0)*VLOOKUP('Données projet'!$B$14,Paramètres!$A$1:$I$89,5,0)</f>
        <v>120.86880000000016</v>
      </c>
      <c r="DQ103" s="13">
        <f t="shared" si="97"/>
        <v>31.877547472771326</v>
      </c>
      <c r="DR103" s="20">
        <f t="shared" si="70"/>
        <v>266.03322184841039</v>
      </c>
      <c r="DS103" s="59">
        <f t="shared" si="71"/>
        <v>559.36655518174371</v>
      </c>
      <c r="DT103" s="59">
        <f ca="1">AVERAGE(OFFSET($DS$3,0,0,'Données projet'!$E$14+1,1))-AVERAGE(OFFSET($H$3,0,0,'Données projet'!$E$14+1,1))</f>
        <v>96.611230241682733</v>
      </c>
      <c r="DU103" s="59">
        <f t="shared" si="98"/>
        <v>78.711045514042041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1.4671783356823402</v>
      </c>
      <c r="EB103" s="21">
        <f>EXP(-LN(2)/25)*EB102+(1-EXP(-LN(2)/25))/(LN(2)/25)*Calculateur!DW103*Calculateur!DY103*VLOOKUP('Données projet'!$B$14,Paramètres!$A$1:$I$89,3,0)*0.475*44/12</f>
        <v>4.7550220377359711</v>
      </c>
      <c r="EC103" s="21">
        <f>EXP(-LN(2)/2)*EC102+(1-EXP(-LN(2)/2))/(LN(2)/2)*DW103*DZ103*VLOOKUP('Données projet'!$B$14,Paramètres!$A$1:$I$89,3,0)*0.475*44/12</f>
        <v>4.2430010843797376E-2</v>
      </c>
      <c r="ED103" s="22">
        <f t="shared" si="72"/>
        <v>6.2646303842621087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188.61152573050066</v>
      </c>
      <c r="EP103" s="59">
        <f t="shared" si="100"/>
        <v>172.37050503841624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91.87314722120324</v>
      </c>
      <c r="EW103" s="21">
        <f>EXP(-LN(2)/25)*EW102+(1-EXP(-LN(2)/25))/(LN(2)/25)*Calculateur!ER103*Calculateur!ET103*VLOOKUP('Données projet'!$B$15,Paramètres!$A$1:$I$89,3,0)*0.475*44/12</f>
        <v>19.077378331177396</v>
      </c>
      <c r="EX103" s="21">
        <f>EXP(-LN(2)/2)*EX102+(1-EXP(-LN(2)/2))/(LN(2)/2)*ER103*EU103*VLOOKUP('Données projet'!$B$15,Paramètres!$A$1:$I$89,3,0)*0.475*44/12</f>
        <v>9.6116194648517494E-4</v>
      </c>
      <c r="EY103" s="22">
        <f t="shared" si="75"/>
        <v>110.95148671432713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0</v>
      </c>
      <c r="FK103" s="59">
        <f t="shared" si="102"/>
        <v>0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0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197.78572767493569</v>
      </c>
      <c r="T104" s="59">
        <f t="shared" si="88"/>
        <v>288.66487031729008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266.99999999999983</v>
      </c>
      <c r="AJ104" s="13">
        <f>AI104*VLOOKUP('Données projet'!$B$10,Paramètres!$A$1:$I$89,3,0)*VLOOKUP('Données projet'!$B$10,Paramètres!$A$1:$I$89,5,0)</f>
        <v>212.42519999999985</v>
      </c>
      <c r="AK104" s="13">
        <f t="shared" si="89"/>
        <v>52.465198231787184</v>
      </c>
      <c r="AL104" s="20">
        <f t="shared" si="58"/>
        <v>461.35077692036231</v>
      </c>
      <c r="AM104" s="59">
        <f t="shared" si="59"/>
        <v>754.68411025369562</v>
      </c>
      <c r="AN104" s="59">
        <f ca="1">AVERAGE(OFFSET($AM$3,0,0,'Données projet'!$E$10+1,1))-AVERAGE(OFFSET($H$3,0,0,'Données projet'!$E$10+1,1))</f>
        <v>219.43439115440339</v>
      </c>
      <c r="AO104" s="59">
        <f t="shared" si="90"/>
        <v>217.8880462742099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18.995188628838022</v>
      </c>
      <c r="AV104" s="21">
        <f>EXP(-LN(2)/25)*AV103+(1-EXP(-LN(2)/25))/(LN(2)/25)*Calculateur!AQ104*Calculateur!AS104*VLOOKUP('Données projet'!$B$10,Paramètres!$A$1:$I$89,3,0)*0.475*44/12</f>
        <v>4.6528977150426316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23.648086343880653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190.99999999999997</v>
      </c>
      <c r="BE104" s="13">
        <f>BD104*VLOOKUP('Données projet'!$B$11,Paramètres!$A$1:$I$89,3,0)*VLOOKUP('Données projet'!$B$11,Paramètres!$A$1:$I$89,5,0)</f>
        <v>166.85759999999999</v>
      </c>
      <c r="BF104" s="13">
        <f t="shared" si="91"/>
        <v>42.385468111966098</v>
      </c>
      <c r="BG104" s="20">
        <f t="shared" si="61"/>
        <v>364.43167696167421</v>
      </c>
      <c r="BH104" s="59">
        <f t="shared" si="62"/>
        <v>657.76501029500753</v>
      </c>
      <c r="BI104" s="59">
        <f ca="1">AVERAGE(OFFSET($BH$3,0,0,'Données projet'!$E$11+1,1))-AVERAGE(OFFSET($H$3,0,0,'Données projet'!$E$11+1,1))</f>
        <v>175.73188403662408</v>
      </c>
      <c r="BJ104" s="59">
        <f t="shared" si="92"/>
        <v>152.02195399869032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9.3396564150205581</v>
      </c>
      <c r="BQ104" s="21">
        <f>EXP(-LN(2)/25)*BQ103+(1-EXP(-LN(2)/25))/(LN(2)/25)*Calculateur!BL104*Calculateur!BN104*VLOOKUP('Données projet'!$B$11,Paramètres!$A$1:$I$89,3,0)*0.475*44/12</f>
        <v>10.628038861569504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19.967695276590064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5.2583333333333373</v>
      </c>
      <c r="BY104" s="12">
        <f>IF('Données projet'!$A$114&gt;35,BY103+BX104-CG103,IF(A104&lt;'Données projet'!$A$114,$BV$205^A104,IF(A104='Données projet'!$A$114,'Données projet'!$B$114,BY103+BX104-CG103)))</f>
        <v>224.25256410256381</v>
      </c>
      <c r="BZ104" s="13">
        <f>BY104*VLOOKUP('Données projet'!$B$12,Paramètres!$A$1:$I$89,3,0)*VLOOKUP('Données projet'!$B$12,Paramètres!$A$1:$I$89,5,0)</f>
        <v>202.90371999999974</v>
      </c>
      <c r="CA104" s="13">
        <f t="shared" si="93"/>
        <v>50.381781160298395</v>
      </c>
      <c r="CB104" s="20">
        <f t="shared" si="64"/>
        <v>441.13891452085255</v>
      </c>
      <c r="CC104" s="59">
        <f t="shared" si="65"/>
        <v>734.47224785418587</v>
      </c>
      <c r="CD104" s="59">
        <f ca="1">AVERAGE(OFFSET($CC$3,0,0,'Données projet'!$E$12+1,1))-AVERAGE(OFFSET($H$3,0,0,'Données projet'!$E$12+1,1))</f>
        <v>213.54857791046686</v>
      </c>
      <c r="CE104" s="59">
        <f t="shared" si="94"/>
        <v>138.46877538074244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20.835320335103631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20.835320335103631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213</v>
      </c>
      <c r="CU104" s="17">
        <f>CT104*VLOOKUP('Données projet'!$B$13,Paramètres!$A$1:$I$89,3,0)*VLOOKUP('Données projet'!$B$13,Paramètres!$A$1:$I$89,5,0)</f>
        <v>169.46279999999999</v>
      </c>
      <c r="CV104" s="13">
        <f t="shared" si="95"/>
        <v>42.969686502194378</v>
      </c>
      <c r="CW104" s="20">
        <f t="shared" si="67"/>
        <v>369.9865806579885</v>
      </c>
      <c r="CX104" s="59">
        <f t="shared" si="68"/>
        <v>663.31991399132176</v>
      </c>
      <c r="CY104" s="59">
        <f ca="1">AVERAGE(OFFSET($CX$3,0,0,'Données projet'!$E$13+1,1))-AVERAGE(OFFSET($H$3,0,0,'Données projet'!$E$13+1,1))</f>
        <v>161.87883827031436</v>
      </c>
      <c r="CZ104" s="59">
        <f t="shared" si="96"/>
        <v>163.02076389611869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7.4419630252194162</v>
      </c>
      <c r="DG104" s="21">
        <f>EXP(-LN(2)/25)*DG103+(1-EXP(-LN(2)/25))/(LN(2)/25)*Calculateur!DB104*Calculateur!DD104*VLOOKUP('Données projet'!$B$13,Paramètres!$A$1:$I$89,3,0)*0.475*44/12</f>
        <v>4.8813313916102148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12.323294416829631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149.0000000000002</v>
      </c>
      <c r="DP104" s="17">
        <f>DO104*VLOOKUP('Données projet'!$B$14,Paramètres!$A$1:$I$89,3,0)*VLOOKUP('Données projet'!$B$14,Paramètres!$A$1:$I$89,5,0)</f>
        <v>120.86880000000016</v>
      </c>
      <c r="DQ104" s="13">
        <f t="shared" si="97"/>
        <v>31.877547472771326</v>
      </c>
      <c r="DR104" s="20">
        <f t="shared" si="70"/>
        <v>266.03322184841039</v>
      </c>
      <c r="DS104" s="59">
        <f t="shared" si="71"/>
        <v>559.36655518174371</v>
      </c>
      <c r="DT104" s="59">
        <f ca="1">AVERAGE(OFFSET($DS$3,0,0,'Données projet'!$E$14+1,1))-AVERAGE(OFFSET($H$3,0,0,'Données projet'!$E$14+1,1))</f>
        <v>96.611230241682733</v>
      </c>
      <c r="DU104" s="59">
        <f t="shared" si="98"/>
        <v>78.711045514042041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1.4384078634100312</v>
      </c>
      <c r="EB104" s="21">
        <f>EXP(-LN(2)/25)*EB103+(1-EXP(-LN(2)/25))/(LN(2)/25)*Calculateur!DW104*Calculateur!DY104*VLOOKUP('Données projet'!$B$14,Paramètres!$A$1:$I$89,3,0)*0.475*44/12</f>
        <v>4.6249957100583394</v>
      </c>
      <c r="EC104" s="21">
        <f>EXP(-LN(2)/2)*EC103+(1-EXP(-LN(2)/2))/(LN(2)/2)*DW104*DZ104*VLOOKUP('Données projet'!$B$14,Paramètres!$A$1:$I$89,3,0)*0.475*44/12</f>
        <v>3.0002548393467873E-2</v>
      </c>
      <c r="ED104" s="22">
        <f t="shared" si="72"/>
        <v>6.0934061218618387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188.61152573050066</v>
      </c>
      <c r="EP104" s="59">
        <f t="shared" si="100"/>
        <v>172.37050503841624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90.071570841282053</v>
      </c>
      <c r="EW104" s="21">
        <f>EXP(-LN(2)/25)*EW103+(1-EXP(-LN(2)/25))/(LN(2)/25)*Calculateur!ER104*Calculateur!ET104*VLOOKUP('Données projet'!$B$15,Paramètres!$A$1:$I$89,3,0)*0.475*44/12</f>
        <v>18.555706417475626</v>
      </c>
      <c r="EX104" s="21">
        <f>EXP(-LN(2)/2)*EX103+(1-EXP(-LN(2)/2))/(LN(2)/2)*ER104*EU104*VLOOKUP('Données projet'!$B$15,Paramètres!$A$1:$I$89,3,0)*0.475*44/12</f>
        <v>6.7964413017812877E-4</v>
      </c>
      <c r="EY104" s="22">
        <f t="shared" si="75"/>
        <v>108.62795690288786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0</v>
      </c>
      <c r="FK104" s="59">
        <f t="shared" si="102"/>
        <v>0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0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197.78572767493569</v>
      </c>
      <c r="T105" s="59">
        <f t="shared" si="88"/>
        <v>288.66487031729008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266.99999999999983</v>
      </c>
      <c r="AJ105" s="13">
        <f>AI105*VLOOKUP('Données projet'!$B$10,Paramètres!$A$1:$I$89,3,0)*VLOOKUP('Données projet'!$B$10,Paramètres!$A$1:$I$89,5,0)</f>
        <v>212.42519999999985</v>
      </c>
      <c r="AK105" s="13">
        <f t="shared" si="89"/>
        <v>52.465198231787184</v>
      </c>
      <c r="AL105" s="20">
        <f t="shared" si="58"/>
        <v>461.35077692036231</v>
      </c>
      <c r="AM105" s="59">
        <f t="shared" si="59"/>
        <v>754.68411025369562</v>
      </c>
      <c r="AN105" s="59">
        <f ca="1">AVERAGE(OFFSET($AM$3,0,0,'Données projet'!$E$10+1,1))-AVERAGE(OFFSET($H$3,0,0,'Données projet'!$E$10+1,1))</f>
        <v>219.43439115440339</v>
      </c>
      <c r="AO105" s="59">
        <f t="shared" si="90"/>
        <v>217.8880462742099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18.622704565747558</v>
      </c>
      <c r="AV105" s="21">
        <f>EXP(-LN(2)/25)*AV104+(1-EXP(-LN(2)/25))/(LN(2)/25)*Calculateur!AQ105*Calculateur!AS105*VLOOKUP('Données projet'!$B$10,Paramètres!$A$1:$I$89,3,0)*0.475*44/12</f>
        <v>4.5256639823395339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23.148368548087092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190.99999999999997</v>
      </c>
      <c r="BE105" s="13">
        <f>BD105*VLOOKUP('Données projet'!$B$11,Paramètres!$A$1:$I$89,3,0)*VLOOKUP('Données projet'!$B$11,Paramètres!$A$1:$I$89,5,0)</f>
        <v>166.85759999999999</v>
      </c>
      <c r="BF105" s="13">
        <f t="shared" si="91"/>
        <v>42.385468111966098</v>
      </c>
      <c r="BG105" s="20">
        <f t="shared" si="61"/>
        <v>364.43167696167421</v>
      </c>
      <c r="BH105" s="59">
        <f t="shared" si="62"/>
        <v>657.76501029500753</v>
      </c>
      <c r="BI105" s="59">
        <f ca="1">AVERAGE(OFFSET($BH$3,0,0,'Données projet'!$E$11+1,1))-AVERAGE(OFFSET($H$3,0,0,'Données projet'!$E$11+1,1))</f>
        <v>175.73188403662408</v>
      </c>
      <c r="BJ105" s="59">
        <f t="shared" si="92"/>
        <v>152.02195399869032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9.1565114493499227</v>
      </c>
      <c r="BQ105" s="21">
        <f>EXP(-LN(2)/25)*BQ104+(1-EXP(-LN(2)/25))/(LN(2)/25)*Calculateur!BL105*Calculateur!BN105*VLOOKUP('Données projet'!$B$11,Paramètres!$A$1:$I$89,3,0)*0.475*44/12</f>
        <v>10.337414579995613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19.493926029345538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5.2583333333333373</v>
      </c>
      <c r="BY105" s="12">
        <f>IF('Données projet'!$A$114&gt;35,BY104+BX105-CG104,IF(A105&lt;'Données projet'!$A$114,$BV$205^A105,IF(A105='Données projet'!$A$114,'Données projet'!$B$114,BY104+BX105-CG104)))</f>
        <v>229.51089743589714</v>
      </c>
      <c r="BZ105" s="13">
        <f>BY105*VLOOKUP('Données projet'!$B$12,Paramètres!$A$1:$I$89,3,0)*VLOOKUP('Données projet'!$B$12,Paramètres!$A$1:$I$89,5,0)</f>
        <v>207.66145999999972</v>
      </c>
      <c r="CA105" s="13">
        <f t="shared" si="93"/>
        <v>51.424223287461992</v>
      </c>
      <c r="CB105" s="20">
        <f t="shared" si="64"/>
        <v>451.2408983923292</v>
      </c>
      <c r="CC105" s="59">
        <f t="shared" si="65"/>
        <v>744.57423172566246</v>
      </c>
      <c r="CD105" s="59">
        <f ca="1">AVERAGE(OFFSET($CC$3,0,0,'Données projet'!$E$12+1,1))-AVERAGE(OFFSET($H$3,0,0,'Données projet'!$E$12+1,1))</f>
        <v>213.54857791046686</v>
      </c>
      <c r="CE105" s="59">
        <f t="shared" si="94"/>
        <v>138.46877538074244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20.426752411622815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20.426752411622815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213</v>
      </c>
      <c r="CU105" s="17">
        <f>CT105*VLOOKUP('Données projet'!$B$13,Paramètres!$A$1:$I$89,3,0)*VLOOKUP('Données projet'!$B$13,Paramètres!$A$1:$I$89,5,0)</f>
        <v>169.46279999999999</v>
      </c>
      <c r="CV105" s="13">
        <f t="shared" si="95"/>
        <v>42.969686502194378</v>
      </c>
      <c r="CW105" s="20">
        <f t="shared" si="67"/>
        <v>369.9865806579885</v>
      </c>
      <c r="CX105" s="59">
        <f t="shared" si="68"/>
        <v>663.31991399132176</v>
      </c>
      <c r="CY105" s="59">
        <f ca="1">AVERAGE(OFFSET($CX$3,0,0,'Données projet'!$E$13+1,1))-AVERAGE(OFFSET($H$3,0,0,'Données projet'!$E$13+1,1))</f>
        <v>161.87883827031436</v>
      </c>
      <c r="CZ105" s="59">
        <f t="shared" si="96"/>
        <v>163.02076389611869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7.2960306694441055</v>
      </c>
      <c r="DG105" s="21">
        <f>EXP(-LN(2)/25)*DG104+(1-EXP(-LN(2)/25))/(LN(2)/25)*Calculateur!DB105*Calculateur!DD105*VLOOKUP('Données projet'!$B$13,Paramètres!$A$1:$I$89,3,0)*0.475*44/12</f>
        <v>4.7478511280085725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12.043881797452677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149.0000000000002</v>
      </c>
      <c r="DP105" s="17">
        <f>DO105*VLOOKUP('Données projet'!$B$14,Paramètres!$A$1:$I$89,3,0)*VLOOKUP('Données projet'!$B$14,Paramètres!$A$1:$I$89,5,0)</f>
        <v>120.86880000000016</v>
      </c>
      <c r="DQ105" s="13">
        <f t="shared" si="97"/>
        <v>31.877547472771326</v>
      </c>
      <c r="DR105" s="20">
        <f t="shared" si="70"/>
        <v>266.03322184841039</v>
      </c>
      <c r="DS105" s="59">
        <f t="shared" si="71"/>
        <v>559.36655518174371</v>
      </c>
      <c r="DT105" s="59">
        <f ca="1">AVERAGE(OFFSET($DS$3,0,0,'Données projet'!$E$14+1,1))-AVERAGE(OFFSET($H$3,0,0,'Données projet'!$E$14+1,1))</f>
        <v>96.611230241682733</v>
      </c>
      <c r="DU105" s="59">
        <f t="shared" si="98"/>
        <v>78.711045514042041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1.4102015625507269</v>
      </c>
      <c r="EB105" s="21">
        <f>EXP(-LN(2)/25)*EB104+(1-EXP(-LN(2)/25))/(LN(2)/25)*Calculateur!DW105*Calculateur!DY105*VLOOKUP('Données projet'!$B$14,Paramètres!$A$1:$I$89,3,0)*0.475*44/12</f>
        <v>4.4985249591488401</v>
      </c>
      <c r="EC105" s="21">
        <f>EXP(-LN(2)/2)*EC104+(1-EXP(-LN(2)/2))/(LN(2)/2)*DW105*DZ105*VLOOKUP('Données projet'!$B$14,Paramètres!$A$1:$I$89,3,0)*0.475*44/12</f>
        <v>2.1215005421898692E-2</v>
      </c>
      <c r="ED105" s="22">
        <f t="shared" si="72"/>
        <v>5.9299415271214659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188.61152573050066</v>
      </c>
      <c r="EP105" s="59">
        <f t="shared" si="100"/>
        <v>172.37050503841624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88.305322275318019</v>
      </c>
      <c r="EW105" s="21">
        <f>EXP(-LN(2)/25)*EW104+(1-EXP(-LN(2)/25))/(LN(2)/25)*Calculateur!ER105*Calculateur!ET105*VLOOKUP('Données projet'!$B$15,Paramètres!$A$1:$I$89,3,0)*0.475*44/12</f>
        <v>18.048299649687564</v>
      </c>
      <c r="EX105" s="21">
        <f>EXP(-LN(2)/2)*EX104+(1-EXP(-LN(2)/2))/(LN(2)/2)*ER105*EU105*VLOOKUP('Données projet'!$B$15,Paramètres!$A$1:$I$89,3,0)*0.475*44/12</f>
        <v>4.8058097324258758E-4</v>
      </c>
      <c r="EY105" s="22">
        <f t="shared" si="75"/>
        <v>106.35410250597883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0</v>
      </c>
      <c r="FK105" s="59">
        <f t="shared" si="102"/>
        <v>0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0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197.78572767493569</v>
      </c>
      <c r="T106" s="59">
        <f t="shared" si="88"/>
        <v>288.66487031729008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266.99999999999983</v>
      </c>
      <c r="AJ106" s="13">
        <f>AI106*VLOOKUP('Données projet'!$B$10,Paramètres!$A$1:$I$89,3,0)*VLOOKUP('Données projet'!$B$10,Paramètres!$A$1:$I$89,5,0)</f>
        <v>212.42519999999985</v>
      </c>
      <c r="AK106" s="13">
        <f t="shared" si="89"/>
        <v>52.465198231787184</v>
      </c>
      <c r="AL106" s="20">
        <f t="shared" si="58"/>
        <v>461.35077692036231</v>
      </c>
      <c r="AM106" s="59">
        <f t="shared" si="59"/>
        <v>754.68411025369562</v>
      </c>
      <c r="AN106" s="59">
        <f ca="1">AVERAGE(OFFSET($AM$3,0,0,'Données projet'!$E$10+1,1))-AVERAGE(OFFSET($H$3,0,0,'Données projet'!$E$10+1,1))</f>
        <v>219.43439115440339</v>
      </c>
      <c r="AO106" s="59">
        <f t="shared" si="90"/>
        <v>217.8880462742099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18.257524687941451</v>
      </c>
      <c r="AV106" s="21">
        <f>EXP(-LN(2)/25)*AV105+(1-EXP(-LN(2)/25))/(LN(2)/25)*Calculateur!AQ106*Calculateur!AS106*VLOOKUP('Données projet'!$B$10,Paramètres!$A$1:$I$89,3,0)*0.475*44/12</f>
        <v>4.4019094627481339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22.659434150689584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190.99999999999997</v>
      </c>
      <c r="BE106" s="13">
        <f>BD106*VLOOKUP('Données projet'!$B$11,Paramètres!$A$1:$I$89,3,0)*VLOOKUP('Données projet'!$B$11,Paramètres!$A$1:$I$89,5,0)</f>
        <v>166.85759999999999</v>
      </c>
      <c r="BF106" s="13">
        <f t="shared" si="91"/>
        <v>42.385468111966098</v>
      </c>
      <c r="BG106" s="20">
        <f t="shared" si="61"/>
        <v>364.43167696167421</v>
      </c>
      <c r="BH106" s="59">
        <f t="shared" si="62"/>
        <v>657.76501029500753</v>
      </c>
      <c r="BI106" s="59">
        <f ca="1">AVERAGE(OFFSET($BH$3,0,0,'Données projet'!$E$11+1,1))-AVERAGE(OFFSET($H$3,0,0,'Données projet'!$E$11+1,1))</f>
        <v>175.73188403662408</v>
      </c>
      <c r="BJ106" s="59">
        <f t="shared" si="92"/>
        <v>152.02195399869032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8.9769578447486893</v>
      </c>
      <c r="BQ106" s="21">
        <f>EXP(-LN(2)/25)*BQ105+(1-EXP(-LN(2)/25))/(LN(2)/25)*Calculateur!BL106*Calculateur!BN106*VLOOKUP('Données projet'!$B$11,Paramètres!$A$1:$I$89,3,0)*0.475*44/12</f>
        <v>10.054737434684627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19.031695279433315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234.76923076923077</v>
      </c>
      <c r="BW106" s="12">
        <f>VLOOKUP(A106,'Données projet'!$A$113:$I$133,9,0)</f>
        <v>5.2583333333333373</v>
      </c>
      <c r="BX106" s="12">
        <f t="array" ref="BX106">INDEX(BW:BW,MIN(IF(ISNUMBER(BW106:BW302),ROW(BW106:BW302),"")))</f>
        <v>5.2583333333333373</v>
      </c>
      <c r="BY106" s="12">
        <f>IF('Données projet'!$A$114&gt;35,BY105+BX106-CG105,IF(A106&lt;'Données projet'!$A$114,$BV$205^A106,IF(A106='Données projet'!$A$114,'Données projet'!$B$114,BY105+BX106-CG105)))</f>
        <v>234.76923076923046</v>
      </c>
      <c r="BZ106" s="13">
        <f>BY106*VLOOKUP('Données projet'!$B$12,Paramètres!$A$1:$I$89,3,0)*VLOOKUP('Données projet'!$B$12,Paramètres!$A$1:$I$89,5,0)</f>
        <v>212.41919999999973</v>
      </c>
      <c r="CA106" s="13">
        <f t="shared" si="93"/>
        <v>52.463888829926184</v>
      </c>
      <c r="CB106" s="20">
        <f t="shared" si="64"/>
        <v>461.33804637878757</v>
      </c>
      <c r="CC106" s="59">
        <f t="shared" si="65"/>
        <v>754.67137971212082</v>
      </c>
      <c r="CD106" s="59">
        <f ca="1">AVERAGE(OFFSET($CC$3,0,0,'Données projet'!$E$12+1,1))-AVERAGE(OFFSET($H$3,0,0,'Données projet'!$E$12+1,1))</f>
        <v>213.54857791046686</v>
      </c>
      <c r="CE106" s="59">
        <f t="shared" si="94"/>
        <v>138.46877538074244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39.512820512820511</v>
      </c>
      <c r="CH106" s="16">
        <f>IF(ISNA(VLOOKUP(A106,'Données projet'!$A$113:$I$133,5,0)),0%,VLOOKUP(A106,'Données projet'!$A$113:$I$133,5,0)*VLOOKUP('Données projet'!$B$12,Paramètres!$A$1:$I$89,7,0))</f>
        <v>0.30099999999999999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31.922285938379908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31.922285938379908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213</v>
      </c>
      <c r="CU106" s="17">
        <f>CT106*VLOOKUP('Données projet'!$B$13,Paramètres!$A$1:$I$89,3,0)*VLOOKUP('Données projet'!$B$13,Paramètres!$A$1:$I$89,5,0)</f>
        <v>169.46279999999999</v>
      </c>
      <c r="CV106" s="13">
        <f t="shared" si="95"/>
        <v>42.969686502194378</v>
      </c>
      <c r="CW106" s="20">
        <f t="shared" si="67"/>
        <v>369.9865806579885</v>
      </c>
      <c r="CX106" s="59">
        <f t="shared" si="68"/>
        <v>663.31991399132176</v>
      </c>
      <c r="CY106" s="59">
        <f ca="1">AVERAGE(OFFSET($CX$3,0,0,'Données projet'!$E$13+1,1))-AVERAGE(OFFSET($H$3,0,0,'Données projet'!$E$13+1,1))</f>
        <v>161.87883827031436</v>
      </c>
      <c r="CZ106" s="59">
        <f t="shared" si="96"/>
        <v>163.02076389611869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7.1529599581556003</v>
      </c>
      <c r="DG106" s="21">
        <f>EXP(-LN(2)/25)*DG105+(1-EXP(-LN(2)/25))/(LN(2)/25)*Calculateur!DB106*Calculateur!DD106*VLOOKUP('Données projet'!$B$13,Paramètres!$A$1:$I$89,3,0)*0.475*44/12</f>
        <v>4.6180208892345389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11.770980847390138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149.0000000000002</v>
      </c>
      <c r="DP106" s="17">
        <f>DO106*VLOOKUP('Données projet'!$B$14,Paramètres!$A$1:$I$89,3,0)*VLOOKUP('Données projet'!$B$14,Paramètres!$A$1:$I$89,5,0)</f>
        <v>120.86880000000016</v>
      </c>
      <c r="DQ106" s="13">
        <f t="shared" si="97"/>
        <v>31.877547472771326</v>
      </c>
      <c r="DR106" s="20">
        <f t="shared" si="70"/>
        <v>266.03322184841039</v>
      </c>
      <c r="DS106" s="59">
        <f t="shared" si="71"/>
        <v>559.36655518174371</v>
      </c>
      <c r="DT106" s="59">
        <f ca="1">AVERAGE(OFFSET($DS$3,0,0,'Données projet'!$E$14+1,1))-AVERAGE(OFFSET($H$3,0,0,'Données projet'!$E$14+1,1))</f>
        <v>96.611230241682733</v>
      </c>
      <c r="DU106" s="59">
        <f t="shared" si="98"/>
        <v>78.711045514042041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1.3825483700471288</v>
      </c>
      <c r="EB106" s="21">
        <f>EXP(-LN(2)/25)*EB105+(1-EXP(-LN(2)/25))/(LN(2)/25)*Calculateur!DW106*Calculateur!DY106*VLOOKUP('Données projet'!$B$14,Paramètres!$A$1:$I$89,3,0)*0.475*44/12</f>
        <v>4.375512557573769</v>
      </c>
      <c r="EC106" s="21">
        <f>EXP(-LN(2)/2)*EC105+(1-EXP(-LN(2)/2))/(LN(2)/2)*DW106*DZ106*VLOOKUP('Données projet'!$B$14,Paramètres!$A$1:$I$89,3,0)*0.475*44/12</f>
        <v>1.5001274196733938E-2</v>
      </c>
      <c r="ED106" s="22">
        <f t="shared" si="72"/>
        <v>5.7730622018176314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188.61152573050066</v>
      </c>
      <c r="EP106" s="59">
        <f t="shared" si="100"/>
        <v>172.37050503841624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86.573708766427302</v>
      </c>
      <c r="EW106" s="21">
        <f>EXP(-LN(2)/25)*EW105+(1-EXP(-LN(2)/25))/(LN(2)/25)*Calculateur!ER106*Calculateur!ET106*VLOOKUP('Données projet'!$B$15,Paramètres!$A$1:$I$89,3,0)*0.475*44/12</f>
        <v>17.554767946648028</v>
      </c>
      <c r="EX106" s="21">
        <f>EXP(-LN(2)/2)*EX105+(1-EXP(-LN(2)/2))/(LN(2)/2)*ER106*EU106*VLOOKUP('Données projet'!$B$15,Paramètres!$A$1:$I$89,3,0)*0.475*44/12</f>
        <v>3.3982206508906444E-4</v>
      </c>
      <c r="EY106" s="22">
        <f t="shared" si="75"/>
        <v>104.12881653514042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0</v>
      </c>
      <c r="FK106" s="59">
        <f t="shared" si="102"/>
        <v>0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0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197.78572767493569</v>
      </c>
      <c r="T107" s="59">
        <f t="shared" si="88"/>
        <v>288.66487031729008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266.99999999999983</v>
      </c>
      <c r="AJ107" s="13">
        <f>AI107*VLOOKUP('Données projet'!$B$10,Paramètres!$A$1:$I$89,3,0)*VLOOKUP('Données projet'!$B$10,Paramètres!$A$1:$I$89,5,0)</f>
        <v>212.42519999999985</v>
      </c>
      <c r="AK107" s="13">
        <f t="shared" si="89"/>
        <v>52.465198231787184</v>
      </c>
      <c r="AL107" s="20">
        <f t="shared" si="58"/>
        <v>461.35077692036231</v>
      </c>
      <c r="AM107" s="59">
        <f t="shared" si="59"/>
        <v>754.68411025369562</v>
      </c>
      <c r="AN107" s="59">
        <f ca="1">AVERAGE(OFFSET($AM$3,0,0,'Données projet'!$E$10+1,1))-AVERAGE(OFFSET($H$3,0,0,'Données projet'!$E$10+1,1))</f>
        <v>219.43439115440339</v>
      </c>
      <c r="AO107" s="59">
        <f t="shared" si="90"/>
        <v>217.8880462742099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17.89950576480139</v>
      </c>
      <c r="AV107" s="21">
        <f>EXP(-LN(2)/25)*AV106+(1-EXP(-LN(2)/25))/(LN(2)/25)*Calculateur!AQ107*Calculateur!AS107*VLOOKUP('Données projet'!$B$10,Paramètres!$A$1:$I$89,3,0)*0.475*44/12</f>
        <v>4.2815390170029284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22.181044781804317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190.99999999999997</v>
      </c>
      <c r="BE107" s="13">
        <f>BD107*VLOOKUP('Données projet'!$B$11,Paramètres!$A$1:$I$89,3,0)*VLOOKUP('Données projet'!$B$11,Paramètres!$A$1:$I$89,5,0)</f>
        <v>166.85759999999999</v>
      </c>
      <c r="BF107" s="13">
        <f t="shared" si="91"/>
        <v>42.385468111966098</v>
      </c>
      <c r="BG107" s="20">
        <f t="shared" si="61"/>
        <v>364.43167696167421</v>
      </c>
      <c r="BH107" s="59">
        <f t="shared" si="62"/>
        <v>657.76501029500753</v>
      </c>
      <c r="BI107" s="59">
        <f ca="1">AVERAGE(OFFSET($BH$3,0,0,'Données projet'!$E$11+1,1))-AVERAGE(OFFSET($H$3,0,0,'Données projet'!$E$11+1,1))</f>
        <v>175.73188403662408</v>
      </c>
      <c r="BJ107" s="59">
        <f t="shared" si="92"/>
        <v>152.02195399869032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8.8009251768168024</v>
      </c>
      <c r="BQ107" s="21">
        <f>EXP(-LN(2)/25)*BQ106+(1-EXP(-LN(2)/25))/(LN(2)/25)*Calculateur!BL107*Calculateur!BN107*VLOOKUP('Données projet'!$B$11,Paramètres!$A$1:$I$89,3,0)*0.475*44/12</f>
        <v>9.7797901107775154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18.580715287594316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5.0961538461538449</v>
      </c>
      <c r="BY107" s="12">
        <f>IF('Données projet'!$A$114&gt;35,BY106+BX107-CG106,IF(A107&lt;'Données projet'!$A$114,$BV$205^A107,IF(A107='Données projet'!$A$114,'Données projet'!$B$114,BY106+BX107-CG106)))</f>
        <v>200.3525641025638</v>
      </c>
      <c r="BZ107" s="13">
        <f>BY107*VLOOKUP('Données projet'!$B$12,Paramètres!$A$1:$I$89,3,0)*VLOOKUP('Données projet'!$B$12,Paramètres!$A$1:$I$89,5,0)</f>
        <v>181.27899999999974</v>
      </c>
      <c r="CA107" s="13">
        <f t="shared" si="93"/>
        <v>45.606622736998297</v>
      </c>
      <c r="CB107" s="20">
        <f t="shared" si="64"/>
        <v>395.15912626693824</v>
      </c>
      <c r="CC107" s="59">
        <f t="shared" si="65"/>
        <v>688.49245960027156</v>
      </c>
      <c r="CD107" s="59">
        <f ca="1">AVERAGE(OFFSET($CC$3,0,0,'Données projet'!$E$12+1,1))-AVERAGE(OFFSET($H$3,0,0,'Données projet'!$E$12+1,1))</f>
        <v>213.54857791046686</v>
      </c>
      <c r="CE107" s="59">
        <f t="shared" si="94"/>
        <v>138.46877538074244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31.296309381800132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31.296309381800132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213</v>
      </c>
      <c r="CU107" s="17">
        <f>CT107*VLOOKUP('Données projet'!$B$13,Paramètres!$A$1:$I$89,3,0)*VLOOKUP('Données projet'!$B$13,Paramètres!$A$1:$I$89,5,0)</f>
        <v>169.46279999999999</v>
      </c>
      <c r="CV107" s="13">
        <f t="shared" si="95"/>
        <v>42.969686502194378</v>
      </c>
      <c r="CW107" s="20">
        <f t="shared" si="67"/>
        <v>369.9865806579885</v>
      </c>
      <c r="CX107" s="59">
        <f t="shared" si="68"/>
        <v>663.31991399132176</v>
      </c>
      <c r="CY107" s="59">
        <f ca="1">AVERAGE(OFFSET($CX$3,0,0,'Données projet'!$E$13+1,1))-AVERAGE(OFFSET($H$3,0,0,'Données projet'!$E$13+1,1))</f>
        <v>161.87883827031436</v>
      </c>
      <c r="CZ107" s="59">
        <f t="shared" si="96"/>
        <v>163.02076389611869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7.0126947762509451</v>
      </c>
      <c r="DG107" s="21">
        <f>EXP(-LN(2)/25)*DG106+(1-EXP(-LN(2)/25))/(LN(2)/25)*Calculateur!DB107*Calculateur!DD107*VLOOKUP('Données projet'!$B$13,Paramètres!$A$1:$I$89,3,0)*0.475*44/12</f>
        <v>4.4917408651672561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11.504435641418201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149.0000000000002</v>
      </c>
      <c r="DP107" s="17">
        <f>DO107*VLOOKUP('Données projet'!$B$14,Paramètres!$A$1:$I$89,3,0)*VLOOKUP('Données projet'!$B$14,Paramètres!$A$1:$I$89,5,0)</f>
        <v>120.86880000000016</v>
      </c>
      <c r="DQ107" s="13">
        <f t="shared" si="97"/>
        <v>31.877547472771326</v>
      </c>
      <c r="DR107" s="20">
        <f t="shared" si="70"/>
        <v>266.03322184841039</v>
      </c>
      <c r="DS107" s="59">
        <f t="shared" si="71"/>
        <v>559.36655518174371</v>
      </c>
      <c r="DT107" s="59">
        <f ca="1">AVERAGE(OFFSET($DS$3,0,0,'Données projet'!$E$14+1,1))-AVERAGE(OFFSET($H$3,0,0,'Données projet'!$E$14+1,1))</f>
        <v>96.611230241682733</v>
      </c>
      <c r="DU107" s="59">
        <f t="shared" si="98"/>
        <v>78.711045514042041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1.3554374397817441</v>
      </c>
      <c r="EB107" s="21">
        <f>EXP(-LN(2)/25)*EB106+(1-EXP(-LN(2)/25))/(LN(2)/25)*Calculateur!DW107*Calculateur!DY107*VLOOKUP('Données projet'!$B$14,Paramètres!$A$1:$I$89,3,0)*0.475*44/12</f>
        <v>4.2558639365887094</v>
      </c>
      <c r="EC107" s="21">
        <f>EXP(-LN(2)/2)*EC106+(1-EXP(-LN(2)/2))/(LN(2)/2)*DW107*DZ107*VLOOKUP('Données projet'!$B$14,Paramètres!$A$1:$I$89,3,0)*0.475*44/12</f>
        <v>1.0607502710949348E-2</v>
      </c>
      <c r="ED107" s="22">
        <f t="shared" si="72"/>
        <v>5.6219088790814036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188.61152573050066</v>
      </c>
      <c r="EP107" s="59">
        <f t="shared" si="100"/>
        <v>172.37050503841624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84.876051142265979</v>
      </c>
      <c r="EW107" s="21">
        <f>EXP(-LN(2)/25)*EW106+(1-EXP(-LN(2)/25))/(LN(2)/25)*Calculateur!ER107*Calculateur!ET107*VLOOKUP('Données projet'!$B$15,Paramètres!$A$1:$I$89,3,0)*0.475*44/12</f>
        <v>17.074731893981813</v>
      </c>
      <c r="EX107" s="21">
        <f>EXP(-LN(2)/2)*EX106+(1-EXP(-LN(2)/2))/(LN(2)/2)*ER107*EU107*VLOOKUP('Données projet'!$B$15,Paramètres!$A$1:$I$89,3,0)*0.475*44/12</f>
        <v>2.4029048662129382E-4</v>
      </c>
      <c r="EY107" s="22">
        <f t="shared" si="75"/>
        <v>101.95102332673441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0</v>
      </c>
      <c r="FK107" s="59">
        <f t="shared" si="102"/>
        <v>0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0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197.78572767493569</v>
      </c>
      <c r="T108" s="59">
        <f t="shared" si="88"/>
        <v>288.66487031729008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266.99999999999983</v>
      </c>
      <c r="AJ108" s="13">
        <f>AI108*VLOOKUP('Données projet'!$B$10,Paramètres!$A$1:$I$89,3,0)*VLOOKUP('Données projet'!$B$10,Paramètres!$A$1:$I$89,5,0)</f>
        <v>212.42519999999985</v>
      </c>
      <c r="AK108" s="13">
        <f t="shared" si="89"/>
        <v>52.465198231787184</v>
      </c>
      <c r="AL108" s="20">
        <f t="shared" si="58"/>
        <v>461.35077692036231</v>
      </c>
      <c r="AM108" s="59">
        <f t="shared" si="59"/>
        <v>754.68411025369562</v>
      </c>
      <c r="AN108" s="59">
        <f ca="1">AVERAGE(OFFSET($AM$3,0,0,'Données projet'!$E$10+1,1))-AVERAGE(OFFSET($H$3,0,0,'Données projet'!$E$10+1,1))</f>
        <v>219.43439115440339</v>
      </c>
      <c r="AO108" s="59">
        <f t="shared" si="90"/>
        <v>217.8880462742099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17.548507374374125</v>
      </c>
      <c r="AV108" s="21">
        <f>EXP(-LN(2)/25)*AV107+(1-EXP(-LN(2)/25))/(LN(2)/25)*Calculateur!AQ108*Calculateur!AS108*VLOOKUP('Données projet'!$B$10,Paramètres!$A$1:$I$89,3,0)*0.475*44/12</f>
        <v>4.1644601074266321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21.712967481800757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190.99999999999997</v>
      </c>
      <c r="BE108" s="13">
        <f>BD108*VLOOKUP('Données projet'!$B$11,Paramètres!$A$1:$I$89,3,0)*VLOOKUP('Données projet'!$B$11,Paramètres!$A$1:$I$89,5,0)</f>
        <v>166.85759999999999</v>
      </c>
      <c r="BF108" s="13">
        <f t="shared" si="91"/>
        <v>42.385468111966098</v>
      </c>
      <c r="BG108" s="20">
        <f t="shared" si="61"/>
        <v>364.43167696167421</v>
      </c>
      <c r="BH108" s="59">
        <f t="shared" si="62"/>
        <v>657.76501029500753</v>
      </c>
      <c r="BI108" s="59">
        <f ca="1">AVERAGE(OFFSET($BH$3,0,0,'Données projet'!$E$11+1,1))-AVERAGE(OFFSET($H$3,0,0,'Données projet'!$E$11+1,1))</f>
        <v>175.73188403662408</v>
      </c>
      <c r="BJ108" s="59">
        <f t="shared" si="92"/>
        <v>152.02195399869032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8.6283444021337328</v>
      </c>
      <c r="BQ108" s="21">
        <f>EXP(-LN(2)/25)*BQ107+(1-EXP(-LN(2)/25))/(LN(2)/25)*Calculateur!BL108*Calculateur!BN108*VLOOKUP('Données projet'!$B$11,Paramètres!$A$1:$I$89,3,0)*0.475*44/12</f>
        <v>9.5123612359014942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18.140705638035229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5.0961538461538449</v>
      </c>
      <c r="BY108" s="12">
        <f>IF('Données projet'!$A$114&gt;35,BY107+BX108-CG107,IF(A108&lt;'Données projet'!$A$114,$BV$205^A108,IF(A108='Données projet'!$A$114,'Données projet'!$B$114,BY107+BX108-CG107)))</f>
        <v>205.44871794871764</v>
      </c>
      <c r="BZ108" s="13">
        <f>BY108*VLOOKUP('Données projet'!$B$12,Paramètres!$A$1:$I$89,3,0)*VLOOKUP('Données projet'!$B$12,Paramètres!$A$1:$I$89,5,0)</f>
        <v>185.8899999999997</v>
      </c>
      <c r="CA108" s="13">
        <f t="shared" si="93"/>
        <v>46.630136922287527</v>
      </c>
      <c r="CB108" s="20">
        <f t="shared" si="64"/>
        <v>404.97257180631692</v>
      </c>
      <c r="CC108" s="59">
        <f t="shared" si="65"/>
        <v>698.30590513965024</v>
      </c>
      <c r="CD108" s="59">
        <f ca="1">AVERAGE(OFFSET($CC$3,0,0,'Données projet'!$E$12+1,1))-AVERAGE(OFFSET($H$3,0,0,'Données projet'!$E$12+1,1))</f>
        <v>213.54857791046686</v>
      </c>
      <c r="CE108" s="59">
        <f t="shared" si="94"/>
        <v>138.46877538074244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30.682607843686885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30.682607843686885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213</v>
      </c>
      <c r="CU108" s="17">
        <f>CT108*VLOOKUP('Données projet'!$B$13,Paramètres!$A$1:$I$89,3,0)*VLOOKUP('Données projet'!$B$13,Paramètres!$A$1:$I$89,5,0)</f>
        <v>169.46279999999999</v>
      </c>
      <c r="CV108" s="13">
        <f t="shared" si="95"/>
        <v>42.969686502194378</v>
      </c>
      <c r="CW108" s="20">
        <f t="shared" si="67"/>
        <v>369.9865806579885</v>
      </c>
      <c r="CX108" s="59">
        <f t="shared" si="68"/>
        <v>663.31991399132176</v>
      </c>
      <c r="CY108" s="59">
        <f ca="1">AVERAGE(OFFSET($CX$3,0,0,'Données projet'!$E$13+1,1))-AVERAGE(OFFSET($H$3,0,0,'Données projet'!$E$13+1,1))</f>
        <v>161.87883827031436</v>
      </c>
      <c r="CZ108" s="59">
        <f t="shared" si="96"/>
        <v>163.02076389611869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6.8751801090101274</v>
      </c>
      <c r="DG108" s="21">
        <f>EXP(-LN(2)/25)*DG107+(1-EXP(-LN(2)/25))/(LN(2)/25)*Calculateur!DB108*Calculateur!DD108*VLOOKUP('Données projet'!$B$13,Paramètres!$A$1:$I$89,3,0)*0.475*44/12</f>
        <v>4.368913974998871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11.244094084008999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149.0000000000002</v>
      </c>
      <c r="DP108" s="17">
        <f>DO108*VLOOKUP('Données projet'!$B$14,Paramètres!$A$1:$I$89,3,0)*VLOOKUP('Données projet'!$B$14,Paramètres!$A$1:$I$89,5,0)</f>
        <v>120.86880000000016</v>
      </c>
      <c r="DQ108" s="13">
        <f t="shared" si="97"/>
        <v>31.877547472771326</v>
      </c>
      <c r="DR108" s="20">
        <f t="shared" si="70"/>
        <v>266.03322184841039</v>
      </c>
      <c r="DS108" s="59">
        <f t="shared" si="71"/>
        <v>559.36655518174371</v>
      </c>
      <c r="DT108" s="59">
        <f ca="1">AVERAGE(OFFSET($DS$3,0,0,'Données projet'!$E$14+1,1))-AVERAGE(OFFSET($H$3,0,0,'Données projet'!$E$14+1,1))</f>
        <v>96.611230241682733</v>
      </c>
      <c r="DU108" s="59">
        <f t="shared" si="98"/>
        <v>78.711045514042041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1.3288581383228291</v>
      </c>
      <c r="EB108" s="21">
        <f>EXP(-LN(2)/25)*EB107+(1-EXP(-LN(2)/25))/(LN(2)/25)*Calculateur!DW108*Calculateur!DY108*VLOOKUP('Données projet'!$B$14,Paramètres!$A$1:$I$89,3,0)*0.475*44/12</f>
        <v>4.1394871134365339</v>
      </c>
      <c r="EC108" s="21">
        <f>EXP(-LN(2)/2)*EC107+(1-EXP(-LN(2)/2))/(LN(2)/2)*DW108*DZ108*VLOOKUP('Données projet'!$B$14,Paramètres!$A$1:$I$89,3,0)*0.475*44/12</f>
        <v>7.5006370983669709E-3</v>
      </c>
      <c r="ED108" s="22">
        <f t="shared" si="72"/>
        <v>5.4758458888577302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188.61152573050066</v>
      </c>
      <c r="EP108" s="59">
        <f t="shared" si="100"/>
        <v>172.37050503841624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83.211683548645553</v>
      </c>
      <c r="EW108" s="21">
        <f>EXP(-LN(2)/25)*EW107+(1-EXP(-LN(2)/25))/(LN(2)/25)*Calculateur!ER108*Calculateur!ET108*VLOOKUP('Données projet'!$B$15,Paramètres!$A$1:$I$89,3,0)*0.475*44/12</f>
        <v>16.607822452419754</v>
      </c>
      <c r="EX108" s="21">
        <f>EXP(-LN(2)/2)*EX107+(1-EXP(-LN(2)/2))/(LN(2)/2)*ER108*EU108*VLOOKUP('Données projet'!$B$15,Paramètres!$A$1:$I$89,3,0)*0.475*44/12</f>
        <v>1.6991103254453225E-4</v>
      </c>
      <c r="EY108" s="22">
        <f t="shared" si="75"/>
        <v>99.81967591209785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0</v>
      </c>
      <c r="FK108" s="59">
        <f t="shared" si="102"/>
        <v>0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0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197.78572767493569</v>
      </c>
      <c r="T109" s="59">
        <f t="shared" si="88"/>
        <v>288.66487031729008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266.99999999999983</v>
      </c>
      <c r="AJ109" s="13">
        <f>AI109*VLOOKUP('Données projet'!$B$10,Paramètres!$A$1:$I$89,3,0)*VLOOKUP('Données projet'!$B$10,Paramètres!$A$1:$I$89,5,0)</f>
        <v>212.42519999999985</v>
      </c>
      <c r="AK109" s="13">
        <f t="shared" si="89"/>
        <v>52.465198231787184</v>
      </c>
      <c r="AL109" s="20">
        <f t="shared" si="58"/>
        <v>461.35077692036231</v>
      </c>
      <c r="AM109" s="59">
        <f t="shared" si="59"/>
        <v>754.68411025369562</v>
      </c>
      <c r="AN109" s="59">
        <f ca="1">AVERAGE(OFFSET($AM$3,0,0,'Données projet'!$E$10+1,1))-AVERAGE(OFFSET($H$3,0,0,'Données projet'!$E$10+1,1))</f>
        <v>219.43439115440339</v>
      </c>
      <c r="AO109" s="59">
        <f t="shared" si="90"/>
        <v>217.8880462742099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17.204391848295263</v>
      </c>
      <c r="AV109" s="21">
        <f>EXP(-LN(2)/25)*AV108+(1-EXP(-LN(2)/25))/(LN(2)/25)*Calculateur!AQ109*Calculateur!AS109*VLOOKUP('Données projet'!$B$10,Paramètres!$A$1:$I$89,3,0)*0.475*44/12</f>
        <v>4.050582726789612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21.254974575084873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190.99999999999997</v>
      </c>
      <c r="BE109" s="13">
        <f>BD109*VLOOKUP('Données projet'!$B$11,Paramètres!$A$1:$I$89,3,0)*VLOOKUP('Données projet'!$B$11,Paramètres!$A$1:$I$89,5,0)</f>
        <v>166.85759999999999</v>
      </c>
      <c r="BF109" s="13">
        <f t="shared" si="91"/>
        <v>42.385468111966098</v>
      </c>
      <c r="BG109" s="20">
        <f t="shared" si="61"/>
        <v>364.43167696167421</v>
      </c>
      <c r="BH109" s="59">
        <f t="shared" si="62"/>
        <v>657.76501029500753</v>
      </c>
      <c r="BI109" s="59">
        <f ca="1">AVERAGE(OFFSET($BH$3,0,0,'Données projet'!$E$11+1,1))-AVERAGE(OFFSET($H$3,0,0,'Données projet'!$E$11+1,1))</f>
        <v>175.73188403662408</v>
      </c>
      <c r="BJ109" s="59">
        <f t="shared" si="92"/>
        <v>152.02195399869032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8.4591478311783206</v>
      </c>
      <c r="BQ109" s="21">
        <f>EXP(-LN(2)/25)*BQ108+(1-EXP(-LN(2)/25))/(LN(2)/25)*Calculateur!BL109*Calculateur!BN109*VLOOKUP('Données projet'!$B$11,Paramètres!$A$1:$I$89,3,0)*0.475*44/12</f>
        <v>9.2522452176724315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17.711393048850752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5.0961538461538449</v>
      </c>
      <c r="BY109" s="12">
        <f>IF('Données projet'!$A$114&gt;35,BY108+BX109-CG108,IF(A109&lt;'Données projet'!$A$114,$BV$205^A109,IF(A109='Données projet'!$A$114,'Données projet'!$B$114,BY108+BX109-CG108)))</f>
        <v>210.54487179487148</v>
      </c>
      <c r="BZ109" s="13">
        <f>BY109*VLOOKUP('Données projet'!$B$12,Paramètres!$A$1:$I$89,3,0)*VLOOKUP('Données projet'!$B$12,Paramètres!$A$1:$I$89,5,0)</f>
        <v>190.50099999999969</v>
      </c>
      <c r="CA109" s="13">
        <f t="shared" si="93"/>
        <v>47.65069985627148</v>
      </c>
      <c r="CB109" s="20">
        <f t="shared" si="64"/>
        <v>414.78087724967219</v>
      </c>
      <c r="CC109" s="59">
        <f t="shared" si="65"/>
        <v>708.1142105830055</v>
      </c>
      <c r="CD109" s="59">
        <f ca="1">AVERAGE(OFFSET($CC$3,0,0,'Données projet'!$E$12+1,1))-AVERAGE(OFFSET($H$3,0,0,'Données projet'!$E$12+1,1))</f>
        <v>213.54857791046686</v>
      </c>
      <c r="CE109" s="59">
        <f t="shared" si="94"/>
        <v>138.46877538074244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30.080940618415063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30.080940618415063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213</v>
      </c>
      <c r="CU109" s="17">
        <f>CT109*VLOOKUP('Données projet'!$B$13,Paramètres!$A$1:$I$89,3,0)*VLOOKUP('Données projet'!$B$13,Paramètres!$A$1:$I$89,5,0)</f>
        <v>169.46279999999999</v>
      </c>
      <c r="CV109" s="13">
        <f t="shared" si="95"/>
        <v>42.969686502194378</v>
      </c>
      <c r="CW109" s="20">
        <f t="shared" si="67"/>
        <v>369.9865806579885</v>
      </c>
      <c r="CX109" s="59">
        <f t="shared" si="68"/>
        <v>663.31991399132176</v>
      </c>
      <c r="CY109" s="59">
        <f ca="1">AVERAGE(OFFSET($CX$3,0,0,'Données projet'!$E$13+1,1))-AVERAGE(OFFSET($H$3,0,0,'Données projet'!$E$13+1,1))</f>
        <v>161.87883827031436</v>
      </c>
      <c r="CZ109" s="59">
        <f t="shared" si="96"/>
        <v>163.02076389611869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6.7403620205182371</v>
      </c>
      <c r="DG109" s="21">
        <f>EXP(-LN(2)/25)*DG108+(1-EXP(-LN(2)/25))/(LN(2)/25)*Calculateur!DB109*Calculateur!DD109*VLOOKUP('Données projet'!$B$13,Paramètres!$A$1:$I$89,3,0)*0.475*44/12</f>
        <v>4.2494457926013265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10.989807813119564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149.0000000000002</v>
      </c>
      <c r="DP109" s="17">
        <f>DO109*VLOOKUP('Données projet'!$B$14,Paramètres!$A$1:$I$89,3,0)*VLOOKUP('Données projet'!$B$14,Paramètres!$A$1:$I$89,5,0)</f>
        <v>120.86880000000016</v>
      </c>
      <c r="DQ109" s="13">
        <f t="shared" si="97"/>
        <v>31.877547472771326</v>
      </c>
      <c r="DR109" s="20">
        <f t="shared" si="70"/>
        <v>266.03322184841039</v>
      </c>
      <c r="DS109" s="59">
        <f t="shared" si="71"/>
        <v>559.36655518174371</v>
      </c>
      <c r="DT109" s="59">
        <f ca="1">AVERAGE(OFFSET($DS$3,0,0,'Données projet'!$E$14+1,1))-AVERAGE(OFFSET($H$3,0,0,'Données projet'!$E$14+1,1))</f>
        <v>96.611230241682733</v>
      </c>
      <c r="DU109" s="59">
        <f t="shared" si="98"/>
        <v>78.711045514042041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1.3028000407537501</v>
      </c>
      <c r="EB109" s="21">
        <f>EXP(-LN(2)/25)*EB108+(1-EXP(-LN(2)/25))/(LN(2)/25)*Calculateur!DW109*Calculateur!DY109*VLOOKUP('Données projet'!$B$14,Paramètres!$A$1:$I$89,3,0)*0.475*44/12</f>
        <v>4.0262926206334457</v>
      </c>
      <c r="EC109" s="21">
        <f>EXP(-LN(2)/2)*EC108+(1-EXP(-LN(2)/2))/(LN(2)/2)*DW109*DZ109*VLOOKUP('Données projet'!$B$14,Paramètres!$A$1:$I$89,3,0)*0.475*44/12</f>
        <v>5.3037513554746746E-3</v>
      </c>
      <c r="ED109" s="22">
        <f t="shared" si="72"/>
        <v>5.3343964127426702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188.61152573050066</v>
      </c>
      <c r="EP109" s="59">
        <f t="shared" si="100"/>
        <v>172.37050503841624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81.579953188372031</v>
      </c>
      <c r="EW109" s="21">
        <f>EXP(-LN(2)/25)*EW108+(1-EXP(-LN(2)/25))/(LN(2)/25)*Calculateur!ER109*Calculateur!ET109*VLOOKUP('Données projet'!$B$15,Paramètres!$A$1:$I$89,3,0)*0.475*44/12</f>
        <v>16.153680674090911</v>
      </c>
      <c r="EX109" s="21">
        <f>EXP(-LN(2)/2)*EX108+(1-EXP(-LN(2)/2))/(LN(2)/2)*ER109*EU109*VLOOKUP('Données projet'!$B$15,Paramètres!$A$1:$I$89,3,0)*0.475*44/12</f>
        <v>1.2014524331064692E-4</v>
      </c>
      <c r="EY109" s="22">
        <f t="shared" si="75"/>
        <v>97.733754007706253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0</v>
      </c>
      <c r="FK109" s="59">
        <f t="shared" si="102"/>
        <v>0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0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197.78572767493569</v>
      </c>
      <c r="T110" s="59">
        <f t="shared" si="88"/>
        <v>288.66487031729008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266.99999999999983</v>
      </c>
      <c r="AJ110" s="13">
        <f>AI110*VLOOKUP('Données projet'!$B$10,Paramètres!$A$1:$I$89,3,0)*VLOOKUP('Données projet'!$B$10,Paramètres!$A$1:$I$89,5,0)</f>
        <v>212.42519999999985</v>
      </c>
      <c r="AK110" s="13">
        <f t="shared" si="89"/>
        <v>52.465198231787184</v>
      </c>
      <c r="AL110" s="20">
        <f t="shared" si="58"/>
        <v>461.35077692036231</v>
      </c>
      <c r="AM110" s="59">
        <f t="shared" si="59"/>
        <v>754.68411025369562</v>
      </c>
      <c r="AN110" s="59">
        <f ca="1">AVERAGE(OFFSET($AM$3,0,0,'Données projet'!$E$10+1,1))-AVERAGE(OFFSET($H$3,0,0,'Données projet'!$E$10+1,1))</f>
        <v>219.43439115440339</v>
      </c>
      <c r="AO110" s="59">
        <f t="shared" si="90"/>
        <v>217.8880462742099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16.867024217793059</v>
      </c>
      <c r="AV110" s="21">
        <f>EXP(-LN(2)/25)*AV109+(1-EXP(-LN(2)/25))/(LN(2)/25)*Calculateur!AQ110*Calculateur!AS110*VLOOKUP('Données projet'!$B$10,Paramètres!$A$1:$I$89,3,0)*0.475*44/12</f>
        <v>3.9398193291146621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20.806843546907722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190.99999999999997</v>
      </c>
      <c r="BE110" s="13">
        <f>BD110*VLOOKUP('Données projet'!$B$11,Paramètres!$A$1:$I$89,3,0)*VLOOKUP('Données projet'!$B$11,Paramètres!$A$1:$I$89,5,0)</f>
        <v>166.85759999999999</v>
      </c>
      <c r="BF110" s="13">
        <f t="shared" si="91"/>
        <v>42.385468111966098</v>
      </c>
      <c r="BG110" s="20">
        <f t="shared" si="61"/>
        <v>364.43167696167421</v>
      </c>
      <c r="BH110" s="59">
        <f t="shared" si="62"/>
        <v>657.76501029500753</v>
      </c>
      <c r="BI110" s="59">
        <f ca="1">AVERAGE(OFFSET($BH$3,0,0,'Données projet'!$E$11+1,1))-AVERAGE(OFFSET($H$3,0,0,'Données projet'!$E$11+1,1))</f>
        <v>175.73188403662408</v>
      </c>
      <c r="BJ110" s="59">
        <f t="shared" si="92"/>
        <v>152.02195399869032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8.2932691017796252</v>
      </c>
      <c r="BQ110" s="21">
        <f>EXP(-LN(2)/25)*BQ109+(1-EXP(-LN(2)/25))/(LN(2)/25)*Calculateur!BL110*Calculateur!BN110*VLOOKUP('Données projet'!$B$11,Paramètres!$A$1:$I$89,3,0)*0.475*44/12</f>
        <v>8.9992420856407485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17.292511187420374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5.0961538461538449</v>
      </c>
      <c r="BY110" s="12">
        <f>IF('Données projet'!$A$114&gt;35,BY109+BX110-CG109,IF(A110&lt;'Données projet'!$A$114,$BV$205^A110,IF(A110='Données projet'!$A$114,'Données projet'!$B$114,BY109+BX110-CG109)))</f>
        <v>215.64102564102532</v>
      </c>
      <c r="BZ110" s="13">
        <f>BY110*VLOOKUP('Données projet'!$B$12,Paramètres!$A$1:$I$89,3,0)*VLOOKUP('Données projet'!$B$12,Paramètres!$A$1:$I$89,5,0)</f>
        <v>195.11199999999971</v>
      </c>
      <c r="CA110" s="13">
        <f t="shared" si="93"/>
        <v>48.668391191190658</v>
      </c>
      <c r="CB110" s="20">
        <f t="shared" si="64"/>
        <v>424.58418132465653</v>
      </c>
      <c r="CC110" s="59">
        <f t="shared" si="65"/>
        <v>717.91751465798984</v>
      </c>
      <c r="CD110" s="59">
        <f ca="1">AVERAGE(OFFSET($CC$3,0,0,'Données projet'!$E$12+1,1))-AVERAGE(OFFSET($H$3,0,0,'Données projet'!$E$12+1,1))</f>
        <v>213.54857791046686</v>
      </c>
      <c r="CE110" s="59">
        <f t="shared" si="94"/>
        <v>138.46877538074244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29.491071720450051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29.491071720450051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213</v>
      </c>
      <c r="CU110" s="17">
        <f>CT110*VLOOKUP('Données projet'!$B$13,Paramètres!$A$1:$I$89,3,0)*VLOOKUP('Données projet'!$B$13,Paramètres!$A$1:$I$89,5,0)</f>
        <v>169.46279999999999</v>
      </c>
      <c r="CV110" s="13">
        <f t="shared" si="95"/>
        <v>42.969686502194378</v>
      </c>
      <c r="CW110" s="20">
        <f t="shared" si="67"/>
        <v>369.9865806579885</v>
      </c>
      <c r="CX110" s="59">
        <f t="shared" si="68"/>
        <v>663.31991399132176</v>
      </c>
      <c r="CY110" s="59">
        <f ca="1">AVERAGE(OFFSET($CX$3,0,0,'Données projet'!$E$13+1,1))-AVERAGE(OFFSET($H$3,0,0,'Données projet'!$E$13+1,1))</f>
        <v>161.87883827031436</v>
      </c>
      <c r="CZ110" s="59">
        <f t="shared" si="96"/>
        <v>163.02076389611869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6.6081876325107585</v>
      </c>
      <c r="DG110" s="21">
        <f>EXP(-LN(2)/25)*DG109+(1-EXP(-LN(2)/25))/(LN(2)/25)*Calculateur!DB110*Calculateur!DD110*VLOOKUP('Données projet'!$B$13,Paramètres!$A$1:$I$89,3,0)*0.475*44/12</f>
        <v>4.1332444739340009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10.741432106444758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149.0000000000002</v>
      </c>
      <c r="DP110" s="17">
        <f>DO110*VLOOKUP('Données projet'!$B$14,Paramètres!$A$1:$I$89,3,0)*VLOOKUP('Données projet'!$B$14,Paramètres!$A$1:$I$89,5,0)</f>
        <v>120.86880000000016</v>
      </c>
      <c r="DQ110" s="13">
        <f t="shared" si="97"/>
        <v>31.877547472771326</v>
      </c>
      <c r="DR110" s="20">
        <f t="shared" si="70"/>
        <v>266.03322184841039</v>
      </c>
      <c r="DS110" s="59">
        <f t="shared" si="71"/>
        <v>559.36655518174371</v>
      </c>
      <c r="DT110" s="59">
        <f ca="1">AVERAGE(OFFSET($DS$3,0,0,'Données projet'!$E$14+1,1))-AVERAGE(OFFSET($H$3,0,0,'Données projet'!$E$14+1,1))</f>
        <v>96.611230241682733</v>
      </c>
      <c r="DU110" s="59">
        <f t="shared" si="98"/>
        <v>78.711045514042041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1.2772529265841308</v>
      </c>
      <c r="EB110" s="21">
        <f>EXP(-LN(2)/25)*EB109+(1-EXP(-LN(2)/25))/(LN(2)/25)*Calculateur!DW110*Calculateur!DY110*VLOOKUP('Données projet'!$B$14,Paramètres!$A$1:$I$89,3,0)*0.475*44/12</f>
        <v>3.9161934371886975</v>
      </c>
      <c r="EC110" s="21">
        <f>EXP(-LN(2)/2)*EC109+(1-EXP(-LN(2)/2))/(LN(2)/2)*DW110*DZ110*VLOOKUP('Données projet'!$B$14,Paramètres!$A$1:$I$89,3,0)*0.475*44/12</f>
        <v>3.7503185491834859E-3</v>
      </c>
      <c r="ED110" s="22">
        <f t="shared" si="72"/>
        <v>5.1971966823220122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188.61152573050066</v>
      </c>
      <c r="EP110" s="59">
        <f t="shared" si="100"/>
        <v>172.37050503841624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79.980220065206225</v>
      </c>
      <c r="EW110" s="21">
        <f>EXP(-LN(2)/25)*EW109+(1-EXP(-LN(2)/25))/(LN(2)/25)*Calculateur!ER110*Calculateur!ET110*VLOOKUP('Données projet'!$B$15,Paramètres!$A$1:$I$89,3,0)*0.475*44/12</f>
        <v>15.711957426572749</v>
      </c>
      <c r="EX110" s="21">
        <f>EXP(-LN(2)/2)*EX109+(1-EXP(-LN(2)/2))/(LN(2)/2)*ER110*EU110*VLOOKUP('Données projet'!$B$15,Paramètres!$A$1:$I$89,3,0)*0.475*44/12</f>
        <v>8.4955516272266137E-5</v>
      </c>
      <c r="EY110" s="22">
        <f t="shared" si="75"/>
        <v>95.692262447295249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0</v>
      </c>
      <c r="FK110" s="59">
        <f t="shared" si="102"/>
        <v>0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0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197.78572767493569</v>
      </c>
      <c r="T111" s="59">
        <f t="shared" si="88"/>
        <v>288.66487031729008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266.99999999999983</v>
      </c>
      <c r="AJ111" s="13">
        <f>AI111*VLOOKUP('Données projet'!$B$10,Paramètres!$A$1:$I$89,3,0)*VLOOKUP('Données projet'!$B$10,Paramètres!$A$1:$I$89,5,0)</f>
        <v>212.42519999999985</v>
      </c>
      <c r="AK111" s="13">
        <f t="shared" si="89"/>
        <v>52.465198231787184</v>
      </c>
      <c r="AL111" s="20">
        <f t="shared" si="58"/>
        <v>461.35077692036231</v>
      </c>
      <c r="AM111" s="59">
        <f t="shared" si="59"/>
        <v>754.68411025369562</v>
      </c>
      <c r="AN111" s="59">
        <f ca="1">AVERAGE(OFFSET($AM$3,0,0,'Données projet'!$E$10+1,1))-AVERAGE(OFFSET($H$3,0,0,'Données projet'!$E$10+1,1))</f>
        <v>219.43439115440339</v>
      </c>
      <c r="AO111" s="59">
        <f t="shared" si="90"/>
        <v>217.8880462742099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16.536272160751068</v>
      </c>
      <c r="AV111" s="21">
        <f>EXP(-LN(2)/25)*AV110+(1-EXP(-LN(2)/25))/(LN(2)/25)*Calculateur!AQ111*Calculateur!AS111*VLOOKUP('Données projet'!$B$10,Paramètres!$A$1:$I$89,3,0)*0.475*44/12</f>
        <v>3.8320847623739276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20.368356923124995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190.99999999999997</v>
      </c>
      <c r="BE111" s="13">
        <f>BD111*VLOOKUP('Données projet'!$B$11,Paramètres!$A$1:$I$89,3,0)*VLOOKUP('Données projet'!$B$11,Paramètres!$A$1:$I$89,5,0)</f>
        <v>166.85759999999999</v>
      </c>
      <c r="BF111" s="13">
        <f t="shared" si="91"/>
        <v>42.385468111966098</v>
      </c>
      <c r="BG111" s="20">
        <f t="shared" si="61"/>
        <v>364.43167696167421</v>
      </c>
      <c r="BH111" s="59">
        <f t="shared" si="62"/>
        <v>657.76501029500753</v>
      </c>
      <c r="BI111" s="59">
        <f ca="1">AVERAGE(OFFSET($BH$3,0,0,'Données projet'!$E$11+1,1))-AVERAGE(OFFSET($H$3,0,0,'Données projet'!$E$11+1,1))</f>
        <v>175.73188403662408</v>
      </c>
      <c r="BJ111" s="59">
        <f t="shared" si="92"/>
        <v>152.02195399869032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8.1306431530884034</v>
      </c>
      <c r="BQ111" s="21">
        <f>EXP(-LN(2)/25)*BQ110+(1-EXP(-LN(2)/25))/(LN(2)/25)*Calculateur!BL111*Calculateur!BN111*VLOOKUP('Données projet'!$B$11,Paramètres!$A$1:$I$89,3,0)*0.475*44/12</f>
        <v>8.7531573375593297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16.883800490647733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5.0961538461538449</v>
      </c>
      <c r="BY111" s="12">
        <f>IF('Données projet'!$A$114&gt;35,BY110+BX111-CG110,IF(A111&lt;'Données projet'!$A$114,$BV$205^A111,IF(A111='Données projet'!$A$114,'Données projet'!$B$114,BY110+BX111-CG110)))</f>
        <v>220.73717948717916</v>
      </c>
      <c r="BZ111" s="13">
        <f>BY111*VLOOKUP('Données projet'!$B$12,Paramètres!$A$1:$I$89,3,0)*VLOOKUP('Données projet'!$B$12,Paramètres!$A$1:$I$89,5,0)</f>
        <v>199.7229999999997</v>
      </c>
      <c r="CA111" s="13">
        <f t="shared" si="93"/>
        <v>49.683286599758986</v>
      </c>
      <c r="CB111" s="20">
        <f t="shared" si="64"/>
        <v>434.38261582791301</v>
      </c>
      <c r="CC111" s="59">
        <f t="shared" si="65"/>
        <v>727.71594916124627</v>
      </c>
      <c r="CD111" s="59">
        <f ca="1">AVERAGE(OFFSET($CC$3,0,0,'Données projet'!$E$12+1,1))-AVERAGE(OFFSET($H$3,0,0,'Données projet'!$E$12+1,1))</f>
        <v>213.54857791046686</v>
      </c>
      <c r="CE111" s="59">
        <f t="shared" si="94"/>
        <v>138.46877538074244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28.912769791789628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28.912769791789628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213</v>
      </c>
      <c r="CU111" s="17">
        <f>CT111*VLOOKUP('Données projet'!$B$13,Paramètres!$A$1:$I$89,3,0)*VLOOKUP('Données projet'!$B$13,Paramètres!$A$1:$I$89,5,0)</f>
        <v>169.46279999999999</v>
      </c>
      <c r="CV111" s="13">
        <f t="shared" si="95"/>
        <v>42.969686502194378</v>
      </c>
      <c r="CW111" s="20">
        <f t="shared" si="67"/>
        <v>369.9865806579885</v>
      </c>
      <c r="CX111" s="59">
        <f t="shared" si="68"/>
        <v>663.31991399132176</v>
      </c>
      <c r="CY111" s="59">
        <f ca="1">AVERAGE(OFFSET($CX$3,0,0,'Données projet'!$E$13+1,1))-AVERAGE(OFFSET($H$3,0,0,'Données projet'!$E$13+1,1))</f>
        <v>161.87883827031436</v>
      </c>
      <c r="CZ111" s="59">
        <f t="shared" si="96"/>
        <v>163.02076389611869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6.47860510363369</v>
      </c>
      <c r="DG111" s="21">
        <f>EXP(-LN(2)/25)*DG110+(1-EXP(-LN(2)/25))/(LN(2)/25)*Calculateur!DB111*Calculateur!DD111*VLOOKUP('Données projet'!$B$13,Paramètres!$A$1:$I$89,3,0)*0.475*44/12</f>
        <v>4.020220686436395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10.498825790070086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149.0000000000002</v>
      </c>
      <c r="DP111" s="17">
        <f>DO111*VLOOKUP('Données projet'!$B$14,Paramètres!$A$1:$I$89,3,0)*VLOOKUP('Données projet'!$B$14,Paramètres!$A$1:$I$89,5,0)</f>
        <v>120.86880000000016</v>
      </c>
      <c r="DQ111" s="13">
        <f t="shared" si="97"/>
        <v>31.877547472771326</v>
      </c>
      <c r="DR111" s="20">
        <f t="shared" si="70"/>
        <v>266.03322184841039</v>
      </c>
      <c r="DS111" s="59">
        <f t="shared" si="71"/>
        <v>559.36655518174371</v>
      </c>
      <c r="DT111" s="59">
        <f ca="1">AVERAGE(OFFSET($DS$3,0,0,'Données projet'!$E$14+1,1))-AVERAGE(OFFSET($H$3,0,0,'Données projet'!$E$14+1,1))</f>
        <v>96.611230241682733</v>
      </c>
      <c r="DU111" s="59">
        <f t="shared" si="98"/>
        <v>78.711045514042041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1.2522067757411768</v>
      </c>
      <c r="EB111" s="21">
        <f>EXP(-LN(2)/25)*EB110+(1-EXP(-LN(2)/25))/(LN(2)/25)*Calculateur!DW111*Calculateur!DY111*VLOOKUP('Données projet'!$B$14,Paramètres!$A$1:$I$89,3,0)*0.475*44/12</f>
        <v>3.8091049217051105</v>
      </c>
      <c r="EC111" s="21">
        <f>EXP(-LN(2)/2)*EC110+(1-EXP(-LN(2)/2))/(LN(2)/2)*DW111*DZ111*VLOOKUP('Données projet'!$B$14,Paramètres!$A$1:$I$89,3,0)*0.475*44/12</f>
        <v>2.6518756777373378E-3</v>
      </c>
      <c r="ED111" s="22">
        <f t="shared" si="72"/>
        <v>5.0639635731240249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188.61152573050066</v>
      </c>
      <c r="EP111" s="59">
        <f t="shared" si="100"/>
        <v>172.37050503841624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78.411856732844839</v>
      </c>
      <c r="EW111" s="21">
        <f>EXP(-LN(2)/25)*EW110+(1-EXP(-LN(2)/25))/(LN(2)/25)*Calculateur!ER111*Calculateur!ET111*VLOOKUP('Données projet'!$B$15,Paramètres!$A$1:$I$89,3,0)*0.475*44/12</f>
        <v>15.282313124487185</v>
      </c>
      <c r="EX111" s="21">
        <f>EXP(-LN(2)/2)*EX110+(1-EXP(-LN(2)/2))/(LN(2)/2)*ER111*EU111*VLOOKUP('Données projet'!$B$15,Paramètres!$A$1:$I$89,3,0)*0.475*44/12</f>
        <v>6.0072621655323474E-5</v>
      </c>
      <c r="EY111" s="22">
        <f t="shared" si="75"/>
        <v>93.694229929953678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0</v>
      </c>
      <c r="FK111" s="59">
        <f t="shared" si="102"/>
        <v>0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0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197.78572767493569</v>
      </c>
      <c r="T112" s="59">
        <f t="shared" si="88"/>
        <v>288.66487031729008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266.99999999999983</v>
      </c>
      <c r="AJ112" s="13">
        <f>AI112*VLOOKUP('Données projet'!$B$10,Paramètres!$A$1:$I$89,3,0)*VLOOKUP('Données projet'!$B$10,Paramètres!$A$1:$I$89,5,0)</f>
        <v>212.42519999999985</v>
      </c>
      <c r="AK112" s="13">
        <f t="shared" si="89"/>
        <v>52.465198231787184</v>
      </c>
      <c r="AL112" s="20">
        <f t="shared" si="58"/>
        <v>461.35077692036231</v>
      </c>
      <c r="AM112" s="59">
        <f t="shared" si="59"/>
        <v>754.68411025369562</v>
      </c>
      <c r="AN112" s="59">
        <f ca="1">AVERAGE(OFFSET($AM$3,0,0,'Données projet'!$E$10+1,1))-AVERAGE(OFFSET($H$3,0,0,'Données projet'!$E$10+1,1))</f>
        <v>219.43439115440339</v>
      </c>
      <c r="AO112" s="59">
        <f t="shared" si="90"/>
        <v>217.8880462742099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16.212005949808834</v>
      </c>
      <c r="AV112" s="21">
        <f>EXP(-LN(2)/25)*AV111+(1-EXP(-LN(2)/25))/(LN(2)/25)*Calculateur!AQ112*Calculateur!AS112*VLOOKUP('Données projet'!$B$10,Paramètres!$A$1:$I$89,3,0)*0.475*44/12</f>
        <v>3.7272962030262331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19.939302152835069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190.99999999999997</v>
      </c>
      <c r="BE112" s="13">
        <f>BD112*VLOOKUP('Données projet'!$B$11,Paramètres!$A$1:$I$89,3,0)*VLOOKUP('Données projet'!$B$11,Paramètres!$A$1:$I$89,5,0)</f>
        <v>166.85759999999999</v>
      </c>
      <c r="BF112" s="13">
        <f t="shared" si="91"/>
        <v>42.385468111966098</v>
      </c>
      <c r="BG112" s="20">
        <f t="shared" si="61"/>
        <v>364.43167696167421</v>
      </c>
      <c r="BH112" s="59">
        <f t="shared" si="62"/>
        <v>657.76501029500753</v>
      </c>
      <c r="BI112" s="59">
        <f ca="1">AVERAGE(OFFSET($BH$3,0,0,'Données projet'!$E$11+1,1))-AVERAGE(OFFSET($H$3,0,0,'Données projet'!$E$11+1,1))</f>
        <v>175.73188403662408</v>
      </c>
      <c r="BJ112" s="59">
        <f t="shared" si="92"/>
        <v>152.02195399869032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7.9712062000589823</v>
      </c>
      <c r="BQ112" s="21">
        <f>EXP(-LN(2)/25)*BQ111+(1-EXP(-LN(2)/25))/(LN(2)/25)*Calculateur!BL112*Calculateur!BN112*VLOOKUP('Données projet'!$B$11,Paramètres!$A$1:$I$89,3,0)*0.475*44/12</f>
        <v>8.513801789855231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16.485007989914212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5.0961538461538449</v>
      </c>
      <c r="BY112" s="12">
        <f>IF('Données projet'!$A$114&gt;35,BY111+BX112-CG111,IF(A112&lt;'Données projet'!$A$114,$BV$205^A112,IF(A112='Données projet'!$A$114,'Données projet'!$B$114,BY111+BX112-CG111)))</f>
        <v>225.833333333333</v>
      </c>
      <c r="BZ112" s="13">
        <f>BY112*VLOOKUP('Données projet'!$B$12,Paramètres!$A$1:$I$89,3,0)*VLOOKUP('Données projet'!$B$12,Paramètres!$A$1:$I$89,5,0)</f>
        <v>204.33399999999966</v>
      </c>
      <c r="CA112" s="13">
        <f t="shared" si="93"/>
        <v>50.695458061201691</v>
      </c>
      <c r="CB112" s="20">
        <f t="shared" si="64"/>
        <v>444.17630612325894</v>
      </c>
      <c r="CC112" s="59">
        <f t="shared" si="65"/>
        <v>737.50963945659225</v>
      </c>
      <c r="CD112" s="59">
        <f ca="1">AVERAGE(OFFSET($CC$3,0,0,'Données projet'!$E$12+1,1))-AVERAGE(OFFSET($H$3,0,0,'Données projet'!$E$12+1,1))</f>
        <v>213.54857791046686</v>
      </c>
      <c r="CE112" s="59">
        <f t="shared" si="94"/>
        <v>138.46877538074244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28.345808011220889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28.345808011220889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213</v>
      </c>
      <c r="CU112" s="17">
        <f>CT112*VLOOKUP('Données projet'!$B$13,Paramètres!$A$1:$I$89,3,0)*VLOOKUP('Données projet'!$B$13,Paramètres!$A$1:$I$89,5,0)</f>
        <v>169.46279999999999</v>
      </c>
      <c r="CV112" s="13">
        <f t="shared" si="95"/>
        <v>42.969686502194378</v>
      </c>
      <c r="CW112" s="20">
        <f t="shared" si="67"/>
        <v>369.9865806579885</v>
      </c>
      <c r="CX112" s="59">
        <f t="shared" si="68"/>
        <v>663.31991399132176</v>
      </c>
      <c r="CY112" s="59">
        <f ca="1">AVERAGE(OFFSET($CX$3,0,0,'Données projet'!$E$13+1,1))-AVERAGE(OFFSET($H$3,0,0,'Données projet'!$E$13+1,1))</f>
        <v>161.87883827031436</v>
      </c>
      <c r="CZ112" s="59">
        <f t="shared" si="96"/>
        <v>163.02076389611869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6.3515636091103627</v>
      </c>
      <c r="DG112" s="21">
        <f>EXP(-LN(2)/25)*DG111+(1-EXP(-LN(2)/25))/(LN(2)/25)*Calculateur!DB112*Calculateur!DD112*VLOOKUP('Données projet'!$B$13,Paramètres!$A$1:$I$89,3,0)*0.475*44/12</f>
        <v>3.910287540351574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10.261851149461936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149.0000000000002</v>
      </c>
      <c r="DP112" s="17">
        <f>DO112*VLOOKUP('Données projet'!$B$14,Paramètres!$A$1:$I$89,3,0)*VLOOKUP('Données projet'!$B$14,Paramètres!$A$1:$I$89,5,0)</f>
        <v>120.86880000000016</v>
      </c>
      <c r="DQ112" s="13">
        <f t="shared" si="97"/>
        <v>31.877547472771326</v>
      </c>
      <c r="DR112" s="20">
        <f t="shared" si="70"/>
        <v>266.03322184841039</v>
      </c>
      <c r="DS112" s="59">
        <f t="shared" si="71"/>
        <v>559.36655518174371</v>
      </c>
      <c r="DT112" s="59">
        <f ca="1">AVERAGE(OFFSET($DS$3,0,0,'Données projet'!$E$14+1,1))-AVERAGE(OFFSET($H$3,0,0,'Données projet'!$E$14+1,1))</f>
        <v>96.611230241682733</v>
      </c>
      <c r="DU112" s="59">
        <f t="shared" si="98"/>
        <v>78.711045514042041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1.2276517646396095</v>
      </c>
      <c r="EB112" s="21">
        <f>EXP(-LN(2)/25)*EB111+(1-EXP(-LN(2)/25))/(LN(2)/25)*Calculateur!DW112*Calculateur!DY112*VLOOKUP('Données projet'!$B$14,Paramètres!$A$1:$I$89,3,0)*0.475*44/12</f>
        <v>3.7049447473089621</v>
      </c>
      <c r="EC112" s="21">
        <f>EXP(-LN(2)/2)*EC111+(1-EXP(-LN(2)/2))/(LN(2)/2)*DW112*DZ112*VLOOKUP('Données projet'!$B$14,Paramètres!$A$1:$I$89,3,0)*0.475*44/12</f>
        <v>1.8751592745917432E-3</v>
      </c>
      <c r="ED112" s="22">
        <f t="shared" si="72"/>
        <v>4.9344716712231635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188.61152573050066</v>
      </c>
      <c r="EP112" s="59">
        <f t="shared" si="100"/>
        <v>172.37050503841624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76.874248048823887</v>
      </c>
      <c r="EW112" s="21">
        <f>EXP(-LN(2)/25)*EW111+(1-EXP(-LN(2)/25))/(LN(2)/25)*Calculateur!ER112*Calculateur!ET112*VLOOKUP('Données projet'!$B$15,Paramètres!$A$1:$I$89,3,0)*0.475*44/12</f>
        <v>14.864417468436164</v>
      </c>
      <c r="EX112" s="21">
        <f>EXP(-LN(2)/2)*EX111+(1-EXP(-LN(2)/2))/(LN(2)/2)*ER112*EU112*VLOOKUP('Données projet'!$B$15,Paramètres!$A$1:$I$89,3,0)*0.475*44/12</f>
        <v>4.2477758136133076E-5</v>
      </c>
      <c r="EY112" s="22">
        <f t="shared" si="75"/>
        <v>91.738707995018189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0</v>
      </c>
      <c r="FK112" s="59">
        <f t="shared" si="102"/>
        <v>0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0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197.78572767493569</v>
      </c>
      <c r="T113" s="59">
        <f t="shared" si="88"/>
        <v>288.66487031729008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266.99999999999983</v>
      </c>
      <c r="AJ113" s="13">
        <f>AI113*VLOOKUP('Données projet'!$B$10,Paramètres!$A$1:$I$89,3,0)*VLOOKUP('Données projet'!$B$10,Paramètres!$A$1:$I$89,5,0)</f>
        <v>212.42519999999985</v>
      </c>
      <c r="AK113" s="13">
        <f t="shared" si="89"/>
        <v>52.465198231787184</v>
      </c>
      <c r="AL113" s="20">
        <f t="shared" si="58"/>
        <v>461.35077692036231</v>
      </c>
      <c r="AM113" s="59">
        <f t="shared" si="59"/>
        <v>754.68411025369562</v>
      </c>
      <c r="AN113" s="59">
        <f ca="1">AVERAGE(OFFSET($AM$3,0,0,'Données projet'!$E$10+1,1))-AVERAGE(OFFSET($H$3,0,0,'Données projet'!$E$10+1,1))</f>
        <v>219.43439115440339</v>
      </c>
      <c r="AO113" s="59">
        <f t="shared" si="90"/>
        <v>217.8880462742099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15.894098401480319</v>
      </c>
      <c r="AV113" s="21">
        <f>EXP(-LN(2)/25)*AV112+(1-EXP(-LN(2)/25))/(LN(2)/25)*Calculateur!AQ113*Calculateur!AS113*VLOOKUP('Données projet'!$B$10,Paramètres!$A$1:$I$89,3,0)*0.475*44/12</f>
        <v>3.6253730923444922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19.51947149382481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190.99999999999997</v>
      </c>
      <c r="BE113" s="13">
        <f>BD113*VLOOKUP('Données projet'!$B$11,Paramètres!$A$1:$I$89,3,0)*VLOOKUP('Données projet'!$B$11,Paramètres!$A$1:$I$89,5,0)</f>
        <v>166.85759999999999</v>
      </c>
      <c r="BF113" s="13">
        <f t="shared" si="91"/>
        <v>42.385468111966098</v>
      </c>
      <c r="BG113" s="20">
        <f t="shared" si="61"/>
        <v>364.43167696167421</v>
      </c>
      <c r="BH113" s="59">
        <f t="shared" si="62"/>
        <v>657.76501029500753</v>
      </c>
      <c r="BI113" s="59">
        <f ca="1">AVERAGE(OFFSET($BH$3,0,0,'Données projet'!$E$11+1,1))-AVERAGE(OFFSET($H$3,0,0,'Données projet'!$E$11+1,1))</f>
        <v>175.73188403662408</v>
      </c>
      <c r="BJ113" s="59">
        <f t="shared" si="92"/>
        <v>152.02195399869032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7.8148957084315294</v>
      </c>
      <c r="BQ113" s="21">
        <f>EXP(-LN(2)/25)*BQ112+(1-EXP(-LN(2)/25))/(LN(2)/25)*Calculateur!BL113*Calculateur!BN113*VLOOKUP('Données projet'!$B$11,Paramètres!$A$1:$I$89,3,0)*0.475*44/12</f>
        <v>8.2809914321902625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16.095887140621791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5.0961538461538449</v>
      </c>
      <c r="BY113" s="12">
        <f>IF('Données projet'!$A$114&gt;35,BY112+BX113-CG112,IF(A113&lt;'Données projet'!$A$114,$BV$205^A113,IF(A113='Données projet'!$A$114,'Données projet'!$B$114,BY112+BX113-CG112)))</f>
        <v>230.92948717948684</v>
      </c>
      <c r="BZ113" s="13">
        <f>BY113*VLOOKUP('Données projet'!$B$12,Paramètres!$A$1:$I$89,3,0)*VLOOKUP('Données projet'!$B$12,Paramètres!$A$1:$I$89,5,0)</f>
        <v>208.94499999999971</v>
      </c>
      <c r="CA113" s="13">
        <f t="shared" si="93"/>
        <v>51.704974120746144</v>
      </c>
      <c r="CB113" s="20">
        <f t="shared" si="64"/>
        <v>453.96537159363237</v>
      </c>
      <c r="CC113" s="59">
        <f t="shared" si="65"/>
        <v>747.29870492696568</v>
      </c>
      <c r="CD113" s="59">
        <f ca="1">AVERAGE(OFFSET($CC$3,0,0,'Données projet'!$E$12+1,1))-AVERAGE(OFFSET($H$3,0,0,'Données projet'!$E$12+1,1))</f>
        <v>213.54857791046686</v>
      </c>
      <c r="CE113" s="59">
        <f t="shared" si="94"/>
        <v>138.46877538074244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27.789964005356563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27.789964005356563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213</v>
      </c>
      <c r="CU113" s="17">
        <f>CT113*VLOOKUP('Données projet'!$B$13,Paramètres!$A$1:$I$89,3,0)*VLOOKUP('Données projet'!$B$13,Paramètres!$A$1:$I$89,5,0)</f>
        <v>169.46279999999999</v>
      </c>
      <c r="CV113" s="13">
        <f t="shared" si="95"/>
        <v>42.969686502194378</v>
      </c>
      <c r="CW113" s="20">
        <f t="shared" si="67"/>
        <v>369.9865806579885</v>
      </c>
      <c r="CX113" s="59">
        <f t="shared" si="68"/>
        <v>663.31991399132176</v>
      </c>
      <c r="CY113" s="59">
        <f ca="1">AVERAGE(OFFSET($CX$3,0,0,'Données projet'!$E$13+1,1))-AVERAGE(OFFSET($H$3,0,0,'Données projet'!$E$13+1,1))</f>
        <v>161.87883827031436</v>
      </c>
      <c r="CZ113" s="59">
        <f t="shared" si="96"/>
        <v>163.02076389611869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6.2270133208069769</v>
      </c>
      <c r="DG113" s="21">
        <f>EXP(-LN(2)/25)*DG112+(1-EXP(-LN(2)/25))/(LN(2)/25)*Calculateur!DB113*Calculateur!DD113*VLOOKUP('Données projet'!$B$13,Paramètres!$A$1:$I$89,3,0)*0.475*44/12</f>
        <v>3.8033605219275755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10.030373842734551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149.0000000000002</v>
      </c>
      <c r="DP113" s="17">
        <f>DO113*VLOOKUP('Données projet'!$B$14,Paramètres!$A$1:$I$89,3,0)*VLOOKUP('Données projet'!$B$14,Paramètres!$A$1:$I$89,5,0)</f>
        <v>120.86880000000016</v>
      </c>
      <c r="DQ113" s="13">
        <f t="shared" si="97"/>
        <v>31.877547472771326</v>
      </c>
      <c r="DR113" s="20">
        <f t="shared" si="70"/>
        <v>266.03322184841039</v>
      </c>
      <c r="DS113" s="59">
        <f t="shared" si="71"/>
        <v>559.36655518174371</v>
      </c>
      <c r="DT113" s="59">
        <f ca="1">AVERAGE(OFFSET($DS$3,0,0,'Données projet'!$E$14+1,1))-AVERAGE(OFFSET($H$3,0,0,'Données projet'!$E$14+1,1))</f>
        <v>96.611230241682733</v>
      </c>
      <c r="DU113" s="59">
        <f t="shared" si="98"/>
        <v>78.711045514042041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1.2035782623286659</v>
      </c>
      <c r="EB113" s="21">
        <f>EXP(-LN(2)/25)*EB112+(1-EXP(-LN(2)/25))/(LN(2)/25)*Calculateur!DW113*Calculateur!DY113*VLOOKUP('Données projet'!$B$14,Paramètres!$A$1:$I$89,3,0)*0.475*44/12</f>
        <v>3.6036328383592222</v>
      </c>
      <c r="EC113" s="21">
        <f>EXP(-LN(2)/2)*EC112+(1-EXP(-LN(2)/2))/(LN(2)/2)*DW113*DZ113*VLOOKUP('Données projet'!$B$14,Paramètres!$A$1:$I$89,3,0)*0.475*44/12</f>
        <v>1.3259378388686691E-3</v>
      </c>
      <c r="ED113" s="22">
        <f t="shared" si="72"/>
        <v>4.8085370385267563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188.61152573050066</v>
      </c>
      <c r="EP113" s="59">
        <f t="shared" si="100"/>
        <v>172.37050503841624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75.366790933247884</v>
      </c>
      <c r="EW113" s="21">
        <f>EXP(-LN(2)/25)*EW112+(1-EXP(-LN(2)/25))/(LN(2)/25)*Calculateur!ER113*Calculateur!ET113*VLOOKUP('Données projet'!$B$15,Paramètres!$A$1:$I$89,3,0)*0.475*44/12</f>
        <v>14.457949191076036</v>
      </c>
      <c r="EX113" s="21">
        <f>EXP(-LN(2)/2)*EX112+(1-EXP(-LN(2)/2))/(LN(2)/2)*ER113*EU113*VLOOKUP('Données projet'!$B$15,Paramètres!$A$1:$I$89,3,0)*0.475*44/12</f>
        <v>3.0036310827661741E-5</v>
      </c>
      <c r="EY113" s="22">
        <f t="shared" si="75"/>
        <v>89.824770160634756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0</v>
      </c>
      <c r="FK113" s="59">
        <f t="shared" si="102"/>
        <v>0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0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197.78572767493569</v>
      </c>
      <c r="T114" s="59">
        <f t="shared" si="88"/>
        <v>288.66487031729008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266.99999999999983</v>
      </c>
      <c r="AJ114" s="13">
        <f>AI114*VLOOKUP('Données projet'!$B$10,Paramètres!$A$1:$I$89,3,0)*VLOOKUP('Données projet'!$B$10,Paramètres!$A$1:$I$89,5,0)</f>
        <v>212.42519999999985</v>
      </c>
      <c r="AK114" s="13">
        <f t="shared" si="89"/>
        <v>52.465198231787184</v>
      </c>
      <c r="AL114" s="20">
        <f t="shared" si="58"/>
        <v>461.35077692036231</v>
      </c>
      <c r="AM114" s="59">
        <f t="shared" si="59"/>
        <v>754.68411025369562</v>
      </c>
      <c r="AN114" s="59">
        <f ca="1">AVERAGE(OFFSET($AM$3,0,0,'Données projet'!$E$10+1,1))-AVERAGE(OFFSET($H$3,0,0,'Données projet'!$E$10+1,1))</f>
        <v>219.43439115440339</v>
      </c>
      <c r="AO114" s="59">
        <f t="shared" si="90"/>
        <v>217.8880462742099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15.582424826270067</v>
      </c>
      <c r="AV114" s="21">
        <f>EXP(-LN(2)/25)*AV113+(1-EXP(-LN(2)/25))/(LN(2)/25)*Calculateur!AQ114*Calculateur!AS114*VLOOKUP('Données projet'!$B$10,Paramètres!$A$1:$I$89,3,0)*0.475*44/12</f>
        <v>3.5262370744842473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19.108661900754313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190.99999999999997</v>
      </c>
      <c r="BE114" s="13">
        <f>BD114*VLOOKUP('Données projet'!$B$11,Paramètres!$A$1:$I$89,3,0)*VLOOKUP('Données projet'!$B$11,Paramètres!$A$1:$I$89,5,0)</f>
        <v>166.85759999999999</v>
      </c>
      <c r="BF114" s="13">
        <f t="shared" si="91"/>
        <v>42.385468111966098</v>
      </c>
      <c r="BG114" s="20">
        <f t="shared" si="61"/>
        <v>364.43167696167421</v>
      </c>
      <c r="BH114" s="59">
        <f t="shared" si="62"/>
        <v>657.76501029500753</v>
      </c>
      <c r="BI114" s="59">
        <f ca="1">AVERAGE(OFFSET($BH$3,0,0,'Données projet'!$E$11+1,1))-AVERAGE(OFFSET($H$3,0,0,'Données projet'!$E$11+1,1))</f>
        <v>175.73188403662408</v>
      </c>
      <c r="BJ114" s="59">
        <f t="shared" si="92"/>
        <v>152.02195399869032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7.6616503702049048</v>
      </c>
      <c r="BQ114" s="21">
        <f>EXP(-LN(2)/25)*BQ113+(1-EXP(-LN(2)/25))/(LN(2)/25)*Calculateur!BL114*Calculateur!BN114*VLOOKUP('Données projet'!$B$11,Paramètres!$A$1:$I$89,3,0)*0.475*44/12</f>
        <v>8.0545472859986074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15.716197656203512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5.0961538461538449</v>
      </c>
      <c r="BY114" s="12">
        <f>IF('Données projet'!$A$114&gt;35,BY113+BX114-CG113,IF(A114&lt;'Données projet'!$A$114,$BV$205^A114,IF(A114='Données projet'!$A$114,'Données projet'!$B$114,BY113+BX114-CG113)))</f>
        <v>236.02564102564068</v>
      </c>
      <c r="BZ114" s="13">
        <f>BY114*VLOOKUP('Données projet'!$B$12,Paramètres!$A$1:$I$89,3,0)*VLOOKUP('Données projet'!$B$12,Paramètres!$A$1:$I$89,5,0)</f>
        <v>213.5559999999997</v>
      </c>
      <c r="CA114" s="13">
        <f t="shared" si="93"/>
        <v>52.71190012556103</v>
      </c>
      <c r="CB114" s="20">
        <f t="shared" si="64"/>
        <v>463.74992605201828</v>
      </c>
      <c r="CC114" s="59">
        <f t="shared" si="65"/>
        <v>757.08325938535154</v>
      </c>
      <c r="CD114" s="59">
        <f ca="1">AVERAGE(OFFSET($CC$3,0,0,'Données projet'!$E$12+1,1))-AVERAGE(OFFSET($H$3,0,0,'Données projet'!$E$12+1,1))</f>
        <v>213.54857791046686</v>
      </c>
      <c r="CE114" s="59">
        <f t="shared" si="94"/>
        <v>138.46877538074244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27.245019761415872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27.245019761415872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213</v>
      </c>
      <c r="CU114" s="17">
        <f>CT114*VLOOKUP('Données projet'!$B$13,Paramètres!$A$1:$I$89,3,0)*VLOOKUP('Données projet'!$B$13,Paramètres!$A$1:$I$89,5,0)</f>
        <v>169.46279999999999</v>
      </c>
      <c r="CV114" s="13">
        <f t="shared" si="95"/>
        <v>42.969686502194378</v>
      </c>
      <c r="CW114" s="20">
        <f t="shared" si="67"/>
        <v>369.9865806579885</v>
      </c>
      <c r="CX114" s="59">
        <f t="shared" si="68"/>
        <v>663.31991399132176</v>
      </c>
      <c r="CY114" s="59">
        <f ca="1">AVERAGE(OFFSET($CX$3,0,0,'Données projet'!$E$13+1,1))-AVERAGE(OFFSET($H$3,0,0,'Données projet'!$E$13+1,1))</f>
        <v>161.87883827031436</v>
      </c>
      <c r="CZ114" s="59">
        <f t="shared" si="96"/>
        <v>163.02076389611869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6.1049053876890467</v>
      </c>
      <c r="DG114" s="21">
        <f>EXP(-LN(2)/25)*DG113+(1-EXP(-LN(2)/25))/(LN(2)/25)*Calculateur!DB114*Calculateur!DD114*VLOOKUP('Données projet'!$B$13,Paramètres!$A$1:$I$89,3,0)*0.475*44/12</f>
        <v>3.6993574284454289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9.8042628161344751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149.0000000000002</v>
      </c>
      <c r="DP114" s="17">
        <f>DO114*VLOOKUP('Données projet'!$B$14,Paramètres!$A$1:$I$89,3,0)*VLOOKUP('Données projet'!$B$14,Paramètres!$A$1:$I$89,5,0)</f>
        <v>120.86880000000016</v>
      </c>
      <c r="DQ114" s="13">
        <f t="shared" si="97"/>
        <v>31.877547472771326</v>
      </c>
      <c r="DR114" s="20">
        <f t="shared" si="70"/>
        <v>266.03322184841039</v>
      </c>
      <c r="DS114" s="59">
        <f t="shared" si="71"/>
        <v>559.36655518174371</v>
      </c>
      <c r="DT114" s="59">
        <f ca="1">AVERAGE(OFFSET($DS$3,0,0,'Données projet'!$E$14+1,1))-AVERAGE(OFFSET($H$3,0,0,'Données projet'!$E$14+1,1))</f>
        <v>96.611230241682733</v>
      </c>
      <c r="DU114" s="59">
        <f t="shared" si="98"/>
        <v>78.711045514042041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1.1799768267146535</v>
      </c>
      <c r="EB114" s="21">
        <f>EXP(-LN(2)/25)*EB113+(1-EXP(-LN(2)/25))/(LN(2)/25)*Calculateur!DW114*Calculateur!DY114*VLOOKUP('Données projet'!$B$14,Paramètres!$A$1:$I$89,3,0)*0.475*44/12</f>
        <v>3.5050913088874744</v>
      </c>
      <c r="EC114" s="21">
        <f>EXP(-LN(2)/2)*EC113+(1-EXP(-LN(2)/2))/(LN(2)/2)*DW114*DZ114*VLOOKUP('Données projet'!$B$14,Paramètres!$A$1:$I$89,3,0)*0.475*44/12</f>
        <v>9.375796372958718E-4</v>
      </c>
      <c r="ED114" s="22">
        <f t="shared" si="72"/>
        <v>4.6860057152394239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188.61152573050066</v>
      </c>
      <c r="EP114" s="59">
        <f t="shared" si="100"/>
        <v>172.37050503841624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73.888894132250286</v>
      </c>
      <c r="EW114" s="21">
        <f>EXP(-LN(2)/25)*EW113+(1-EXP(-LN(2)/25))/(LN(2)/25)*Calculateur!ER114*Calculateur!ET114*VLOOKUP('Données projet'!$B$15,Paramètres!$A$1:$I$89,3,0)*0.475*44/12</f>
        <v>14.062595810135559</v>
      </c>
      <c r="EX114" s="21">
        <f>EXP(-LN(2)/2)*EX113+(1-EXP(-LN(2)/2))/(LN(2)/2)*ER114*EU114*VLOOKUP('Données projet'!$B$15,Paramètres!$A$1:$I$89,3,0)*0.475*44/12</f>
        <v>2.1238879068066541E-5</v>
      </c>
      <c r="EY114" s="22">
        <f t="shared" si="75"/>
        <v>87.95151118126492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0</v>
      </c>
      <c r="FK114" s="59">
        <f t="shared" si="102"/>
        <v>0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0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197.78572767493569</v>
      </c>
      <c r="T115" s="59">
        <f t="shared" si="88"/>
        <v>288.66487031729008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266.99999999999983</v>
      </c>
      <c r="AJ115" s="13">
        <f>AI115*VLOOKUP('Données projet'!$B$10,Paramètres!$A$1:$I$89,3,0)*VLOOKUP('Données projet'!$B$10,Paramètres!$A$1:$I$89,5,0)</f>
        <v>212.42519999999985</v>
      </c>
      <c r="AK115" s="13">
        <f t="shared" si="89"/>
        <v>52.465198231787184</v>
      </c>
      <c r="AL115" s="20">
        <f t="shared" si="58"/>
        <v>461.35077692036231</v>
      </c>
      <c r="AM115" s="59">
        <f t="shared" si="59"/>
        <v>754.68411025369562</v>
      </c>
      <c r="AN115" s="59">
        <f ca="1">AVERAGE(OFFSET($AM$3,0,0,'Données projet'!$E$10+1,1))-AVERAGE(OFFSET($H$3,0,0,'Données projet'!$E$10+1,1))</f>
        <v>219.43439115440339</v>
      </c>
      <c r="AO115" s="59">
        <f t="shared" si="90"/>
        <v>217.8880462742099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15.276862979767579</v>
      </c>
      <c r="AV115" s="21">
        <f>EXP(-LN(2)/25)*AV114+(1-EXP(-LN(2)/25))/(LN(2)/25)*Calculateur!AQ115*Calculateur!AS115*VLOOKUP('Données projet'!$B$10,Paramètres!$A$1:$I$89,3,0)*0.475*44/12</f>
        <v>3.4298119362457271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18.706674916013306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190.99999999999997</v>
      </c>
      <c r="BE115" s="13">
        <f>BD115*VLOOKUP('Données projet'!$B$11,Paramètres!$A$1:$I$89,3,0)*VLOOKUP('Données projet'!$B$11,Paramètres!$A$1:$I$89,5,0)</f>
        <v>166.85759999999999</v>
      </c>
      <c r="BF115" s="13">
        <f t="shared" si="91"/>
        <v>42.385468111966098</v>
      </c>
      <c r="BG115" s="20">
        <f t="shared" si="61"/>
        <v>364.43167696167421</v>
      </c>
      <c r="BH115" s="59">
        <f t="shared" si="62"/>
        <v>657.76501029500753</v>
      </c>
      <c r="BI115" s="59">
        <f ca="1">AVERAGE(OFFSET($BH$3,0,0,'Données projet'!$E$11+1,1))-AVERAGE(OFFSET($H$3,0,0,'Données projet'!$E$11+1,1))</f>
        <v>175.73188403662408</v>
      </c>
      <c r="BJ115" s="59">
        <f t="shared" si="92"/>
        <v>152.02195399869032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7.5114100795904779</v>
      </c>
      <c r="BQ115" s="21">
        <f>EXP(-LN(2)/25)*BQ114+(1-EXP(-LN(2)/25))/(LN(2)/25)*Calculateur!BL115*Calculateur!BN115*VLOOKUP('Données projet'!$B$11,Paramètres!$A$1:$I$89,3,0)*0.475*44/12</f>
        <v>7.8342952668927426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15.345705346483221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5.0961538461538449</v>
      </c>
      <c r="BY115" s="12">
        <f>IF('Données projet'!$A$114&gt;35,BY114+BX115-CG114,IF(A115&lt;'Données projet'!$A$114,$BV$205^A115,IF(A115='Données projet'!$A$114,'Données projet'!$B$114,BY114+BX115-CG114)))</f>
        <v>241.12179487179452</v>
      </c>
      <c r="BZ115" s="13">
        <f>BY115*VLOOKUP('Données projet'!$B$12,Paramètres!$A$1:$I$89,3,0)*VLOOKUP('Données projet'!$B$12,Paramètres!$A$1:$I$89,5,0)</f>
        <v>218.16699999999966</v>
      </c>
      <c r="CA115" s="13">
        <f t="shared" si="93"/>
        <v>53.716298439743952</v>
      </c>
      <c r="CB115" s="20">
        <f t="shared" si="64"/>
        <v>473.53007811588674</v>
      </c>
      <c r="CC115" s="59">
        <f t="shared" si="65"/>
        <v>766.86341144922005</v>
      </c>
      <c r="CD115" s="59">
        <f ca="1">AVERAGE(OFFSET($CC$3,0,0,'Données projet'!$E$12+1,1))-AVERAGE(OFFSET($H$3,0,0,'Données projet'!$E$12+1,1))</f>
        <v>213.54857791046686</v>
      </c>
      <c r="CE115" s="59">
        <f t="shared" si="94"/>
        <v>138.46877538074244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26.710761541715687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26.710761541715687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213</v>
      </c>
      <c r="CU115" s="17">
        <f>CT115*VLOOKUP('Données projet'!$B$13,Paramètres!$A$1:$I$89,3,0)*VLOOKUP('Données projet'!$B$13,Paramètres!$A$1:$I$89,5,0)</f>
        <v>169.46279999999999</v>
      </c>
      <c r="CV115" s="13">
        <f t="shared" si="95"/>
        <v>42.969686502194378</v>
      </c>
      <c r="CW115" s="20">
        <f t="shared" si="67"/>
        <v>369.9865806579885</v>
      </c>
      <c r="CX115" s="59">
        <f t="shared" si="68"/>
        <v>663.31991399132176</v>
      </c>
      <c r="CY115" s="59">
        <f ca="1">AVERAGE(OFFSET($CX$3,0,0,'Données projet'!$E$13+1,1))-AVERAGE(OFFSET($H$3,0,0,'Données projet'!$E$13+1,1))</f>
        <v>161.87883827031436</v>
      </c>
      <c r="CZ115" s="59">
        <f t="shared" si="96"/>
        <v>163.02076389611869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5.9851919166610736</v>
      </c>
      <c r="DG115" s="21">
        <f>EXP(-LN(2)/25)*DG114+(1-EXP(-LN(2)/25))/(LN(2)/25)*Calculateur!DB115*Calculateur!DD115*VLOOKUP('Données projet'!$B$13,Paramètres!$A$1:$I$89,3,0)*0.475*44/12</f>
        <v>3.5981983050238364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9.5833902216849101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149.0000000000002</v>
      </c>
      <c r="DP115" s="17">
        <f>DO115*VLOOKUP('Données projet'!$B$14,Paramètres!$A$1:$I$89,3,0)*VLOOKUP('Données projet'!$B$14,Paramètres!$A$1:$I$89,5,0)</f>
        <v>120.86880000000016</v>
      </c>
      <c r="DQ115" s="13">
        <f t="shared" si="97"/>
        <v>31.877547472771326</v>
      </c>
      <c r="DR115" s="20">
        <f t="shared" si="70"/>
        <v>266.03322184841039</v>
      </c>
      <c r="DS115" s="59">
        <f t="shared" si="71"/>
        <v>559.36655518174371</v>
      </c>
      <c r="DT115" s="59">
        <f ca="1">AVERAGE(OFFSET($DS$3,0,0,'Données projet'!$E$14+1,1))-AVERAGE(OFFSET($H$3,0,0,'Données projet'!$E$14+1,1))</f>
        <v>96.611230241682733</v>
      </c>
      <c r="DU115" s="59">
        <f t="shared" si="98"/>
        <v>78.711045514042041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1.1568382008575775</v>
      </c>
      <c r="EB115" s="21">
        <f>EXP(-LN(2)/25)*EB114+(1-EXP(-LN(2)/25))/(LN(2)/25)*Calculateur!DW115*Calculateur!DY115*VLOOKUP('Données projet'!$B$14,Paramètres!$A$1:$I$89,3,0)*0.475*44/12</f>
        <v>3.4092444027212054</v>
      </c>
      <c r="EC115" s="21">
        <f>EXP(-LN(2)/2)*EC114+(1-EXP(-LN(2)/2))/(LN(2)/2)*DW115*DZ115*VLOOKUP('Données projet'!$B$14,Paramètres!$A$1:$I$89,3,0)*0.475*44/12</f>
        <v>6.6296891943433466E-4</v>
      </c>
      <c r="ED115" s="22">
        <f t="shared" si="72"/>
        <v>4.5667455724982178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188.61152573050066</v>
      </c>
      <c r="EP115" s="59">
        <f t="shared" si="100"/>
        <v>172.37050503841624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72.439977986092202</v>
      </c>
      <c r="EW115" s="21">
        <f>EXP(-LN(2)/25)*EW114+(1-EXP(-LN(2)/25))/(LN(2)/25)*Calculateur!ER115*Calculateur!ET115*VLOOKUP('Données projet'!$B$15,Paramètres!$A$1:$I$89,3,0)*0.475*44/12</f>
        <v>13.678053388187628</v>
      </c>
      <c r="EX115" s="21">
        <f>EXP(-LN(2)/2)*EX114+(1-EXP(-LN(2)/2))/(LN(2)/2)*ER115*EU115*VLOOKUP('Données projet'!$B$15,Paramètres!$A$1:$I$89,3,0)*0.475*44/12</f>
        <v>1.5018155413830874E-5</v>
      </c>
      <c r="EY115" s="22">
        <f t="shared" si="75"/>
        <v>86.118046392435247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0</v>
      </c>
      <c r="FK115" s="59">
        <f t="shared" si="102"/>
        <v>0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0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197.78572767493569</v>
      </c>
      <c r="T116" s="59">
        <f t="shared" si="88"/>
        <v>288.66487031729008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266.99999999999983</v>
      </c>
      <c r="AJ116" s="13">
        <f>AI116*VLOOKUP('Données projet'!$B$10,Paramètres!$A$1:$I$89,3,0)*VLOOKUP('Données projet'!$B$10,Paramètres!$A$1:$I$89,5,0)</f>
        <v>212.42519999999985</v>
      </c>
      <c r="AK116" s="13">
        <f t="shared" si="89"/>
        <v>52.465198231787184</v>
      </c>
      <c r="AL116" s="20">
        <f t="shared" si="58"/>
        <v>461.35077692036231</v>
      </c>
      <c r="AM116" s="59">
        <f t="shared" si="59"/>
        <v>754.68411025369562</v>
      </c>
      <c r="AN116" s="59">
        <f ca="1">AVERAGE(OFFSET($AM$3,0,0,'Données projet'!$E$10+1,1))-AVERAGE(OFFSET($H$3,0,0,'Données projet'!$E$10+1,1))</f>
        <v>219.43439115440339</v>
      </c>
      <c r="AO116" s="59">
        <f t="shared" si="90"/>
        <v>217.8880462742099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14.977293014700681</v>
      </c>
      <c r="AV116" s="21">
        <f>EXP(-LN(2)/25)*AV115+(1-EXP(-LN(2)/25))/(LN(2)/25)*Calculateur!AQ116*Calculateur!AS116*VLOOKUP('Données projet'!$B$10,Paramètres!$A$1:$I$89,3,0)*0.475*44/12</f>
        <v>3.3360235484831171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18.313316563183797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190.99999999999997</v>
      </c>
      <c r="BE116" s="13">
        <f>BD116*VLOOKUP('Données projet'!$B$11,Paramètres!$A$1:$I$89,3,0)*VLOOKUP('Données projet'!$B$11,Paramètres!$A$1:$I$89,5,0)</f>
        <v>166.85759999999999</v>
      </c>
      <c r="BF116" s="13">
        <f t="shared" si="91"/>
        <v>42.385468111966098</v>
      </c>
      <c r="BG116" s="20">
        <f t="shared" si="61"/>
        <v>364.43167696167421</v>
      </c>
      <c r="BH116" s="59">
        <f t="shared" si="62"/>
        <v>657.76501029500753</v>
      </c>
      <c r="BI116" s="59">
        <f ca="1">AVERAGE(OFFSET($BH$3,0,0,'Données projet'!$E$11+1,1))-AVERAGE(OFFSET($H$3,0,0,'Données projet'!$E$11+1,1))</f>
        <v>175.73188403662408</v>
      </c>
      <c r="BJ116" s="59">
        <f t="shared" si="92"/>
        <v>152.02195399869032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7.3641159094374711</v>
      </c>
      <c r="BQ116" s="21">
        <f>EXP(-LN(2)/25)*BQ115+(1-EXP(-LN(2)/25))/(LN(2)/25)*Calculateur!BL116*Calculateur!BN116*VLOOKUP('Données projet'!$B$11,Paramètres!$A$1:$I$89,3,0)*0.475*44/12</f>
        <v>7.6200660508318778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14.98418196026935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246.21794871794873</v>
      </c>
      <c r="BW116" s="12">
        <f>VLOOKUP(A116,'Données projet'!$A$113:$I$133,9,0)</f>
        <v>5.0961538461538449</v>
      </c>
      <c r="BX116" s="12">
        <f t="array" ref="BX116">INDEX(BW:BW,MIN(IF(ISNUMBER(BW116:BW312),ROW(BW116:BW312),"")))</f>
        <v>5.0961538461538449</v>
      </c>
      <c r="BY116" s="12">
        <f>IF('Données projet'!$A$114&gt;35,BY115+BX116-CG115,IF(A116&lt;'Données projet'!$A$114,$BV$205^A116,IF(A116='Données projet'!$A$114,'Données projet'!$B$114,BY115+BX116-CG115)))</f>
        <v>246.21794871794836</v>
      </c>
      <c r="BZ116" s="13">
        <f>BY116*VLOOKUP('Données projet'!$B$12,Paramètres!$A$1:$I$89,3,0)*VLOOKUP('Données projet'!$B$12,Paramètres!$A$1:$I$89,5,0)</f>
        <v>222.77799999999965</v>
      </c>
      <c r="CA116" s="13">
        <f t="shared" si="93"/>
        <v>54.718228640620396</v>
      </c>
      <c r="CB116" s="20">
        <f t="shared" si="64"/>
        <v>483.30593154907984</v>
      </c>
      <c r="CC116" s="59">
        <f t="shared" si="65"/>
        <v>776.63926488241316</v>
      </c>
      <c r="CD116" s="59">
        <f ca="1">AVERAGE(OFFSET($CC$3,0,0,'Données projet'!$E$12+1,1))-AVERAGE(OFFSET($H$3,0,0,'Données projet'!$E$12+1,1))</f>
        <v>213.54857791046686</v>
      </c>
      <c r="CE116" s="59">
        <f t="shared" si="94"/>
        <v>138.46877538074244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31.602564102564099</v>
      </c>
      <c r="CH116" s="16">
        <f>IF(ISNA(VLOOKUP(A116,'Données projet'!$A$113:$I$133,5,0)),0%,VLOOKUP(A116,'Données projet'!$A$113:$I$133,5,0)*VLOOKUP('Données projet'!$B$12,Paramètres!$A$1:$I$89,7,0))</f>
        <v>0.30099999999999999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35.701535629580405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35.701535629580405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213</v>
      </c>
      <c r="CU116" s="17">
        <f>CT116*VLOOKUP('Données projet'!$B$13,Paramètres!$A$1:$I$89,3,0)*VLOOKUP('Données projet'!$B$13,Paramètres!$A$1:$I$89,5,0)</f>
        <v>169.46279999999999</v>
      </c>
      <c r="CV116" s="13">
        <f t="shared" si="95"/>
        <v>42.969686502194378</v>
      </c>
      <c r="CW116" s="20">
        <f t="shared" si="67"/>
        <v>369.9865806579885</v>
      </c>
      <c r="CX116" s="59">
        <f t="shared" si="68"/>
        <v>663.31991399132176</v>
      </c>
      <c r="CY116" s="59">
        <f ca="1">AVERAGE(OFFSET($CX$3,0,0,'Données projet'!$E$13+1,1))-AVERAGE(OFFSET($H$3,0,0,'Données projet'!$E$13+1,1))</f>
        <v>161.87883827031436</v>
      </c>
      <c r="CZ116" s="59">
        <f t="shared" si="96"/>
        <v>163.02076389611869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5.8678259537819519</v>
      </c>
      <c r="DG116" s="21">
        <f>EXP(-LN(2)/25)*DG115+(1-EXP(-LN(2)/25))/(LN(2)/25)*Calculateur!DB116*Calculateur!DD116*VLOOKUP('Données projet'!$B$13,Paramètres!$A$1:$I$89,3,0)*0.475*44/12</f>
        <v>3.4998053831519345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9.3676313369338864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149.0000000000002</v>
      </c>
      <c r="DP116" s="17">
        <f>DO116*VLOOKUP('Données projet'!$B$14,Paramètres!$A$1:$I$89,3,0)*VLOOKUP('Données projet'!$B$14,Paramètres!$A$1:$I$89,5,0)</f>
        <v>120.86880000000016</v>
      </c>
      <c r="DQ116" s="13">
        <f t="shared" si="97"/>
        <v>31.877547472771326</v>
      </c>
      <c r="DR116" s="20">
        <f t="shared" si="70"/>
        <v>266.03322184841039</v>
      </c>
      <c r="DS116" s="59">
        <f t="shared" si="71"/>
        <v>559.36655518174371</v>
      </c>
      <c r="DT116" s="59">
        <f ca="1">AVERAGE(OFFSET($DS$3,0,0,'Données projet'!$E$14+1,1))-AVERAGE(OFFSET($H$3,0,0,'Données projet'!$E$14+1,1))</f>
        <v>96.611230241682733</v>
      </c>
      <c r="DU116" s="59">
        <f t="shared" si="98"/>
        <v>78.711045514042041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1.1341533093403906</v>
      </c>
      <c r="EB116" s="21">
        <f>EXP(-LN(2)/25)*EB115+(1-EXP(-LN(2)/25))/(LN(2)/25)*Calculateur!DW116*Calculateur!DY116*VLOOKUP('Données projet'!$B$14,Paramètres!$A$1:$I$89,3,0)*0.475*44/12</f>
        <v>3.3160184352444229</v>
      </c>
      <c r="EC116" s="21">
        <f>EXP(-LN(2)/2)*EC115+(1-EXP(-LN(2)/2))/(LN(2)/2)*DW116*DZ116*VLOOKUP('Données projet'!$B$14,Paramètres!$A$1:$I$89,3,0)*0.475*44/12</f>
        <v>4.6878981864793595E-4</v>
      </c>
      <c r="ED116" s="22">
        <f t="shared" si="72"/>
        <v>4.450640534403461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188.61152573050066</v>
      </c>
      <c r="EP116" s="59">
        <f t="shared" si="100"/>
        <v>172.37050503841624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71.019474201808691</v>
      </c>
      <c r="EW116" s="21">
        <f>EXP(-LN(2)/25)*EW115+(1-EXP(-LN(2)/25))/(LN(2)/25)*Calculateur!ER116*Calculateur!ET116*VLOOKUP('Données projet'!$B$15,Paramètres!$A$1:$I$89,3,0)*0.475*44/12</f>
        <v>13.304026298990072</v>
      </c>
      <c r="EX116" s="21">
        <f>EXP(-LN(2)/2)*EX115+(1-EXP(-LN(2)/2))/(LN(2)/2)*ER116*EU116*VLOOKUP('Données projet'!$B$15,Paramètres!$A$1:$I$89,3,0)*0.475*44/12</f>
        <v>1.0619439534033272E-5</v>
      </c>
      <c r="EY116" s="22">
        <f t="shared" si="75"/>
        <v>84.323511120238294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0</v>
      </c>
      <c r="FK116" s="59">
        <f t="shared" si="102"/>
        <v>0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0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197.78572767493569</v>
      </c>
      <c r="T117" s="59">
        <f t="shared" si="88"/>
        <v>288.66487031729008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266.99999999999983</v>
      </c>
      <c r="AJ117" s="13">
        <f>AI117*VLOOKUP('Données projet'!$B$10,Paramètres!$A$1:$I$89,3,0)*VLOOKUP('Données projet'!$B$10,Paramètres!$A$1:$I$89,5,0)</f>
        <v>212.42519999999985</v>
      </c>
      <c r="AK117" s="13">
        <f t="shared" si="89"/>
        <v>52.465198231787184</v>
      </c>
      <c r="AL117" s="20">
        <f t="shared" si="58"/>
        <v>461.35077692036231</v>
      </c>
      <c r="AM117" s="59">
        <f t="shared" si="59"/>
        <v>754.68411025369562</v>
      </c>
      <c r="AN117" s="59">
        <f ca="1">AVERAGE(OFFSET($AM$3,0,0,'Données projet'!$E$10+1,1))-AVERAGE(OFFSET($H$3,0,0,'Données projet'!$E$10+1,1))</f>
        <v>219.43439115440339</v>
      </c>
      <c r="AO117" s="59">
        <f t="shared" si="90"/>
        <v>217.8880462742099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14.683597433929108</v>
      </c>
      <c r="AV117" s="21">
        <f>EXP(-LN(2)/25)*AV116+(1-EXP(-LN(2)/25))/(LN(2)/25)*Calculateur!AQ117*Calculateur!AS117*VLOOKUP('Données projet'!$B$10,Paramètres!$A$1:$I$89,3,0)*0.475*44/12</f>
        <v>3.2447998091159924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17.928397243045101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190.99999999999997</v>
      </c>
      <c r="BE117" s="13">
        <f>BD117*VLOOKUP('Données projet'!$B$11,Paramètres!$A$1:$I$89,3,0)*VLOOKUP('Données projet'!$B$11,Paramètres!$A$1:$I$89,5,0)</f>
        <v>166.85759999999999</v>
      </c>
      <c r="BF117" s="13">
        <f t="shared" si="91"/>
        <v>42.385468111966098</v>
      </c>
      <c r="BG117" s="20">
        <f t="shared" si="61"/>
        <v>364.43167696167421</v>
      </c>
      <c r="BH117" s="59">
        <f t="shared" si="62"/>
        <v>657.76501029500753</v>
      </c>
      <c r="BI117" s="59">
        <f ca="1">AVERAGE(OFFSET($BH$3,0,0,'Données projet'!$E$11+1,1))-AVERAGE(OFFSET($H$3,0,0,'Données projet'!$E$11+1,1))</f>
        <v>175.73188403662408</v>
      </c>
      <c r="BJ117" s="59">
        <f t="shared" si="92"/>
        <v>152.02195399869032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7.2197100881205918</v>
      </c>
      <c r="BQ117" s="21">
        <f>EXP(-LN(2)/25)*BQ116+(1-EXP(-LN(2)/25))/(LN(2)/25)*Calculateur!BL117*Calculateur!BN117*VLOOKUP('Données projet'!$B$11,Paramètres!$A$1:$I$89,3,0)*0.475*44/12</f>
        <v>7.4116949439500228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14.631405032070614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5.3066239316239274</v>
      </c>
      <c r="BY117" s="12">
        <f>IF('Données projet'!$A$114&gt;35,BY116+BX117-CG116,IF(A117&lt;'Données projet'!$A$114,$BV$205^A117,IF(A117='Données projet'!$A$114,'Données projet'!$B$114,BY116+BX117-CG116)))</f>
        <v>219.9220085470082</v>
      </c>
      <c r="BZ117" s="13">
        <f>BY117*VLOOKUP('Données projet'!$B$12,Paramètres!$A$1:$I$89,3,0)*VLOOKUP('Données projet'!$B$12,Paramètres!$A$1:$I$89,5,0)</f>
        <v>198.98543333333302</v>
      </c>
      <c r="CA117" s="13">
        <f t="shared" si="93"/>
        <v>49.521130725595967</v>
      </c>
      <c r="CB117" s="20">
        <f t="shared" si="64"/>
        <v>432.8155990693013</v>
      </c>
      <c r="CC117" s="59">
        <f t="shared" si="65"/>
        <v>726.14893240263461</v>
      </c>
      <c r="CD117" s="59">
        <f ca="1">AVERAGE(OFFSET($CC$3,0,0,'Données projet'!$E$12+1,1))-AVERAGE(OFFSET($H$3,0,0,'Données projet'!$E$12+1,1))</f>
        <v>213.54857791046686</v>
      </c>
      <c r="CE117" s="59">
        <f t="shared" si="94"/>
        <v>138.46877538074244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35.001450291670885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35.001450291670885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213</v>
      </c>
      <c r="CU117" s="17">
        <f>CT117*VLOOKUP('Données projet'!$B$13,Paramètres!$A$1:$I$89,3,0)*VLOOKUP('Données projet'!$B$13,Paramètres!$A$1:$I$89,5,0)</f>
        <v>169.46279999999999</v>
      </c>
      <c r="CV117" s="13">
        <f t="shared" si="95"/>
        <v>42.969686502194378</v>
      </c>
      <c r="CW117" s="20">
        <f t="shared" si="67"/>
        <v>369.9865806579885</v>
      </c>
      <c r="CX117" s="59">
        <f t="shared" si="68"/>
        <v>663.31991399132176</v>
      </c>
      <c r="CY117" s="59">
        <f ca="1">AVERAGE(OFFSET($CX$3,0,0,'Données projet'!$E$13+1,1))-AVERAGE(OFFSET($H$3,0,0,'Données projet'!$E$13+1,1))</f>
        <v>161.87883827031436</v>
      </c>
      <c r="CZ117" s="59">
        <f t="shared" si="96"/>
        <v>163.02076389611869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5.7527614658487209</v>
      </c>
      <c r="DG117" s="21">
        <f>EXP(-LN(2)/25)*DG116+(1-EXP(-LN(2)/25))/(LN(2)/25)*Calculateur!DB117*Calculateur!DD117*VLOOKUP('Données projet'!$B$13,Paramètres!$A$1:$I$89,3,0)*0.475*44/12</f>
        <v>3.4041030209028786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9.1568644867515996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149.0000000000002</v>
      </c>
      <c r="DP117" s="17">
        <f>DO117*VLOOKUP('Données projet'!$B$14,Paramètres!$A$1:$I$89,3,0)*VLOOKUP('Données projet'!$B$14,Paramètres!$A$1:$I$89,5,0)</f>
        <v>120.86880000000016</v>
      </c>
      <c r="DQ117" s="13">
        <f t="shared" si="97"/>
        <v>31.877547472771326</v>
      </c>
      <c r="DR117" s="20">
        <f t="shared" si="70"/>
        <v>266.03322184841039</v>
      </c>
      <c r="DS117" s="59">
        <f t="shared" si="71"/>
        <v>559.36655518174371</v>
      </c>
      <c r="DT117" s="59">
        <f ca="1">AVERAGE(OFFSET($DS$3,0,0,'Données projet'!$E$14+1,1))-AVERAGE(OFFSET($H$3,0,0,'Données projet'!$E$14+1,1))</f>
        <v>96.611230241682733</v>
      </c>
      <c r="DU117" s="59">
        <f t="shared" si="98"/>
        <v>78.711045514042041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1.1119132547094381</v>
      </c>
      <c r="EB117" s="21">
        <f>EXP(-LN(2)/25)*EB116+(1-EXP(-LN(2)/25))/(LN(2)/25)*Calculateur!DW117*Calculateur!DY117*VLOOKUP('Données projet'!$B$14,Paramètres!$A$1:$I$89,3,0)*0.475*44/12</f>
        <v>3.2253417367508335</v>
      </c>
      <c r="EC117" s="21">
        <f>EXP(-LN(2)/2)*EC116+(1-EXP(-LN(2)/2))/(LN(2)/2)*DW117*DZ117*VLOOKUP('Données projet'!$B$14,Paramètres!$A$1:$I$89,3,0)*0.475*44/12</f>
        <v>3.3148445971716738E-4</v>
      </c>
      <c r="ED117" s="22">
        <f t="shared" si="72"/>
        <v>4.3375864759199887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188.61152573050066</v>
      </c>
      <c r="EP117" s="59">
        <f t="shared" si="100"/>
        <v>172.37050503841624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69.626825630313235</v>
      </c>
      <c r="EW117" s="21">
        <f>EXP(-LN(2)/25)*EW116+(1-EXP(-LN(2)/25))/(LN(2)/25)*Calculateur!ER117*Calculateur!ET117*VLOOKUP('Données projet'!$B$15,Paramètres!$A$1:$I$89,3,0)*0.475*44/12</f>
        <v>12.940227000215852</v>
      </c>
      <c r="EX117" s="21">
        <f>EXP(-LN(2)/2)*EX116+(1-EXP(-LN(2)/2))/(LN(2)/2)*ER117*EU117*VLOOKUP('Données projet'!$B$15,Paramètres!$A$1:$I$89,3,0)*0.475*44/12</f>
        <v>7.5090777069154377E-6</v>
      </c>
      <c r="EY117" s="22">
        <f t="shared" si="75"/>
        <v>82.567060139606795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0</v>
      </c>
      <c r="FK117" s="59">
        <f t="shared" si="102"/>
        <v>0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0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197.78572767493569</v>
      </c>
      <c r="T118" s="59">
        <f t="shared" si="88"/>
        <v>288.66487031729008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266.99999999999983</v>
      </c>
      <c r="AJ118" s="13">
        <f>AI118*VLOOKUP('Données projet'!$B$10,Paramètres!$A$1:$I$89,3,0)*VLOOKUP('Données projet'!$B$10,Paramètres!$A$1:$I$89,5,0)</f>
        <v>212.42519999999985</v>
      </c>
      <c r="AK118" s="13">
        <f t="shared" si="89"/>
        <v>52.465198231787184</v>
      </c>
      <c r="AL118" s="20">
        <f t="shared" si="58"/>
        <v>461.35077692036231</v>
      </c>
      <c r="AM118" s="59">
        <f t="shared" si="59"/>
        <v>754.68411025369562</v>
      </c>
      <c r="AN118" s="59">
        <f ca="1">AVERAGE(OFFSET($AM$3,0,0,'Données projet'!$E$10+1,1))-AVERAGE(OFFSET($H$3,0,0,'Données projet'!$E$10+1,1))</f>
        <v>219.43439115440339</v>
      </c>
      <c r="AO118" s="59">
        <f t="shared" si="90"/>
        <v>217.8880462742099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14.395661044359851</v>
      </c>
      <c r="AV118" s="21">
        <f>EXP(-LN(2)/25)*AV117+(1-EXP(-LN(2)/25))/(LN(2)/25)*Calculateur!AQ118*Calculateur!AS118*VLOOKUP('Données projet'!$B$10,Paramètres!$A$1:$I$89,3,0)*0.475*44/12</f>
        <v>3.1560705876991095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17.55173163205896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190.99999999999997</v>
      </c>
      <c r="BE118" s="13">
        <f>BD118*VLOOKUP('Données projet'!$B$11,Paramètres!$A$1:$I$89,3,0)*VLOOKUP('Données projet'!$B$11,Paramètres!$A$1:$I$89,5,0)</f>
        <v>166.85759999999999</v>
      </c>
      <c r="BF118" s="13">
        <f t="shared" si="91"/>
        <v>42.385468111966098</v>
      </c>
      <c r="BG118" s="20">
        <f t="shared" si="61"/>
        <v>364.43167696167421</v>
      </c>
      <c r="BH118" s="59">
        <f t="shared" si="62"/>
        <v>657.76501029500753</v>
      </c>
      <c r="BI118" s="59">
        <f ca="1">AVERAGE(OFFSET($BH$3,0,0,'Données projet'!$E$11+1,1))-AVERAGE(OFFSET($H$3,0,0,'Données projet'!$E$11+1,1))</f>
        <v>175.73188403662408</v>
      </c>
      <c r="BJ118" s="59">
        <f t="shared" si="92"/>
        <v>152.02195399869032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7.0781359768808825</v>
      </c>
      <c r="BQ118" s="21">
        <f>EXP(-LN(2)/25)*BQ117+(1-EXP(-LN(2)/25))/(LN(2)/25)*Calculateur!BL118*Calculateur!BN118*VLOOKUP('Données projet'!$B$11,Paramètres!$A$1:$I$89,3,0)*0.475*44/12</f>
        <v>7.2090217559436116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14.287157732824493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5.3066239316239274</v>
      </c>
      <c r="BY118" s="12">
        <f>IF('Données projet'!$A$114&gt;35,BY117+BX118-CG117,IF(A118&lt;'Données projet'!$A$114,$BV$205^A118,IF(A118='Données projet'!$A$114,'Données projet'!$B$114,BY117+BX118-CG117)))</f>
        <v>225.22863247863214</v>
      </c>
      <c r="BZ118" s="13">
        <f>BY118*VLOOKUP('Données projet'!$B$12,Paramètres!$A$1:$I$89,3,0)*VLOOKUP('Données projet'!$B$12,Paramètres!$A$1:$I$89,5,0)</f>
        <v>203.78686666666636</v>
      </c>
      <c r="CA118" s="13">
        <f t="shared" si="93"/>
        <v>50.57549569083951</v>
      </c>
      <c r="CB118" s="20">
        <f t="shared" si="64"/>
        <v>443.01444777265607</v>
      </c>
      <c r="CC118" s="59">
        <f t="shared" si="65"/>
        <v>736.34778110598938</v>
      </c>
      <c r="CD118" s="59">
        <f ca="1">AVERAGE(OFFSET($CC$3,0,0,'Données projet'!$E$12+1,1))-AVERAGE(OFFSET($H$3,0,0,'Données projet'!$E$12+1,1))</f>
        <v>213.54857791046686</v>
      </c>
      <c r="CE118" s="59">
        <f t="shared" si="94"/>
        <v>138.46877538074244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34.315093200227878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34.315093200227878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213</v>
      </c>
      <c r="CU118" s="17">
        <f>CT118*VLOOKUP('Données projet'!$B$13,Paramètres!$A$1:$I$89,3,0)*VLOOKUP('Données projet'!$B$13,Paramètres!$A$1:$I$89,5,0)</f>
        <v>169.46279999999999</v>
      </c>
      <c r="CV118" s="13">
        <f t="shared" si="95"/>
        <v>42.969686502194378</v>
      </c>
      <c r="CW118" s="20">
        <f t="shared" si="67"/>
        <v>369.9865806579885</v>
      </c>
      <c r="CX118" s="59">
        <f t="shared" si="68"/>
        <v>663.31991399132176</v>
      </c>
      <c r="CY118" s="59">
        <f ca="1">AVERAGE(OFFSET($CX$3,0,0,'Données projet'!$E$13+1,1))-AVERAGE(OFFSET($H$3,0,0,'Données projet'!$E$13+1,1))</f>
        <v>161.87883827031436</v>
      </c>
      <c r="CZ118" s="59">
        <f t="shared" si="96"/>
        <v>163.02076389611869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5.6399533223414524</v>
      </c>
      <c r="DG118" s="21">
        <f>EXP(-LN(2)/25)*DG117+(1-EXP(-LN(2)/25))/(LN(2)/25)*Calculateur!DB118*Calculateur!DD118*VLOOKUP('Données projet'!$B$13,Paramètres!$A$1:$I$89,3,0)*0.475*44/12</f>
        <v>3.3110176447822917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8.9509709671237445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149.0000000000002</v>
      </c>
      <c r="DP118" s="17">
        <f>DO118*VLOOKUP('Données projet'!$B$14,Paramètres!$A$1:$I$89,3,0)*VLOOKUP('Données projet'!$B$14,Paramètres!$A$1:$I$89,5,0)</f>
        <v>120.86880000000016</v>
      </c>
      <c r="DQ118" s="13">
        <f t="shared" si="97"/>
        <v>31.877547472771326</v>
      </c>
      <c r="DR118" s="20">
        <f t="shared" si="70"/>
        <v>266.03322184841039</v>
      </c>
      <c r="DS118" s="59">
        <f t="shared" si="71"/>
        <v>559.36655518174371</v>
      </c>
      <c r="DT118" s="59">
        <f ca="1">AVERAGE(OFFSET($DS$3,0,0,'Données projet'!$E$14+1,1))-AVERAGE(OFFSET($H$3,0,0,'Données projet'!$E$14+1,1))</f>
        <v>96.611230241682733</v>
      </c>
      <c r="DU118" s="59">
        <f t="shared" si="98"/>
        <v>78.711045514042041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1.0901093139847047</v>
      </c>
      <c r="EB118" s="21">
        <f>EXP(-LN(2)/25)*EB117+(1-EXP(-LN(2)/25))/(LN(2)/25)*Calculateur!DW118*Calculateur!DY118*VLOOKUP('Données projet'!$B$14,Paramètres!$A$1:$I$89,3,0)*0.475*44/12</f>
        <v>3.1371445973460315</v>
      </c>
      <c r="EC118" s="21">
        <f>EXP(-LN(2)/2)*EC117+(1-EXP(-LN(2)/2))/(LN(2)/2)*DW118*DZ118*VLOOKUP('Données projet'!$B$14,Paramètres!$A$1:$I$89,3,0)*0.475*44/12</f>
        <v>2.3439490932396803E-4</v>
      </c>
      <c r="ED118" s="22">
        <f t="shared" si="72"/>
        <v>4.2274883062400601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188.61152573050066</v>
      </c>
      <c r="EP118" s="59">
        <f t="shared" si="100"/>
        <v>172.37050503841624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68.261486047873049</v>
      </c>
      <c r="EW118" s="21">
        <f>EXP(-LN(2)/25)*EW117+(1-EXP(-LN(2)/25))/(LN(2)/25)*Calculateur!ER118*Calculateur!ET118*VLOOKUP('Données projet'!$B$15,Paramètres!$A$1:$I$89,3,0)*0.475*44/12</f>
        <v>12.586375812397987</v>
      </c>
      <c r="EX118" s="21">
        <f>EXP(-LN(2)/2)*EX117+(1-EXP(-LN(2)/2))/(LN(2)/2)*ER118*EU118*VLOOKUP('Données projet'!$B$15,Paramètres!$A$1:$I$89,3,0)*0.475*44/12</f>
        <v>5.309719767016637E-6</v>
      </c>
      <c r="EY118" s="22">
        <f t="shared" si="75"/>
        <v>80.847867169990806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0</v>
      </c>
      <c r="FK118" s="59">
        <f t="shared" si="102"/>
        <v>0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0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197.78572767493569</v>
      </c>
      <c r="T119" s="59">
        <f t="shared" si="88"/>
        <v>288.66487031729008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266.99999999999983</v>
      </c>
      <c r="AJ119" s="13">
        <f>AI119*VLOOKUP('Données projet'!$B$10,Paramètres!$A$1:$I$89,3,0)*VLOOKUP('Données projet'!$B$10,Paramètres!$A$1:$I$89,5,0)</f>
        <v>212.42519999999985</v>
      </c>
      <c r="AK119" s="13">
        <f t="shared" si="89"/>
        <v>52.465198231787184</v>
      </c>
      <c r="AL119" s="20">
        <f t="shared" si="58"/>
        <v>461.35077692036231</v>
      </c>
      <c r="AM119" s="59">
        <f t="shared" si="59"/>
        <v>754.68411025369562</v>
      </c>
      <c r="AN119" s="59">
        <f ca="1">AVERAGE(OFFSET($AM$3,0,0,'Données projet'!$E$10+1,1))-AVERAGE(OFFSET($H$3,0,0,'Données projet'!$E$10+1,1))</f>
        <v>219.43439115440339</v>
      </c>
      <c r="AO119" s="59">
        <f t="shared" si="90"/>
        <v>217.8880462742099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14.113370911766191</v>
      </c>
      <c r="AV119" s="21">
        <f>EXP(-LN(2)/25)*AV118+(1-EXP(-LN(2)/25))/(LN(2)/25)*Calculateur!AQ119*Calculateur!AS119*VLOOKUP('Données projet'!$B$10,Paramètres!$A$1:$I$89,3,0)*0.475*44/12</f>
        <v>3.0697676715079383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17.183138583274129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190.99999999999997</v>
      </c>
      <c r="BE119" s="13">
        <f>BD119*VLOOKUP('Données projet'!$B$11,Paramètres!$A$1:$I$89,3,0)*VLOOKUP('Données projet'!$B$11,Paramètres!$A$1:$I$89,5,0)</f>
        <v>166.85759999999999</v>
      </c>
      <c r="BF119" s="13">
        <f t="shared" si="91"/>
        <v>42.385468111966098</v>
      </c>
      <c r="BG119" s="20">
        <f t="shared" si="61"/>
        <v>364.43167696167421</v>
      </c>
      <c r="BH119" s="59">
        <f t="shared" si="62"/>
        <v>657.76501029500753</v>
      </c>
      <c r="BI119" s="59">
        <f ca="1">AVERAGE(OFFSET($BH$3,0,0,'Données projet'!$E$11+1,1))-AVERAGE(OFFSET($H$3,0,0,'Données projet'!$E$11+1,1))</f>
        <v>175.73188403662408</v>
      </c>
      <c r="BJ119" s="59">
        <f t="shared" si="92"/>
        <v>152.02195399869032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6.9393380476109021</v>
      </c>
      <c r="BQ119" s="21">
        <f>EXP(-LN(2)/25)*BQ118+(1-EXP(-LN(2)/25))/(LN(2)/25)*Calculateur!BL119*Calculateur!BN119*VLOOKUP('Données projet'!$B$11,Paramètres!$A$1:$I$89,3,0)*0.475*44/12</f>
        <v>7.0118906769213556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13.951228724532257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5.3066239316239274</v>
      </c>
      <c r="BY119" s="12">
        <f>IF('Données projet'!$A$114&gt;35,BY118+BX119-CG118,IF(A119&lt;'Données projet'!$A$114,$BV$205^A119,IF(A119='Données projet'!$A$114,'Données projet'!$B$114,BY118+BX119-CG118)))</f>
        <v>230.53525641025607</v>
      </c>
      <c r="BZ119" s="13">
        <f>BY119*VLOOKUP('Données projet'!$B$12,Paramètres!$A$1:$I$89,3,0)*VLOOKUP('Données projet'!$B$12,Paramètres!$A$1:$I$89,5,0)</f>
        <v>208.58829999999969</v>
      </c>
      <c r="CA119" s="13">
        <f t="shared" si="93"/>
        <v>51.626972732243416</v>
      </c>
      <c r="CB119" s="20">
        <f t="shared" si="64"/>
        <v>453.20826667532333</v>
      </c>
      <c r="CC119" s="59">
        <f t="shared" si="65"/>
        <v>746.54160000865659</v>
      </c>
      <c r="CD119" s="59">
        <f ca="1">AVERAGE(OFFSET($CC$3,0,0,'Données projet'!$E$12+1,1))-AVERAGE(OFFSET($H$3,0,0,'Données projet'!$E$12+1,1))</f>
        <v>213.54857791046686</v>
      </c>
      <c r="CE119" s="59">
        <f t="shared" si="94"/>
        <v>138.46877538074244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33.642195152711579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33.642195152711579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213</v>
      </c>
      <c r="CU119" s="17">
        <f>CT119*VLOOKUP('Données projet'!$B$13,Paramètres!$A$1:$I$89,3,0)*VLOOKUP('Données projet'!$B$13,Paramètres!$A$1:$I$89,5,0)</f>
        <v>169.46279999999999</v>
      </c>
      <c r="CV119" s="13">
        <f t="shared" si="95"/>
        <v>42.969686502194378</v>
      </c>
      <c r="CW119" s="20">
        <f t="shared" si="67"/>
        <v>369.9865806579885</v>
      </c>
      <c r="CX119" s="59">
        <f t="shared" si="68"/>
        <v>663.31991399132176</v>
      </c>
      <c r="CY119" s="59">
        <f ca="1">AVERAGE(OFFSET($CX$3,0,0,'Données projet'!$E$13+1,1))-AVERAGE(OFFSET($H$3,0,0,'Données projet'!$E$13+1,1))</f>
        <v>161.87883827031436</v>
      </c>
      <c r="CZ119" s="59">
        <f t="shared" si="96"/>
        <v>163.02076389611869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5.5293572777221884</v>
      </c>
      <c r="DG119" s="21">
        <f>EXP(-LN(2)/25)*DG118+(1-EXP(-LN(2)/25))/(LN(2)/25)*Calculateur!DB119*Calculateur!DD119*VLOOKUP('Données projet'!$B$13,Paramètres!$A$1:$I$89,3,0)*0.475*44/12</f>
        <v>3.2204776931668695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8.7498349708890579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149.0000000000002</v>
      </c>
      <c r="DP119" s="17">
        <f>DO119*VLOOKUP('Données projet'!$B$14,Paramètres!$A$1:$I$89,3,0)*VLOOKUP('Données projet'!$B$14,Paramètres!$A$1:$I$89,5,0)</f>
        <v>120.86880000000016</v>
      </c>
      <c r="DQ119" s="13">
        <f t="shared" si="97"/>
        <v>31.877547472771326</v>
      </c>
      <c r="DR119" s="20">
        <f t="shared" si="70"/>
        <v>266.03322184841039</v>
      </c>
      <c r="DS119" s="59">
        <f t="shared" si="71"/>
        <v>559.36655518174371</v>
      </c>
      <c r="DT119" s="59">
        <f ca="1">AVERAGE(OFFSET($DS$3,0,0,'Données projet'!$E$14+1,1))-AVERAGE(OFFSET($H$3,0,0,'Données projet'!$E$14+1,1))</f>
        <v>96.611230241682733</v>
      </c>
      <c r="DU119" s="59">
        <f t="shared" si="98"/>
        <v>78.711045514042041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1.0687329352384927</v>
      </c>
      <c r="EB119" s="21">
        <f>EXP(-LN(2)/25)*EB118+(1-EXP(-LN(2)/25))/(LN(2)/25)*Calculateur!DW119*Calculateur!DY119*VLOOKUP('Données projet'!$B$14,Paramètres!$A$1:$I$89,3,0)*0.475*44/12</f>
        <v>3.0513592133563399</v>
      </c>
      <c r="EC119" s="21">
        <f>EXP(-LN(2)/2)*EC118+(1-EXP(-LN(2)/2))/(LN(2)/2)*DW119*DZ119*VLOOKUP('Données projet'!$B$14,Paramètres!$A$1:$I$89,3,0)*0.475*44/12</f>
        <v>1.6574222985858372E-4</v>
      </c>
      <c r="ED119" s="22">
        <f t="shared" si="72"/>
        <v>4.120257890824691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188.61152573050066</v>
      </c>
      <c r="EP119" s="59">
        <f t="shared" si="100"/>
        <v>172.37050503841624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66.922919941869594</v>
      </c>
      <c r="EW119" s="21">
        <f>EXP(-LN(2)/25)*EW118+(1-EXP(-LN(2)/25))/(LN(2)/25)*Calculateur!ER119*Calculateur!ET119*VLOOKUP('Données projet'!$B$15,Paramètres!$A$1:$I$89,3,0)*0.475*44/12</f>
        <v>12.242200703919227</v>
      </c>
      <c r="EX119" s="21">
        <f>EXP(-LN(2)/2)*EX118+(1-EXP(-LN(2)/2))/(LN(2)/2)*ER119*EU119*VLOOKUP('Données projet'!$B$15,Paramètres!$A$1:$I$89,3,0)*0.475*44/12</f>
        <v>3.7545388534577197E-6</v>
      </c>
      <c r="EY119" s="22">
        <f t="shared" si="75"/>
        <v>79.16512440032767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0</v>
      </c>
      <c r="FK119" s="59">
        <f t="shared" si="102"/>
        <v>0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0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197.78572767493569</v>
      </c>
      <c r="T120" s="59">
        <f t="shared" si="88"/>
        <v>288.66487031729008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266.99999999999983</v>
      </c>
      <c r="AJ120" s="13">
        <f>AI120*VLOOKUP('Données projet'!$B$10,Paramètres!$A$1:$I$89,3,0)*VLOOKUP('Données projet'!$B$10,Paramètres!$A$1:$I$89,5,0)</f>
        <v>212.42519999999985</v>
      </c>
      <c r="AK120" s="13">
        <f t="shared" si="89"/>
        <v>52.465198231787184</v>
      </c>
      <c r="AL120" s="20">
        <f t="shared" si="58"/>
        <v>461.35077692036231</v>
      </c>
      <c r="AM120" s="59">
        <f t="shared" si="59"/>
        <v>754.68411025369562</v>
      </c>
      <c r="AN120" s="59">
        <f ca="1">AVERAGE(OFFSET($AM$3,0,0,'Données projet'!$E$10+1,1))-AVERAGE(OFFSET($H$3,0,0,'Données projet'!$E$10+1,1))</f>
        <v>219.43439115440339</v>
      </c>
      <c r="AO120" s="59">
        <f t="shared" si="90"/>
        <v>217.8880462742099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13.836616316492712</v>
      </c>
      <c r="AV120" s="21">
        <f>EXP(-LN(2)/25)*AV119+(1-EXP(-LN(2)/25))/(LN(2)/25)*Calculateur!AQ120*Calculateur!AS120*VLOOKUP('Données projet'!$B$10,Paramètres!$A$1:$I$89,3,0)*0.475*44/12</f>
        <v>2.9858247130984878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16.8224410295912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190.99999999999997</v>
      </c>
      <c r="BE120" s="13">
        <f>BD120*VLOOKUP('Données projet'!$B$11,Paramètres!$A$1:$I$89,3,0)*VLOOKUP('Données projet'!$B$11,Paramètres!$A$1:$I$89,5,0)</f>
        <v>166.85759999999999</v>
      </c>
      <c r="BF120" s="13">
        <f t="shared" si="91"/>
        <v>42.385468111966098</v>
      </c>
      <c r="BG120" s="20">
        <f t="shared" si="61"/>
        <v>364.43167696167421</v>
      </c>
      <c r="BH120" s="59">
        <f t="shared" si="62"/>
        <v>657.76501029500753</v>
      </c>
      <c r="BI120" s="59">
        <f ca="1">AVERAGE(OFFSET($BH$3,0,0,'Données projet'!$E$11+1,1))-AVERAGE(OFFSET($H$3,0,0,'Données projet'!$E$11+1,1))</f>
        <v>175.73188403662408</v>
      </c>
      <c r="BJ120" s="59">
        <f t="shared" si="92"/>
        <v>152.02195399869032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6.8032618610755291</v>
      </c>
      <c r="BQ120" s="21">
        <f>EXP(-LN(2)/25)*BQ119+(1-EXP(-LN(2)/25))/(LN(2)/25)*Calculateur!BL120*Calculateur!BN120*VLOOKUP('Données projet'!$B$11,Paramètres!$A$1:$I$89,3,0)*0.475*44/12</f>
        <v>6.8201501576216366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13.623412018697167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5.3066239316239274</v>
      </c>
      <c r="BY120" s="12">
        <f>IF('Données projet'!$A$114&gt;35,BY119+BX120-CG119,IF(A120&lt;'Données projet'!$A$114,$BV$205^A120,IF(A120='Données projet'!$A$114,'Données projet'!$B$114,BY119+BX120-CG119)))</f>
        <v>235.84188034188</v>
      </c>
      <c r="BZ120" s="13">
        <f>BY120*VLOOKUP('Données projet'!$B$12,Paramètres!$A$1:$I$89,3,0)*VLOOKUP('Données projet'!$B$12,Paramètres!$A$1:$I$89,5,0)</f>
        <v>213.389733333333</v>
      </c>
      <c r="CA120" s="13">
        <f t="shared" si="93"/>
        <v>52.675635977819994</v>
      </c>
      <c r="CB120" s="20">
        <f t="shared" si="64"/>
        <v>463.39718488359148</v>
      </c>
      <c r="CC120" s="59">
        <f t="shared" si="65"/>
        <v>756.73051821692479</v>
      </c>
      <c r="CD120" s="59">
        <f ca="1">AVERAGE(OFFSET($CC$3,0,0,'Données projet'!$E$12+1,1))-AVERAGE(OFFSET($H$3,0,0,'Données projet'!$E$12+1,1))</f>
        <v>213.54857791046686</v>
      </c>
      <c r="CE120" s="59">
        <f t="shared" si="94"/>
        <v>138.46877538074244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32.982492225479795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32.982492225479795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213</v>
      </c>
      <c r="CU120" s="17">
        <f>CT120*VLOOKUP('Données projet'!$B$13,Paramètres!$A$1:$I$89,3,0)*VLOOKUP('Données projet'!$B$13,Paramètres!$A$1:$I$89,5,0)</f>
        <v>169.46279999999999</v>
      </c>
      <c r="CV120" s="13">
        <f t="shared" si="95"/>
        <v>42.969686502194378</v>
      </c>
      <c r="CW120" s="20">
        <f t="shared" si="67"/>
        <v>369.9865806579885</v>
      </c>
      <c r="CX120" s="59">
        <f t="shared" si="68"/>
        <v>663.31991399132176</v>
      </c>
      <c r="CY120" s="59">
        <f ca="1">AVERAGE(OFFSET($CX$3,0,0,'Données projet'!$E$13+1,1))-AVERAGE(OFFSET($H$3,0,0,'Données projet'!$E$13+1,1))</f>
        <v>161.87883827031436</v>
      </c>
      <c r="CZ120" s="59">
        <f t="shared" si="96"/>
        <v>163.02076389611869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5.4209299540809814</v>
      </c>
      <c r="DG120" s="21">
        <f>EXP(-LN(2)/25)*DG119+(1-EXP(-LN(2)/25))/(LN(2)/25)*Calculateur!DB120*Calculateur!DD120*VLOOKUP('Données projet'!$B$13,Paramètres!$A$1:$I$89,3,0)*0.475*44/12</f>
        <v>3.1324135612896602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8.5533435153706421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149.0000000000002</v>
      </c>
      <c r="DP120" s="17">
        <f>DO120*VLOOKUP('Données projet'!$B$14,Paramètres!$A$1:$I$89,3,0)*VLOOKUP('Données projet'!$B$14,Paramètres!$A$1:$I$89,5,0)</f>
        <v>120.86880000000016</v>
      </c>
      <c r="DQ120" s="13">
        <f t="shared" si="97"/>
        <v>31.877547472771326</v>
      </c>
      <c r="DR120" s="20">
        <f t="shared" si="70"/>
        <v>266.03322184841039</v>
      </c>
      <c r="DS120" s="59">
        <f t="shared" si="71"/>
        <v>559.36655518174371</v>
      </c>
      <c r="DT120" s="59">
        <f ca="1">AVERAGE(OFFSET($DS$3,0,0,'Données projet'!$E$14+1,1))-AVERAGE(OFFSET($H$3,0,0,'Données projet'!$E$14+1,1))</f>
        <v>96.611230241682733</v>
      </c>
      <c r="DU120" s="59">
        <f t="shared" si="98"/>
        <v>78.711045514042041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1.0477757342411902</v>
      </c>
      <c r="EB120" s="21">
        <f>EXP(-LN(2)/25)*EB119+(1-EXP(-LN(2)/25))/(LN(2)/25)*Calculateur!DW120*Calculateur!DY120*VLOOKUP('Données projet'!$B$14,Paramètres!$A$1:$I$89,3,0)*0.475*44/12</f>
        <v>2.9679196352031036</v>
      </c>
      <c r="EC120" s="21">
        <f>EXP(-LN(2)/2)*EC119+(1-EXP(-LN(2)/2))/(LN(2)/2)*DW120*DZ120*VLOOKUP('Données projet'!$B$14,Paramètres!$A$1:$I$89,3,0)*0.475*44/12</f>
        <v>1.1719745466198403E-4</v>
      </c>
      <c r="ED120" s="22">
        <f t="shared" si="72"/>
        <v>4.0158125668989557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188.61152573050066</v>
      </c>
      <c r="EP120" s="59">
        <f t="shared" si="100"/>
        <v>172.37050503841624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65.610602300760164</v>
      </c>
      <c r="EW120" s="21">
        <f>EXP(-LN(2)/25)*EW119+(1-EXP(-LN(2)/25))/(LN(2)/25)*Calculateur!ER120*Calculateur!ET120*VLOOKUP('Données projet'!$B$15,Paramètres!$A$1:$I$89,3,0)*0.475*44/12</f>
        <v>11.9074370818812</v>
      </c>
      <c r="EX120" s="21">
        <f>EXP(-LN(2)/2)*EX119+(1-EXP(-LN(2)/2))/(LN(2)/2)*ER120*EU120*VLOOKUP('Données projet'!$B$15,Paramètres!$A$1:$I$89,3,0)*0.475*44/12</f>
        <v>2.6548598835083189E-6</v>
      </c>
      <c r="EY120" s="22">
        <f t="shared" si="75"/>
        <v>77.518042037501246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0</v>
      </c>
      <c r="FK120" s="59">
        <f t="shared" si="102"/>
        <v>0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0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197.78572767493569</v>
      </c>
      <c r="T121" s="59">
        <f t="shared" si="88"/>
        <v>288.66487031729008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266.99999999999983</v>
      </c>
      <c r="AJ121" s="13">
        <f>AI121*VLOOKUP('Données projet'!$B$10,Paramètres!$A$1:$I$89,3,0)*VLOOKUP('Données projet'!$B$10,Paramètres!$A$1:$I$89,5,0)</f>
        <v>212.42519999999985</v>
      </c>
      <c r="AK121" s="13">
        <f t="shared" si="89"/>
        <v>52.465198231787184</v>
      </c>
      <c r="AL121" s="20">
        <f t="shared" si="58"/>
        <v>461.35077692036231</v>
      </c>
      <c r="AM121" s="59">
        <f t="shared" si="59"/>
        <v>754.68411025369562</v>
      </c>
      <c r="AN121" s="59">
        <f ca="1">AVERAGE(OFFSET($AM$3,0,0,'Données projet'!$E$10+1,1))-AVERAGE(OFFSET($H$3,0,0,'Données projet'!$E$10+1,1))</f>
        <v>219.43439115440339</v>
      </c>
      <c r="AO121" s="59">
        <f t="shared" si="90"/>
        <v>217.8880462742099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13.565288710028911</v>
      </c>
      <c r="AV121" s="21">
        <f>EXP(-LN(2)/25)*AV120+(1-EXP(-LN(2)/25))/(LN(2)/25)*Calculateur!AQ121*Calculateur!AS121*VLOOKUP('Données projet'!$B$10,Paramètres!$A$1:$I$89,3,0)*0.475*44/12</f>
        <v>2.9041771793011124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16.469465889330024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190.99999999999997</v>
      </c>
      <c r="BE121" s="13">
        <f>BD121*VLOOKUP('Données projet'!$B$11,Paramètres!$A$1:$I$89,3,0)*VLOOKUP('Données projet'!$B$11,Paramètres!$A$1:$I$89,5,0)</f>
        <v>166.85759999999999</v>
      </c>
      <c r="BF121" s="13">
        <f t="shared" si="91"/>
        <v>42.385468111966098</v>
      </c>
      <c r="BG121" s="20">
        <f t="shared" si="61"/>
        <v>364.43167696167421</v>
      </c>
      <c r="BH121" s="59">
        <f t="shared" si="62"/>
        <v>657.76501029500753</v>
      </c>
      <c r="BI121" s="59">
        <f ca="1">AVERAGE(OFFSET($BH$3,0,0,'Données projet'!$E$11+1,1))-AVERAGE(OFFSET($H$3,0,0,'Données projet'!$E$11+1,1))</f>
        <v>175.73188403662408</v>
      </c>
      <c r="BJ121" s="59">
        <f t="shared" si="92"/>
        <v>152.02195399869032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6.6698540455598359</v>
      </c>
      <c r="BQ121" s="21">
        <f>EXP(-LN(2)/25)*BQ120+(1-EXP(-LN(2)/25))/(LN(2)/25)*Calculateur!BL121*Calculateur!BN121*VLOOKUP('Données projet'!$B$11,Paramètres!$A$1:$I$89,3,0)*0.475*44/12</f>
        <v>6.6336527929053641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13.3035068384652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5.3066239316239274</v>
      </c>
      <c r="BY121" s="12">
        <f>IF('Données projet'!$A$114&gt;35,BY120+BX121-CG120,IF(A121&lt;'Données projet'!$A$114,$BV$205^A121,IF(A121='Données projet'!$A$114,'Données projet'!$B$114,BY120+BX121-CG120)))</f>
        <v>241.14850427350393</v>
      </c>
      <c r="BZ121" s="13">
        <f>BY121*VLOOKUP('Données projet'!$B$12,Paramètres!$A$1:$I$89,3,0)*VLOOKUP('Données projet'!$B$12,Paramètres!$A$1:$I$89,5,0)</f>
        <v>218.19116666666633</v>
      </c>
      <c r="CA121" s="13">
        <f t="shared" si="93"/>
        <v>53.721556029282723</v>
      </c>
      <c r="CB121" s="20">
        <f t="shared" si="64"/>
        <v>473.58132536211127</v>
      </c>
      <c r="CC121" s="59">
        <f t="shared" si="65"/>
        <v>766.91465869544459</v>
      </c>
      <c r="CD121" s="59">
        <f ca="1">AVERAGE(OFFSET($CC$3,0,0,'Données projet'!$E$12+1,1))-AVERAGE(OFFSET($H$3,0,0,'Données projet'!$E$12+1,1))</f>
        <v>213.54857791046686</v>
      </c>
      <c r="CE121" s="59">
        <f t="shared" si="94"/>
        <v>138.46877538074244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32.33572567027197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32.33572567027197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213</v>
      </c>
      <c r="CU121" s="17">
        <f>CT121*VLOOKUP('Données projet'!$B$13,Paramètres!$A$1:$I$89,3,0)*VLOOKUP('Données projet'!$B$13,Paramètres!$A$1:$I$89,5,0)</f>
        <v>169.46279999999999</v>
      </c>
      <c r="CV121" s="13">
        <f t="shared" si="95"/>
        <v>42.969686502194378</v>
      </c>
      <c r="CW121" s="20">
        <f t="shared" si="67"/>
        <v>369.9865806579885</v>
      </c>
      <c r="CX121" s="59">
        <f t="shared" si="68"/>
        <v>663.31991399132176</v>
      </c>
      <c r="CY121" s="59">
        <f ca="1">AVERAGE(OFFSET($CX$3,0,0,'Données projet'!$E$13+1,1))-AVERAGE(OFFSET($H$3,0,0,'Données projet'!$E$13+1,1))</f>
        <v>161.87883827031436</v>
      </c>
      <c r="CZ121" s="59">
        <f t="shared" si="96"/>
        <v>163.02076389611869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5.3146288241222415</v>
      </c>
      <c r="DG121" s="21">
        <f>EXP(-LN(2)/25)*DG120+(1-EXP(-LN(2)/25))/(LN(2)/25)*Calculateur!DB121*Calculateur!DD121*VLOOKUP('Données projet'!$B$13,Paramètres!$A$1:$I$89,3,0)*0.475*44/12</f>
        <v>3.0467575477297246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8.3613863718519656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149.0000000000002</v>
      </c>
      <c r="DP121" s="17">
        <f>DO121*VLOOKUP('Données projet'!$B$14,Paramètres!$A$1:$I$89,3,0)*VLOOKUP('Données projet'!$B$14,Paramètres!$A$1:$I$89,5,0)</f>
        <v>120.86880000000016</v>
      </c>
      <c r="DQ121" s="13">
        <f t="shared" si="97"/>
        <v>31.877547472771326</v>
      </c>
      <c r="DR121" s="20">
        <f t="shared" si="70"/>
        <v>266.03322184841039</v>
      </c>
      <c r="DS121" s="59">
        <f t="shared" si="71"/>
        <v>559.36655518174371</v>
      </c>
      <c r="DT121" s="59">
        <f ca="1">AVERAGE(OFFSET($DS$3,0,0,'Données projet'!$E$14+1,1))-AVERAGE(OFFSET($H$3,0,0,'Données projet'!$E$14+1,1))</f>
        <v>96.611230241682733</v>
      </c>
      <c r="DU121" s="59">
        <f t="shared" si="98"/>
        <v>78.711045514042041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1.0272294911728144</v>
      </c>
      <c r="EB121" s="21">
        <f>EXP(-LN(2)/25)*EB120+(1-EXP(-LN(2)/25))/(LN(2)/25)*Calculateur!DW121*Calculateur!DY121*VLOOKUP('Données projet'!$B$14,Paramètres!$A$1:$I$89,3,0)*0.475*44/12</f>
        <v>2.8867617167023645</v>
      </c>
      <c r="EC121" s="21">
        <f>EXP(-LN(2)/2)*EC120+(1-EXP(-LN(2)/2))/(LN(2)/2)*DW121*DZ121*VLOOKUP('Données projet'!$B$14,Paramètres!$A$1:$I$89,3,0)*0.475*44/12</f>
        <v>8.2871114929291873E-5</v>
      </c>
      <c r="ED121" s="22">
        <f t="shared" si="72"/>
        <v>3.9140740789901081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188.61152573050066</v>
      </c>
      <c r="EP121" s="59">
        <f t="shared" si="100"/>
        <v>172.37050503841624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64.324018408158153</v>
      </c>
      <c r="EW121" s="21">
        <f>EXP(-LN(2)/25)*EW120+(1-EXP(-LN(2)/25))/(LN(2)/25)*Calculateur!ER121*Calculateur!ET121*VLOOKUP('Données projet'!$B$15,Paramètres!$A$1:$I$89,3,0)*0.475*44/12</f>
        <v>11.581827588692258</v>
      </c>
      <c r="EX121" s="21">
        <f>EXP(-LN(2)/2)*EX120+(1-EXP(-LN(2)/2))/(LN(2)/2)*ER121*EU121*VLOOKUP('Données projet'!$B$15,Paramètres!$A$1:$I$89,3,0)*0.475*44/12</f>
        <v>1.8772694267288601E-6</v>
      </c>
      <c r="EY121" s="22">
        <f t="shared" si="75"/>
        <v>75.905847874119843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0</v>
      </c>
      <c r="FK121" s="59">
        <f t="shared" si="102"/>
        <v>0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0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197.78572767493569</v>
      </c>
      <c r="T122" s="59">
        <f t="shared" si="88"/>
        <v>288.66487031729008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266.99999999999983</v>
      </c>
      <c r="AJ122" s="13">
        <f>AI122*VLOOKUP('Données projet'!$B$10,Paramètres!$A$1:$I$89,3,0)*VLOOKUP('Données projet'!$B$10,Paramètres!$A$1:$I$89,5,0)</f>
        <v>212.42519999999985</v>
      </c>
      <c r="AK122" s="13">
        <f t="shared" si="89"/>
        <v>52.465198231787184</v>
      </c>
      <c r="AL122" s="20">
        <f t="shared" si="58"/>
        <v>461.35077692036231</v>
      </c>
      <c r="AM122" s="59">
        <f t="shared" si="59"/>
        <v>754.68411025369562</v>
      </c>
      <c r="AN122" s="59">
        <f ca="1">AVERAGE(OFFSET($AM$3,0,0,'Données projet'!$E$10+1,1))-AVERAGE(OFFSET($H$3,0,0,'Données projet'!$E$10+1,1))</f>
        <v>219.43439115440339</v>
      </c>
      <c r="AO122" s="59">
        <f t="shared" si="90"/>
        <v>217.8880462742099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13.299281672434367</v>
      </c>
      <c r="AV122" s="21">
        <f>EXP(-LN(2)/25)*AV121+(1-EXP(-LN(2)/25))/(LN(2)/25)*Calculateur!AQ122*Calculateur!AS122*VLOOKUP('Données projet'!$B$10,Paramètres!$A$1:$I$89,3,0)*0.475*44/12</f>
        <v>2.8247623016090833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16.124043974043449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190.99999999999997</v>
      </c>
      <c r="BE122" s="13">
        <f>BD122*VLOOKUP('Données projet'!$B$11,Paramètres!$A$1:$I$89,3,0)*VLOOKUP('Données projet'!$B$11,Paramètres!$A$1:$I$89,5,0)</f>
        <v>166.85759999999999</v>
      </c>
      <c r="BF122" s="13">
        <f t="shared" si="91"/>
        <v>42.385468111966098</v>
      </c>
      <c r="BG122" s="20">
        <f t="shared" si="61"/>
        <v>364.43167696167421</v>
      </c>
      <c r="BH122" s="59">
        <f t="shared" si="62"/>
        <v>657.76501029500753</v>
      </c>
      <c r="BI122" s="59">
        <f ca="1">AVERAGE(OFFSET($BH$3,0,0,'Données projet'!$E$11+1,1))-AVERAGE(OFFSET($H$3,0,0,'Données projet'!$E$11+1,1))</f>
        <v>175.73188403662408</v>
      </c>
      <c r="BJ122" s="59">
        <f t="shared" si="92"/>
        <v>152.02195399869032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6.5390622759356729</v>
      </c>
      <c r="BQ122" s="21">
        <f>EXP(-LN(2)/25)*BQ121+(1-EXP(-LN(2)/25))/(LN(2)/25)*Calculateur!BL122*Calculateur!BN122*VLOOKUP('Données projet'!$B$11,Paramètres!$A$1:$I$89,3,0)*0.475*44/12</f>
        <v>6.4522552084347282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12.991317484370402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5.3066239316239274</v>
      </c>
      <c r="BY122" s="12">
        <f>IF('Données projet'!$A$114&gt;35,BY121+BX122-CG121,IF(A122&lt;'Données projet'!$A$114,$BV$205^A122,IF(A122='Données projet'!$A$114,'Données projet'!$B$114,BY121+BX122-CG121)))</f>
        <v>246.45512820512786</v>
      </c>
      <c r="BZ122" s="13">
        <f>BY122*VLOOKUP('Données projet'!$B$12,Paramètres!$A$1:$I$89,3,0)*VLOOKUP('Données projet'!$B$12,Paramètres!$A$1:$I$89,5,0)</f>
        <v>222.99259999999967</v>
      </c>
      <c r="CA122" s="13">
        <f t="shared" si="93"/>
        <v>54.764800203643112</v>
      </c>
      <c r="CB122" s="20">
        <f t="shared" si="64"/>
        <v>483.76080535467781</v>
      </c>
      <c r="CC122" s="59">
        <f t="shared" si="65"/>
        <v>777.09413868801107</v>
      </c>
      <c r="CD122" s="59">
        <f ca="1">AVERAGE(OFFSET($CC$3,0,0,'Données projet'!$E$12+1,1))-AVERAGE(OFFSET($H$3,0,0,'Données projet'!$E$12+1,1))</f>
        <v>213.54857791046686</v>
      </c>
      <c r="CE122" s="59">
        <f t="shared" si="94"/>
        <v>138.46877538074244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31.701641812723125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31.701641812723125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213</v>
      </c>
      <c r="CU122" s="17">
        <f>CT122*VLOOKUP('Données projet'!$B$13,Paramètres!$A$1:$I$89,3,0)*VLOOKUP('Données projet'!$B$13,Paramètres!$A$1:$I$89,5,0)</f>
        <v>169.46279999999999</v>
      </c>
      <c r="CV122" s="13">
        <f t="shared" si="95"/>
        <v>42.969686502194378</v>
      </c>
      <c r="CW122" s="20">
        <f t="shared" si="67"/>
        <v>369.9865806579885</v>
      </c>
      <c r="CX122" s="59">
        <f t="shared" si="68"/>
        <v>663.31991399132176</v>
      </c>
      <c r="CY122" s="59">
        <f ca="1">AVERAGE(OFFSET($CX$3,0,0,'Données projet'!$E$13+1,1))-AVERAGE(OFFSET($H$3,0,0,'Données projet'!$E$13+1,1))</f>
        <v>161.87883827031436</v>
      </c>
      <c r="CZ122" s="59">
        <f t="shared" si="96"/>
        <v>163.02076389611869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5.2104121944847055</v>
      </c>
      <c r="DG122" s="21">
        <f>EXP(-LN(2)/25)*DG121+(1-EXP(-LN(2)/25))/(LN(2)/25)*Calculateur!DB122*Calculateur!DD122*VLOOKUP('Données projet'!$B$13,Paramètres!$A$1:$I$89,3,0)*0.475*44/12</f>
        <v>2.9634438023650391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8.1738559968497455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149.0000000000002</v>
      </c>
      <c r="DP122" s="17">
        <f>DO122*VLOOKUP('Données projet'!$B$14,Paramètres!$A$1:$I$89,3,0)*VLOOKUP('Données projet'!$B$14,Paramètres!$A$1:$I$89,5,0)</f>
        <v>120.86880000000016</v>
      </c>
      <c r="DQ122" s="13">
        <f t="shared" si="97"/>
        <v>31.877547472771326</v>
      </c>
      <c r="DR122" s="20">
        <f t="shared" si="70"/>
        <v>266.03322184841039</v>
      </c>
      <c r="DS122" s="59">
        <f t="shared" si="71"/>
        <v>559.36655518174371</v>
      </c>
      <c r="DT122" s="59">
        <f ca="1">AVERAGE(OFFSET($DS$3,0,0,'Données projet'!$E$14+1,1))-AVERAGE(OFFSET($H$3,0,0,'Données projet'!$E$14+1,1))</f>
        <v>96.611230241682733</v>
      </c>
      <c r="DU122" s="59">
        <f t="shared" si="98"/>
        <v>78.711045514042041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1.0070861473990387</v>
      </c>
      <c r="EB122" s="21">
        <f>EXP(-LN(2)/25)*EB121+(1-EXP(-LN(2)/25))/(LN(2)/25)*Calculateur!DW122*Calculateur!DY122*VLOOKUP('Données projet'!$B$14,Paramètres!$A$1:$I$89,3,0)*0.475*44/12</f>
        <v>2.8078230657509375</v>
      </c>
      <c r="EC122" s="21">
        <f>EXP(-LN(2)/2)*EC121+(1-EXP(-LN(2)/2))/(LN(2)/2)*DW122*DZ122*VLOOKUP('Données projet'!$B$14,Paramètres!$A$1:$I$89,3,0)*0.475*44/12</f>
        <v>5.8598727330992021E-5</v>
      </c>
      <c r="ED122" s="22">
        <f t="shared" si="72"/>
        <v>3.8149678118773069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188.61152573050066</v>
      </c>
      <c r="EP122" s="59">
        <f t="shared" si="100"/>
        <v>172.37050503841624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63.062663640951385</v>
      </c>
      <c r="EW122" s="21">
        <f>EXP(-LN(2)/25)*EW121+(1-EXP(-LN(2)/25))/(LN(2)/25)*Calculateur!ER122*Calculateur!ET122*VLOOKUP('Données projet'!$B$15,Paramètres!$A$1:$I$89,3,0)*0.475*44/12</f>
        <v>11.265121904217626</v>
      </c>
      <c r="EX122" s="21">
        <f>EXP(-LN(2)/2)*EX121+(1-EXP(-LN(2)/2))/(LN(2)/2)*ER122*EU122*VLOOKUP('Données projet'!$B$15,Paramètres!$A$1:$I$89,3,0)*0.475*44/12</f>
        <v>1.3274299417541597E-6</v>
      </c>
      <c r="EY122" s="22">
        <f t="shared" si="75"/>
        <v>74.327786872598949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0</v>
      </c>
      <c r="FK122" s="59">
        <f t="shared" si="102"/>
        <v>0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0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197.78572767493569</v>
      </c>
      <c r="T123" s="59">
        <f t="shared" si="88"/>
        <v>288.66487031729008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266.99999999999983</v>
      </c>
      <c r="AJ123" s="13">
        <f>AI123*VLOOKUP('Données projet'!$B$10,Paramètres!$A$1:$I$89,3,0)*VLOOKUP('Données projet'!$B$10,Paramètres!$A$1:$I$89,5,0)</f>
        <v>212.42519999999985</v>
      </c>
      <c r="AK123" s="13">
        <f t="shared" si="89"/>
        <v>52.465198231787184</v>
      </c>
      <c r="AL123" s="20">
        <f t="shared" si="58"/>
        <v>461.35077692036231</v>
      </c>
      <c r="AM123" s="59">
        <f t="shared" si="59"/>
        <v>754.68411025369562</v>
      </c>
      <c r="AN123" s="59">
        <f ca="1">AVERAGE(OFFSET($AM$3,0,0,'Données projet'!$E$10+1,1))-AVERAGE(OFFSET($H$3,0,0,'Données projet'!$E$10+1,1))</f>
        <v>219.43439115440339</v>
      </c>
      <c r="AO123" s="59">
        <f t="shared" si="90"/>
        <v>217.8880462742099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13.038490870598778</v>
      </c>
      <c r="AV123" s="21">
        <f>EXP(-LN(2)/25)*AV122+(1-EXP(-LN(2)/25))/(LN(2)/25)*Calculateur!AQ123*Calculateur!AS123*VLOOKUP('Données projet'!$B$10,Paramètres!$A$1:$I$89,3,0)*0.475*44/12</f>
        <v>2.7475190279237895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15.786009898522568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190.99999999999997</v>
      </c>
      <c r="BE123" s="13">
        <f>BD123*VLOOKUP('Données projet'!$B$11,Paramètres!$A$1:$I$89,3,0)*VLOOKUP('Données projet'!$B$11,Paramètres!$A$1:$I$89,5,0)</f>
        <v>166.85759999999999</v>
      </c>
      <c r="BF123" s="13">
        <f t="shared" si="91"/>
        <v>42.385468111966098</v>
      </c>
      <c r="BG123" s="20">
        <f t="shared" si="61"/>
        <v>364.43167696167421</v>
      </c>
      <c r="BH123" s="59">
        <f t="shared" si="62"/>
        <v>657.76501029500753</v>
      </c>
      <c r="BI123" s="59">
        <f ca="1">AVERAGE(OFFSET($BH$3,0,0,'Données projet'!$E$11+1,1))-AVERAGE(OFFSET($H$3,0,0,'Données projet'!$E$11+1,1))</f>
        <v>175.73188403662408</v>
      </c>
      <c r="BJ123" s="59">
        <f t="shared" si="92"/>
        <v>152.02195399869032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6.4108352531387371</v>
      </c>
      <c r="BQ123" s="21">
        <f>EXP(-LN(2)/25)*BQ122+(1-EXP(-LN(2)/25))/(LN(2)/25)*Calculateur!BL123*Calculateur!BN123*VLOOKUP('Données projet'!$B$11,Paramètres!$A$1:$I$89,3,0)*0.475*44/12</f>
        <v>6.2758179504507261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12.686653203589463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5.3066239316239274</v>
      </c>
      <c r="BY123" s="12">
        <f>IF('Données projet'!$A$114&gt;35,BY122+BX123-CG122,IF(A123&lt;'Données projet'!$A$114,$BV$205^A123,IF(A123='Données projet'!$A$114,'Données projet'!$B$114,BY122+BX123-CG122)))</f>
        <v>251.7617521367518</v>
      </c>
      <c r="BZ123" s="13">
        <f>BY123*VLOOKUP('Données projet'!$B$12,Paramètres!$A$1:$I$89,3,0)*VLOOKUP('Données projet'!$B$12,Paramètres!$A$1:$I$89,5,0)</f>
        <v>227.794033333333</v>
      </c>
      <c r="CA123" s="13">
        <f t="shared" si="93"/>
        <v>55.805432753411694</v>
      </c>
      <c r="CB123" s="20">
        <f t="shared" si="64"/>
        <v>493.93573676774707</v>
      </c>
      <c r="CC123" s="59">
        <f t="shared" si="65"/>
        <v>787.26907010108039</v>
      </c>
      <c r="CD123" s="59">
        <f ca="1">AVERAGE(OFFSET($CC$3,0,0,'Données projet'!$E$12+1,1))-AVERAGE(OFFSET($H$3,0,0,'Données projet'!$E$12+1,1))</f>
        <v>213.54857791046686</v>
      </c>
      <c r="CE123" s="59">
        <f t="shared" si="94"/>
        <v>138.46877538074244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31.07999195286785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31.07999195286785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213</v>
      </c>
      <c r="CU123" s="17">
        <f>CT123*VLOOKUP('Données projet'!$B$13,Paramètres!$A$1:$I$89,3,0)*VLOOKUP('Données projet'!$B$13,Paramètres!$A$1:$I$89,5,0)</f>
        <v>169.46279999999999</v>
      </c>
      <c r="CV123" s="13">
        <f t="shared" si="95"/>
        <v>42.969686502194378</v>
      </c>
      <c r="CW123" s="20">
        <f t="shared" si="67"/>
        <v>369.9865806579885</v>
      </c>
      <c r="CX123" s="59">
        <f t="shared" si="68"/>
        <v>663.31991399132176</v>
      </c>
      <c r="CY123" s="59">
        <f ca="1">AVERAGE(OFFSET($CX$3,0,0,'Données projet'!$E$13+1,1))-AVERAGE(OFFSET($H$3,0,0,'Données projet'!$E$13+1,1))</f>
        <v>161.87883827031436</v>
      </c>
      <c r="CZ123" s="59">
        <f t="shared" si="96"/>
        <v>163.02076389611869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5.1082391893884935</v>
      </c>
      <c r="DG123" s="21">
        <f>EXP(-LN(2)/25)*DG122+(1-EXP(-LN(2)/25))/(LN(2)/25)*Calculateur!DB123*Calculateur!DD123*VLOOKUP('Données projet'!$B$13,Paramètres!$A$1:$I$89,3,0)*0.475*44/12</f>
        <v>2.8824082757486305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7.9906474651371244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149.0000000000002</v>
      </c>
      <c r="DP123" s="17">
        <f>DO123*VLOOKUP('Données projet'!$B$14,Paramètres!$A$1:$I$89,3,0)*VLOOKUP('Données projet'!$B$14,Paramètres!$A$1:$I$89,5,0)</f>
        <v>120.86880000000016</v>
      </c>
      <c r="DQ123" s="13">
        <f t="shared" si="97"/>
        <v>31.877547472771326</v>
      </c>
      <c r="DR123" s="20">
        <f t="shared" si="70"/>
        <v>266.03322184841039</v>
      </c>
      <c r="DS123" s="59">
        <f t="shared" si="71"/>
        <v>559.36655518174371</v>
      </c>
      <c r="DT123" s="59">
        <f ca="1">AVERAGE(OFFSET($DS$3,0,0,'Données projet'!$E$14+1,1))-AVERAGE(OFFSET($H$3,0,0,'Données projet'!$E$14+1,1))</f>
        <v>96.611230241682733</v>
      </c>
      <c r="DU123" s="59">
        <f t="shared" si="98"/>
        <v>78.711045514042041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0.9873378023104401</v>
      </c>
      <c r="EB123" s="21">
        <f>EXP(-LN(2)/25)*EB122+(1-EXP(-LN(2)/25))/(LN(2)/25)*Calculateur!DW123*Calculateur!DY123*VLOOKUP('Données projet'!$B$14,Paramètres!$A$1:$I$89,3,0)*0.475*44/12</f>
        <v>2.7310429963609804</v>
      </c>
      <c r="EC123" s="21">
        <f>EXP(-LN(2)/2)*EC122+(1-EXP(-LN(2)/2))/(LN(2)/2)*DW123*DZ123*VLOOKUP('Données projet'!$B$14,Paramètres!$A$1:$I$89,3,0)*0.475*44/12</f>
        <v>4.1435557464645943E-5</v>
      </c>
      <c r="ED123" s="22">
        <f t="shared" si="72"/>
        <v>3.7184222342288851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188.61152573050066</v>
      </c>
      <c r="EP123" s="59">
        <f t="shared" si="100"/>
        <v>172.37050503841624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61.826043271379106</v>
      </c>
      <c r="EW123" s="21">
        <f>EXP(-LN(2)/25)*EW122+(1-EXP(-LN(2)/25))/(LN(2)/25)*Calculateur!ER123*Calculateur!ET123*VLOOKUP('Données projet'!$B$15,Paramètres!$A$1:$I$89,3,0)*0.475*44/12</f>
        <v>10.95707655333978</v>
      </c>
      <c r="EX123" s="21">
        <f>EXP(-LN(2)/2)*EX122+(1-EXP(-LN(2)/2))/(LN(2)/2)*ER123*EU123*VLOOKUP('Données projet'!$B$15,Paramètres!$A$1:$I$89,3,0)*0.475*44/12</f>
        <v>9.3863471336443013E-7</v>
      </c>
      <c r="EY123" s="22">
        <f t="shared" si="75"/>
        <v>72.783120763353594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0</v>
      </c>
      <c r="FK123" s="59">
        <f t="shared" si="102"/>
        <v>0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0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197.78572767493569</v>
      </c>
      <c r="T124" s="59">
        <f t="shared" si="88"/>
        <v>288.66487031729008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266.99999999999983</v>
      </c>
      <c r="AJ124" s="13">
        <f>AI124*VLOOKUP('Données projet'!$B$10,Paramètres!$A$1:$I$89,3,0)*VLOOKUP('Données projet'!$B$10,Paramètres!$A$1:$I$89,5,0)</f>
        <v>212.42519999999985</v>
      </c>
      <c r="AK124" s="13">
        <f t="shared" si="89"/>
        <v>52.465198231787184</v>
      </c>
      <c r="AL124" s="20">
        <f t="shared" si="58"/>
        <v>461.35077692036231</v>
      </c>
      <c r="AM124" s="59">
        <f t="shared" si="59"/>
        <v>754.68411025369562</v>
      </c>
      <c r="AN124" s="59">
        <f ca="1">AVERAGE(OFFSET($AM$3,0,0,'Données projet'!$E$10+1,1))-AVERAGE(OFFSET($H$3,0,0,'Données projet'!$E$10+1,1))</f>
        <v>219.43439115440339</v>
      </c>
      <c r="AO124" s="59">
        <f t="shared" si="90"/>
        <v>217.8880462742099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12.782814017320504</v>
      </c>
      <c r="AV124" s="21">
        <f>EXP(-LN(2)/25)*AV123+(1-EXP(-LN(2)/25))/(LN(2)/25)*Calculateur!AQ124*Calculateur!AS124*VLOOKUP('Données projet'!$B$10,Paramètres!$A$1:$I$89,3,0)*0.475*44/12</f>
        <v>2.6723879756194675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15.455201992939973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190.99999999999997</v>
      </c>
      <c r="BE124" s="13">
        <f>BD124*VLOOKUP('Données projet'!$B$11,Paramètres!$A$1:$I$89,3,0)*VLOOKUP('Données projet'!$B$11,Paramètres!$A$1:$I$89,5,0)</f>
        <v>166.85759999999999</v>
      </c>
      <c r="BF124" s="13">
        <f t="shared" si="91"/>
        <v>42.385468111966098</v>
      </c>
      <c r="BG124" s="20">
        <f t="shared" si="61"/>
        <v>364.43167696167421</v>
      </c>
      <c r="BH124" s="59">
        <f t="shared" si="62"/>
        <v>657.76501029500753</v>
      </c>
      <c r="BI124" s="59">
        <f ca="1">AVERAGE(OFFSET($BH$3,0,0,'Données projet'!$E$11+1,1))-AVERAGE(OFFSET($H$3,0,0,'Données projet'!$E$11+1,1))</f>
        <v>175.73188403662408</v>
      </c>
      <c r="BJ124" s="59">
        <f t="shared" si="92"/>
        <v>152.02195399869032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6.2851226840480887</v>
      </c>
      <c r="BQ124" s="21">
        <f>EXP(-LN(2)/25)*BQ123+(1-EXP(-LN(2)/25))/(LN(2)/25)*Calculateur!BL124*Calculateur!BN124*VLOOKUP('Données projet'!$B$11,Paramètres!$A$1:$I$89,3,0)*0.475*44/12</f>
        <v>6.1042053785647283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12.389328062612817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5.3066239316239274</v>
      </c>
      <c r="BY124" s="12">
        <f>IF('Données projet'!$A$114&gt;35,BY123+BX124-CG123,IF(A124&lt;'Données projet'!$A$114,$BV$205^A124,IF(A124='Données projet'!$A$114,'Données projet'!$B$114,BY123+BX124-CG123)))</f>
        <v>257.0683760683757</v>
      </c>
      <c r="BZ124" s="13">
        <f>BY124*VLOOKUP('Données projet'!$B$12,Paramètres!$A$1:$I$89,3,0)*VLOOKUP('Données projet'!$B$12,Paramètres!$A$1:$I$89,5,0)</f>
        <v>232.59546666666634</v>
      </c>
      <c r="CA124" s="13">
        <f t="shared" si="93"/>
        <v>56.843515067710278</v>
      </c>
      <c r="CB124" s="20">
        <f t="shared" si="64"/>
        <v>504.10622652070589</v>
      </c>
      <c r="CC124" s="59">
        <f t="shared" si="65"/>
        <v>797.4395598540392</v>
      </c>
      <c r="CD124" s="59">
        <f ca="1">AVERAGE(OFFSET($CC$3,0,0,'Données projet'!$E$12+1,1))-AVERAGE(OFFSET($H$3,0,0,'Données projet'!$E$12+1,1))</f>
        <v>213.54857791046686</v>
      </c>
      <c r="CE124" s="59">
        <f t="shared" si="94"/>
        <v>138.46877538074244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30.470532267595363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30.470532267595363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213</v>
      </c>
      <c r="CU124" s="17">
        <f>CT124*VLOOKUP('Données projet'!$B$13,Paramètres!$A$1:$I$89,3,0)*VLOOKUP('Données projet'!$B$13,Paramètres!$A$1:$I$89,5,0)</f>
        <v>169.46279999999999</v>
      </c>
      <c r="CV124" s="13">
        <f t="shared" si="95"/>
        <v>42.969686502194378</v>
      </c>
      <c r="CW124" s="20">
        <f t="shared" si="67"/>
        <v>369.9865806579885</v>
      </c>
      <c r="CX124" s="59">
        <f t="shared" si="68"/>
        <v>663.31991399132176</v>
      </c>
      <c r="CY124" s="59">
        <f ca="1">AVERAGE(OFFSET($CX$3,0,0,'Données projet'!$E$13+1,1))-AVERAGE(OFFSET($H$3,0,0,'Données projet'!$E$13+1,1))</f>
        <v>161.87883827031436</v>
      </c>
      <c r="CZ124" s="59">
        <f t="shared" si="96"/>
        <v>163.02076389611869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5.0080697346028389</v>
      </c>
      <c r="DG124" s="21">
        <f>EXP(-LN(2)/25)*DG123+(1-EXP(-LN(2)/25))/(LN(2)/25)*Calculateur!DB124*Calculateur!DD124*VLOOKUP('Données projet'!$B$13,Paramètres!$A$1:$I$89,3,0)*0.475*44/12</f>
        <v>2.8035886698690207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7.81165840447186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149.0000000000002</v>
      </c>
      <c r="DP124" s="17">
        <f>DO124*VLOOKUP('Données projet'!$B$14,Paramètres!$A$1:$I$89,3,0)*VLOOKUP('Données projet'!$B$14,Paramètres!$A$1:$I$89,5,0)</f>
        <v>120.86880000000016</v>
      </c>
      <c r="DQ124" s="13">
        <f t="shared" si="97"/>
        <v>31.877547472771326</v>
      </c>
      <c r="DR124" s="20">
        <f t="shared" si="70"/>
        <v>266.03322184841039</v>
      </c>
      <c r="DS124" s="59">
        <f t="shared" si="71"/>
        <v>559.36655518174371</v>
      </c>
      <c r="DT124" s="59">
        <f ca="1">AVERAGE(OFFSET($DS$3,0,0,'Données projet'!$E$14+1,1))-AVERAGE(OFFSET($H$3,0,0,'Données projet'!$E$14+1,1))</f>
        <v>96.611230241682733</v>
      </c>
      <c r="DU124" s="59">
        <f t="shared" si="98"/>
        <v>78.711045514042041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0.96797671022372789</v>
      </c>
      <c r="EB124" s="21">
        <f>EXP(-LN(2)/25)*EB123+(1-EXP(-LN(2)/25))/(LN(2)/25)*Calculateur!DW124*Calculateur!DY124*VLOOKUP('Données projet'!$B$14,Paramètres!$A$1:$I$89,3,0)*0.475*44/12</f>
        <v>2.65636248200618</v>
      </c>
      <c r="EC124" s="21">
        <f>EXP(-LN(2)/2)*EC123+(1-EXP(-LN(2)/2))/(LN(2)/2)*DW124*DZ124*VLOOKUP('Données projet'!$B$14,Paramètres!$A$1:$I$89,3,0)*0.475*44/12</f>
        <v>2.9299363665496017E-5</v>
      </c>
      <c r="ED124" s="22">
        <f t="shared" si="72"/>
        <v>3.6243684915935734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188.61152573050066</v>
      </c>
      <c r="EP124" s="59">
        <f t="shared" si="100"/>
        <v>172.37050503841624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60.613672272990186</v>
      </c>
      <c r="EW124" s="21">
        <f>EXP(-LN(2)/25)*EW123+(1-EXP(-LN(2)/25))/(LN(2)/25)*Calculateur!ER124*Calculateur!ET124*VLOOKUP('Données projet'!$B$15,Paramètres!$A$1:$I$89,3,0)*0.475*44/12</f>
        <v>10.657454718781091</v>
      </c>
      <c r="EX124" s="21">
        <f>EXP(-LN(2)/2)*EX123+(1-EXP(-LN(2)/2))/(LN(2)/2)*ER124*EU124*VLOOKUP('Données projet'!$B$15,Paramètres!$A$1:$I$89,3,0)*0.475*44/12</f>
        <v>6.6371497087707994E-7</v>
      </c>
      <c r="EY124" s="22">
        <f t="shared" si="75"/>
        <v>71.271127655486254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0</v>
      </c>
      <c r="FK124" s="59">
        <f t="shared" si="102"/>
        <v>0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0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197.78572767493569</v>
      </c>
      <c r="T125" s="59">
        <f t="shared" si="88"/>
        <v>288.66487031729008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266.99999999999983</v>
      </c>
      <c r="AJ125" s="13">
        <f>AI125*VLOOKUP('Données projet'!$B$10,Paramètres!$A$1:$I$89,3,0)*VLOOKUP('Données projet'!$B$10,Paramètres!$A$1:$I$89,5,0)</f>
        <v>212.42519999999985</v>
      </c>
      <c r="AK125" s="13">
        <f t="shared" si="89"/>
        <v>52.465198231787184</v>
      </c>
      <c r="AL125" s="20">
        <f t="shared" si="58"/>
        <v>461.35077692036231</v>
      </c>
      <c r="AM125" s="59">
        <f t="shared" si="59"/>
        <v>754.68411025369562</v>
      </c>
      <c r="AN125" s="59">
        <f ca="1">AVERAGE(OFFSET($AM$3,0,0,'Données projet'!$E$10+1,1))-AVERAGE(OFFSET($H$3,0,0,'Données projet'!$E$10+1,1))</f>
        <v>219.43439115440339</v>
      </c>
      <c r="AO125" s="59">
        <f t="shared" si="90"/>
        <v>217.8880462742099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12.532150831187534</v>
      </c>
      <c r="AV125" s="21">
        <f>EXP(-LN(2)/25)*AV124+(1-EXP(-LN(2)/25))/(LN(2)/25)*Calculateur!AQ125*Calculateur!AS125*VLOOKUP('Données projet'!$B$10,Paramètres!$A$1:$I$89,3,0)*0.475*44/12</f>
        <v>2.5993113858913772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15.131462217078912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190.99999999999997</v>
      </c>
      <c r="BE125" s="13">
        <f>BD125*VLOOKUP('Données projet'!$B$11,Paramètres!$A$1:$I$89,3,0)*VLOOKUP('Données projet'!$B$11,Paramètres!$A$1:$I$89,5,0)</f>
        <v>166.85759999999999</v>
      </c>
      <c r="BF125" s="13">
        <f t="shared" si="91"/>
        <v>42.385468111966098</v>
      </c>
      <c r="BG125" s="20">
        <f t="shared" si="61"/>
        <v>364.43167696167421</v>
      </c>
      <c r="BH125" s="59">
        <f t="shared" si="62"/>
        <v>657.76501029500753</v>
      </c>
      <c r="BI125" s="59">
        <f ca="1">AVERAGE(OFFSET($BH$3,0,0,'Données projet'!$E$11+1,1))-AVERAGE(OFFSET($H$3,0,0,'Données projet'!$E$11+1,1))</f>
        <v>175.73188403662408</v>
      </c>
      <c r="BJ125" s="59">
        <f t="shared" si="92"/>
        <v>152.02195399869032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6.1618752617602119</v>
      </c>
      <c r="BQ125" s="21">
        <f>EXP(-LN(2)/25)*BQ124+(1-EXP(-LN(2)/25))/(LN(2)/25)*Calculateur!BL125*Calculateur!BN125*VLOOKUP('Données projet'!$B$11,Paramètres!$A$1:$I$89,3,0)*0.475*44/12</f>
        <v>5.9372855614816666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12.099160823241878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5.3066239316239274</v>
      </c>
      <c r="BY125" s="12">
        <f>IF('Données projet'!$A$114&gt;35,BY124+BX125-CG124,IF(A125&lt;'Données projet'!$A$114,$BV$205^A125,IF(A125='Données projet'!$A$114,'Données projet'!$B$114,BY124+BX125-CG124)))</f>
        <v>262.3749999999996</v>
      </c>
      <c r="BZ125" s="13">
        <f>BY125*VLOOKUP('Données projet'!$B$12,Paramètres!$A$1:$I$89,3,0)*VLOOKUP('Données projet'!$B$12,Paramètres!$A$1:$I$89,5,0)</f>
        <v>237.39689999999962</v>
      </c>
      <c r="CA125" s="13">
        <f t="shared" si="93"/>
        <v>57.87910585630879</v>
      </c>
      <c r="CB125" s="20">
        <f t="shared" si="64"/>
        <v>514.27237686640376</v>
      </c>
      <c r="CC125" s="59">
        <f t="shared" si="65"/>
        <v>807.60571019973713</v>
      </c>
      <c r="CD125" s="59">
        <f ca="1">AVERAGE(OFFSET($CC$3,0,0,'Données projet'!$E$12+1,1))-AVERAGE(OFFSET($H$3,0,0,'Données projet'!$E$12+1,1))</f>
        <v>213.54857791046686</v>
      </c>
      <c r="CE125" s="59">
        <f t="shared" si="94"/>
        <v>138.46877538074244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29.873023715017368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29.873023715017368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213</v>
      </c>
      <c r="CU125" s="17">
        <f>CT125*VLOOKUP('Données projet'!$B$13,Paramètres!$A$1:$I$89,3,0)*VLOOKUP('Données projet'!$B$13,Paramètres!$A$1:$I$89,5,0)</f>
        <v>169.46279999999999</v>
      </c>
      <c r="CV125" s="13">
        <f t="shared" si="95"/>
        <v>42.969686502194378</v>
      </c>
      <c r="CW125" s="20">
        <f t="shared" si="67"/>
        <v>369.9865806579885</v>
      </c>
      <c r="CX125" s="59">
        <f t="shared" si="68"/>
        <v>663.31991399132176</v>
      </c>
      <c r="CY125" s="59">
        <f ca="1">AVERAGE(OFFSET($CX$3,0,0,'Données projet'!$E$13+1,1))-AVERAGE(OFFSET($H$3,0,0,'Données projet'!$E$13+1,1))</f>
        <v>161.87883827031436</v>
      </c>
      <c r="CZ125" s="59">
        <f t="shared" si="96"/>
        <v>163.02076389611869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4.9098645417281963</v>
      </c>
      <c r="DG125" s="21">
        <f>EXP(-LN(2)/25)*DG124+(1-EXP(-LN(2)/25))/(LN(2)/25)*Calculateur!DB125*Calculateur!DD125*VLOOKUP('Données projet'!$B$13,Paramètres!$A$1:$I$89,3,0)*0.475*44/12</f>
        <v>2.7269243902571318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7.6367889319853282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149.0000000000002</v>
      </c>
      <c r="DP125" s="17">
        <f>DO125*VLOOKUP('Données projet'!$B$14,Paramètres!$A$1:$I$89,3,0)*VLOOKUP('Données projet'!$B$14,Paramètres!$A$1:$I$89,5,0)</f>
        <v>120.86880000000016</v>
      </c>
      <c r="DQ125" s="13">
        <f t="shared" si="97"/>
        <v>31.877547472771326</v>
      </c>
      <c r="DR125" s="20">
        <f t="shared" si="70"/>
        <v>266.03322184841039</v>
      </c>
      <c r="DS125" s="59">
        <f t="shared" si="71"/>
        <v>559.36655518174371</v>
      </c>
      <c r="DT125" s="59">
        <f ca="1">AVERAGE(OFFSET($DS$3,0,0,'Données projet'!$E$14+1,1))-AVERAGE(OFFSET($H$3,0,0,'Données projet'!$E$14+1,1))</f>
        <v>96.611230241682733</v>
      </c>
      <c r="DU125" s="59">
        <f t="shared" si="98"/>
        <v>78.711045514042041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0.9489952773437359</v>
      </c>
      <c r="EB125" s="21">
        <f>EXP(-LN(2)/25)*EB124+(1-EXP(-LN(2)/25))/(LN(2)/25)*Calculateur!DW125*Calculateur!DY125*VLOOKUP('Données projet'!$B$14,Paramètres!$A$1:$I$89,3,0)*0.475*44/12</f>
        <v>2.5837241102436894</v>
      </c>
      <c r="EC125" s="21">
        <f>EXP(-LN(2)/2)*EC124+(1-EXP(-LN(2)/2))/(LN(2)/2)*DW125*DZ125*VLOOKUP('Données projet'!$B$14,Paramètres!$A$1:$I$89,3,0)*0.475*44/12</f>
        <v>2.0717778732322975E-5</v>
      </c>
      <c r="ED125" s="22">
        <f t="shared" si="72"/>
        <v>3.5327401053661576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188.61152573050066</v>
      </c>
      <c r="EP125" s="59">
        <f t="shared" si="100"/>
        <v>172.37050503841624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59.425075130406384</v>
      </c>
      <c r="EW125" s="21">
        <f>EXP(-LN(2)/25)*EW124+(1-EXP(-LN(2)/25))/(LN(2)/25)*Calculateur!ER125*Calculateur!ET125*VLOOKUP('Données projet'!$B$15,Paramètres!$A$1:$I$89,3,0)*0.475*44/12</f>
        <v>10.366026059044836</v>
      </c>
      <c r="EX125" s="21">
        <f>EXP(-LN(2)/2)*EX124+(1-EXP(-LN(2)/2))/(LN(2)/2)*ER125*EU125*VLOOKUP('Données projet'!$B$15,Paramètres!$A$1:$I$89,3,0)*0.475*44/12</f>
        <v>4.6931735668221517E-7</v>
      </c>
      <c r="EY125" s="22">
        <f t="shared" si="75"/>
        <v>69.791101658768582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0</v>
      </c>
      <c r="FK125" s="59">
        <f t="shared" si="102"/>
        <v>0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0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197.78572767493569</v>
      </c>
      <c r="T126" s="59">
        <f t="shared" si="88"/>
        <v>288.66487031729008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266.99999999999983</v>
      </c>
      <c r="AJ126" s="13">
        <f>AI126*VLOOKUP('Données projet'!$B$10,Paramètres!$A$1:$I$89,3,0)*VLOOKUP('Données projet'!$B$10,Paramètres!$A$1:$I$89,5,0)</f>
        <v>212.42519999999985</v>
      </c>
      <c r="AK126" s="13">
        <f t="shared" si="89"/>
        <v>52.465198231787184</v>
      </c>
      <c r="AL126" s="20">
        <f t="shared" si="58"/>
        <v>461.35077692036231</v>
      </c>
      <c r="AM126" s="59">
        <f t="shared" si="59"/>
        <v>754.68411025369562</v>
      </c>
      <c r="AN126" s="59">
        <f ca="1">AVERAGE(OFFSET($AM$3,0,0,'Données projet'!$E$10+1,1))-AVERAGE(OFFSET($H$3,0,0,'Données projet'!$E$10+1,1))</f>
        <v>219.43439115440339</v>
      </c>
      <c r="AO126" s="59">
        <f t="shared" si="90"/>
        <v>217.8880462742099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12.286402997245185</v>
      </c>
      <c r="AV126" s="21">
        <f>EXP(-LN(2)/25)*AV125+(1-EXP(-LN(2)/25))/(LN(2)/25)*Calculateur!AQ126*Calculateur!AS126*VLOOKUP('Données projet'!$B$10,Paramètres!$A$1:$I$89,3,0)*0.475*44/12</f>
        <v>2.5282330793523324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14.814636076597518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190.99999999999997</v>
      </c>
      <c r="BE126" s="13">
        <f>BD126*VLOOKUP('Données projet'!$B$11,Paramètres!$A$1:$I$89,3,0)*VLOOKUP('Données projet'!$B$11,Paramètres!$A$1:$I$89,5,0)</f>
        <v>166.85759999999999</v>
      </c>
      <c r="BF126" s="13">
        <f t="shared" si="91"/>
        <v>42.385468111966098</v>
      </c>
      <c r="BG126" s="20">
        <f t="shared" si="61"/>
        <v>364.43167696167421</v>
      </c>
      <c r="BH126" s="59">
        <f t="shared" si="62"/>
        <v>657.76501029500753</v>
      </c>
      <c r="BI126" s="59">
        <f ca="1">AVERAGE(OFFSET($BH$3,0,0,'Données projet'!$E$11+1,1))-AVERAGE(OFFSET($H$3,0,0,'Données projet'!$E$11+1,1))</f>
        <v>175.73188403662408</v>
      </c>
      <c r="BJ126" s="59">
        <f t="shared" si="92"/>
        <v>152.02195399869032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6.0410446462498957</v>
      </c>
      <c r="BQ126" s="21">
        <f>EXP(-LN(2)/25)*BQ125+(1-EXP(-LN(2)/25))/(LN(2)/25)*Calculateur!BL126*Calculateur!BN126*VLOOKUP('Données projet'!$B$11,Paramètres!$A$1:$I$89,3,0)*0.475*44/12</f>
        <v>5.7749301755746725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11.815974821824568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5.3066239316239274</v>
      </c>
      <c r="BY126" s="12">
        <f>IF('Données projet'!$A$114&gt;35,BY125+BX126-CG125,IF(A126&lt;'Données projet'!$A$114,$BV$205^A126,IF(A126='Données projet'!$A$114,'Données projet'!$B$114,BY125+BX126-CG125)))</f>
        <v>267.68162393162351</v>
      </c>
      <c r="BZ126" s="13">
        <f>BY126*VLOOKUP('Données projet'!$B$12,Paramètres!$A$1:$I$89,3,0)*VLOOKUP('Données projet'!$B$12,Paramètres!$A$1:$I$89,5,0)</f>
        <v>242.19833333333295</v>
      </c>
      <c r="CA126" s="13">
        <f t="shared" si="93"/>
        <v>58.912261318352805</v>
      </c>
      <c r="CB126" s="20">
        <f t="shared" si="64"/>
        <v>524.43428568501929</v>
      </c>
      <c r="CC126" s="59">
        <f t="shared" si="65"/>
        <v>817.76761901835266</v>
      </c>
      <c r="CD126" s="59">
        <f ca="1">AVERAGE(OFFSET($CC$3,0,0,'Données projet'!$E$12+1,1))-AVERAGE(OFFSET($H$3,0,0,'Données projet'!$E$12+1,1))</f>
        <v>213.54857791046686</v>
      </c>
      <c r="CE126" s="59">
        <f t="shared" si="94"/>
        <v>138.46877538074244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29.287231940711195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29.287231940711195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213</v>
      </c>
      <c r="CU126" s="17">
        <f>CT126*VLOOKUP('Données projet'!$B$13,Paramètres!$A$1:$I$89,3,0)*VLOOKUP('Données projet'!$B$13,Paramètres!$A$1:$I$89,5,0)</f>
        <v>169.46279999999999</v>
      </c>
      <c r="CV126" s="13">
        <f t="shared" si="95"/>
        <v>42.969686502194378</v>
      </c>
      <c r="CW126" s="20">
        <f t="shared" si="67"/>
        <v>369.9865806579885</v>
      </c>
      <c r="CX126" s="59">
        <f t="shared" si="68"/>
        <v>663.31991399132176</v>
      </c>
      <c r="CY126" s="59">
        <f ca="1">AVERAGE(OFFSET($CX$3,0,0,'Données projet'!$E$13+1,1))-AVERAGE(OFFSET($H$3,0,0,'Données projet'!$E$13+1,1))</f>
        <v>161.87883827031436</v>
      </c>
      <c r="CZ126" s="59">
        <f t="shared" si="96"/>
        <v>163.02076389611869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4.8135850927865729</v>
      </c>
      <c r="DG126" s="21">
        <f>EXP(-LN(2)/25)*DG125+(1-EXP(-LN(2)/25))/(LN(2)/25)*Calculateur!DB126*Calculateur!DD126*VLOOKUP('Données projet'!$B$13,Paramètres!$A$1:$I$89,3,0)*0.475*44/12</f>
        <v>2.6523564994028295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7.4659415921894023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149.0000000000002</v>
      </c>
      <c r="DP126" s="17">
        <f>DO126*VLOOKUP('Données projet'!$B$14,Paramètres!$A$1:$I$89,3,0)*VLOOKUP('Données projet'!$B$14,Paramètres!$A$1:$I$89,5,0)</f>
        <v>120.86880000000016</v>
      </c>
      <c r="DQ126" s="13">
        <f t="shared" si="97"/>
        <v>31.877547472771326</v>
      </c>
      <c r="DR126" s="20">
        <f t="shared" si="70"/>
        <v>266.03322184841039</v>
      </c>
      <c r="DS126" s="59">
        <f t="shared" si="71"/>
        <v>559.36655518174371</v>
      </c>
      <c r="DT126" s="59">
        <f ca="1">AVERAGE(OFFSET($DS$3,0,0,'Données projet'!$E$14+1,1))-AVERAGE(OFFSET($H$3,0,0,'Données projet'!$E$14+1,1))</f>
        <v>96.611230241682733</v>
      </c>
      <c r="DU126" s="59">
        <f t="shared" si="98"/>
        <v>78.711045514042041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0.9303860587849897</v>
      </c>
      <c r="EB126" s="21">
        <f>EXP(-LN(2)/25)*EB125+(1-EXP(-LN(2)/25))/(LN(2)/25)*Calculateur!DW126*Calculateur!DY126*VLOOKUP('Données projet'!$B$14,Paramètres!$A$1:$I$89,3,0)*0.475*44/12</f>
        <v>2.5130720385769298</v>
      </c>
      <c r="EC126" s="21">
        <f>EXP(-LN(2)/2)*EC125+(1-EXP(-LN(2)/2))/(LN(2)/2)*DW126*DZ126*VLOOKUP('Données projet'!$B$14,Paramètres!$A$1:$I$89,3,0)*0.475*44/12</f>
        <v>1.464968183274801E-5</v>
      </c>
      <c r="ED126" s="22">
        <f t="shared" si="72"/>
        <v>3.4434727470437525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188.61152573050066</v>
      </c>
      <c r="EP126" s="59">
        <f t="shared" si="100"/>
        <v>172.37050503841624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58.259785652815978</v>
      </c>
      <c r="EW126" s="21">
        <f>EXP(-LN(2)/25)*EW125+(1-EXP(-LN(2)/25))/(LN(2)/25)*Calculateur!ER126*Calculateur!ET126*VLOOKUP('Données projet'!$B$15,Paramètres!$A$1:$I$89,3,0)*0.475*44/12</f>
        <v>10.082566531334637</v>
      </c>
      <c r="EX126" s="21">
        <f>EXP(-LN(2)/2)*EX125+(1-EXP(-LN(2)/2))/(LN(2)/2)*ER126*EU126*VLOOKUP('Données projet'!$B$15,Paramètres!$A$1:$I$89,3,0)*0.475*44/12</f>
        <v>3.3185748543854002E-7</v>
      </c>
      <c r="EY126" s="22">
        <f t="shared" si="75"/>
        <v>68.342352516008091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0</v>
      </c>
      <c r="FK126" s="59">
        <f t="shared" si="102"/>
        <v>0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0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197.78572767493569</v>
      </c>
      <c r="T127" s="59">
        <f t="shared" si="88"/>
        <v>288.66487031729008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266.99999999999983</v>
      </c>
      <c r="AJ127" s="13">
        <f>AI127*VLOOKUP('Données projet'!$B$10,Paramètres!$A$1:$I$89,3,0)*VLOOKUP('Données projet'!$B$10,Paramètres!$A$1:$I$89,5,0)</f>
        <v>212.42519999999985</v>
      </c>
      <c r="AK127" s="13">
        <f t="shared" si="89"/>
        <v>52.465198231787184</v>
      </c>
      <c r="AL127" s="20">
        <f t="shared" si="58"/>
        <v>461.35077692036231</v>
      </c>
      <c r="AM127" s="59">
        <f t="shared" si="59"/>
        <v>754.68411025369562</v>
      </c>
      <c r="AN127" s="59">
        <f ca="1">AVERAGE(OFFSET($AM$3,0,0,'Données projet'!$E$10+1,1))-AVERAGE(OFFSET($H$3,0,0,'Données projet'!$E$10+1,1))</f>
        <v>219.43439115440339</v>
      </c>
      <c r="AO127" s="59">
        <f t="shared" si="90"/>
        <v>217.8880462742099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12.045474128435067</v>
      </c>
      <c r="AV127" s="21">
        <f>EXP(-LN(2)/25)*AV126+(1-EXP(-LN(2)/25))/(LN(2)/25)*Calculateur!AQ127*Calculateur!AS127*VLOOKUP('Données projet'!$B$10,Paramètres!$A$1:$I$89,3,0)*0.475*44/12</f>
        <v>2.4590984128434434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14.504572541278511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190.99999999999997</v>
      </c>
      <c r="BE127" s="13">
        <f>BD127*VLOOKUP('Données projet'!$B$11,Paramètres!$A$1:$I$89,3,0)*VLOOKUP('Données projet'!$B$11,Paramètres!$A$1:$I$89,5,0)</f>
        <v>166.85759999999999</v>
      </c>
      <c r="BF127" s="13">
        <f t="shared" si="91"/>
        <v>42.385468111966098</v>
      </c>
      <c r="BG127" s="20">
        <f t="shared" si="61"/>
        <v>364.43167696167421</v>
      </c>
      <c r="BH127" s="59">
        <f t="shared" si="62"/>
        <v>657.76501029500753</v>
      </c>
      <c r="BI127" s="59">
        <f ca="1">AVERAGE(OFFSET($BH$3,0,0,'Données projet'!$E$11+1,1))-AVERAGE(OFFSET($H$3,0,0,'Données projet'!$E$11+1,1))</f>
        <v>175.73188403662408</v>
      </c>
      <c r="BJ127" s="59">
        <f t="shared" si="92"/>
        <v>152.02195399869032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5.9225834454103383</v>
      </c>
      <c r="BQ127" s="21">
        <f>EXP(-LN(2)/25)*BQ126+(1-EXP(-LN(2)/25))/(LN(2)/25)*Calculateur!BL127*Calculateur!BN127*VLOOKUP('Données projet'!$B$11,Paramètres!$A$1:$I$89,3,0)*0.475*44/12</f>
        <v>5.6170144062332037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11.539597851643542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5.3066239316239274</v>
      </c>
      <c r="BY127" s="12">
        <f>IF('Données projet'!$A$114&gt;35,BY126+BX127-CG126,IF(A127&lt;'Données projet'!$A$114,$BV$205^A127,IF(A127='Données projet'!$A$114,'Données projet'!$B$114,BY126+BX127-CG126)))</f>
        <v>272.98824786324741</v>
      </c>
      <c r="BZ127" s="13">
        <f>BY127*VLOOKUP('Données projet'!$B$12,Paramètres!$A$1:$I$89,3,0)*VLOOKUP('Données projet'!$B$12,Paramètres!$A$1:$I$89,5,0)</f>
        <v>246.99976666666623</v>
      </c>
      <c r="CA127" s="13">
        <f t="shared" si="93"/>
        <v>59.943035297333779</v>
      </c>
      <c r="CB127" s="20">
        <f t="shared" si="64"/>
        <v>534.59204675396666</v>
      </c>
      <c r="CC127" s="59">
        <f t="shared" si="65"/>
        <v>827.92538008730003</v>
      </c>
      <c r="CD127" s="59">
        <f ca="1">AVERAGE(OFFSET($CC$3,0,0,'Données projet'!$E$12+1,1))-AVERAGE(OFFSET($H$3,0,0,'Données projet'!$E$12+1,1))</f>
        <v>213.54857791046686</v>
      </c>
      <c r="CE127" s="59">
        <f t="shared" si="94"/>
        <v>138.46877538074244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28.712927185801462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28.712927185801462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213</v>
      </c>
      <c r="CU127" s="17">
        <f>CT127*VLOOKUP('Données projet'!$B$13,Paramètres!$A$1:$I$89,3,0)*VLOOKUP('Données projet'!$B$13,Paramètres!$A$1:$I$89,5,0)</f>
        <v>169.46279999999999</v>
      </c>
      <c r="CV127" s="13">
        <f t="shared" si="95"/>
        <v>42.969686502194378</v>
      </c>
      <c r="CW127" s="20">
        <f t="shared" si="67"/>
        <v>369.9865806579885</v>
      </c>
      <c r="CX127" s="59">
        <f t="shared" si="68"/>
        <v>663.31991399132176</v>
      </c>
      <c r="CY127" s="59">
        <f ca="1">AVERAGE(OFFSET($CX$3,0,0,'Données projet'!$E$13+1,1))-AVERAGE(OFFSET($H$3,0,0,'Données projet'!$E$13+1,1))</f>
        <v>161.87883827031436</v>
      </c>
      <c r="CZ127" s="59">
        <f t="shared" si="96"/>
        <v>163.02076389611869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4.7191936251140287</v>
      </c>
      <c r="DG127" s="21">
        <f>EXP(-LN(2)/25)*DG126+(1-EXP(-LN(2)/25))/(LN(2)/25)*Calculateur!DB127*Calculateur!DD127*VLOOKUP('Données projet'!$B$13,Paramètres!$A$1:$I$89,3,0)*0.475*44/12</f>
        <v>2.579827671445293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7.2990212965593217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149.0000000000002</v>
      </c>
      <c r="DP127" s="17">
        <f>DO127*VLOOKUP('Données projet'!$B$14,Paramètres!$A$1:$I$89,3,0)*VLOOKUP('Données projet'!$B$14,Paramètres!$A$1:$I$89,5,0)</f>
        <v>120.86880000000016</v>
      </c>
      <c r="DQ127" s="13">
        <f t="shared" si="97"/>
        <v>31.877547472771326</v>
      </c>
      <c r="DR127" s="20">
        <f t="shared" si="70"/>
        <v>266.03322184841039</v>
      </c>
      <c r="DS127" s="59">
        <f t="shared" si="71"/>
        <v>559.36655518174371</v>
      </c>
      <c r="DT127" s="59">
        <f ca="1">AVERAGE(OFFSET($DS$3,0,0,'Données projet'!$E$14+1,1))-AVERAGE(OFFSET($H$3,0,0,'Données projet'!$E$14+1,1))</f>
        <v>96.611230241682733</v>
      </c>
      <c r="DU127" s="59">
        <f t="shared" si="98"/>
        <v>78.711045514042041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0.91214175565167799</v>
      </c>
      <c r="EB127" s="21">
        <f>EXP(-LN(2)/25)*EB126+(1-EXP(-LN(2)/25))/(LN(2)/25)*Calculateur!DW127*Calculateur!DY127*VLOOKUP('Données projet'!$B$14,Paramètres!$A$1:$I$89,3,0)*0.475*44/12</f>
        <v>2.4443519515253289</v>
      </c>
      <c r="EC127" s="21">
        <f>EXP(-LN(2)/2)*EC126+(1-EXP(-LN(2)/2))/(LN(2)/2)*DW127*DZ127*VLOOKUP('Données projet'!$B$14,Paramètres!$A$1:$I$89,3,0)*0.475*44/12</f>
        <v>1.0358889366161489E-5</v>
      </c>
      <c r="ED127" s="22">
        <f t="shared" si="72"/>
        <v>3.3565040660663734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188.61152573050066</v>
      </c>
      <c r="EP127" s="59">
        <f t="shared" si="100"/>
        <v>172.37050503841624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57.117346791124717</v>
      </c>
      <c r="EW127" s="21">
        <f>EXP(-LN(2)/25)*EW126+(1-EXP(-LN(2)/25))/(LN(2)/25)*Calculateur!ER127*Calculateur!ET127*VLOOKUP('Données projet'!$B$15,Paramètres!$A$1:$I$89,3,0)*0.475*44/12</f>
        <v>9.8068582193161618</v>
      </c>
      <c r="EX127" s="21">
        <f>EXP(-LN(2)/2)*EX126+(1-EXP(-LN(2)/2))/(LN(2)/2)*ER127*EU127*VLOOKUP('Données projet'!$B$15,Paramètres!$A$1:$I$89,3,0)*0.475*44/12</f>
        <v>2.3465867834110761E-7</v>
      </c>
      <c r="EY127" s="22">
        <f t="shared" si="75"/>
        <v>66.924205245099571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0</v>
      </c>
      <c r="FK127" s="59">
        <f t="shared" si="102"/>
        <v>0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0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197.78572767493569</v>
      </c>
      <c r="T128" s="59">
        <f t="shared" si="88"/>
        <v>288.66487031729008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266.99999999999983</v>
      </c>
      <c r="AJ128" s="13">
        <f>AI128*VLOOKUP('Données projet'!$B$10,Paramètres!$A$1:$I$89,3,0)*VLOOKUP('Données projet'!$B$10,Paramètres!$A$1:$I$89,5,0)</f>
        <v>212.42519999999985</v>
      </c>
      <c r="AK128" s="13">
        <f t="shared" si="89"/>
        <v>52.465198231787184</v>
      </c>
      <c r="AL128" s="20">
        <f t="shared" si="58"/>
        <v>461.35077692036231</v>
      </c>
      <c r="AM128" s="59">
        <f t="shared" si="59"/>
        <v>754.68411025369562</v>
      </c>
      <c r="AN128" s="59">
        <f ca="1">AVERAGE(OFFSET($AM$3,0,0,'Données projet'!$E$10+1,1))-AVERAGE(OFFSET($H$3,0,0,'Données projet'!$E$10+1,1))</f>
        <v>219.43439115440339</v>
      </c>
      <c r="AO128" s="59">
        <f t="shared" si="90"/>
        <v>217.8880462742099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11.809269727790216</v>
      </c>
      <c r="AV128" s="21">
        <f>EXP(-LN(2)/25)*AV127+(1-EXP(-LN(2)/25))/(LN(2)/25)*Calculateur!AQ128*Calculateur!AS128*VLOOKUP('Données projet'!$B$10,Paramètres!$A$1:$I$89,3,0)*0.475*44/12</f>
        <v>2.3918542374258744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14.201123965216091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190.99999999999997</v>
      </c>
      <c r="BE128" s="13">
        <f>BD128*VLOOKUP('Données projet'!$B$11,Paramètres!$A$1:$I$89,3,0)*VLOOKUP('Données projet'!$B$11,Paramètres!$A$1:$I$89,5,0)</f>
        <v>166.85759999999999</v>
      </c>
      <c r="BF128" s="13">
        <f t="shared" si="91"/>
        <v>42.385468111966098</v>
      </c>
      <c r="BG128" s="20">
        <f t="shared" si="61"/>
        <v>364.43167696167421</v>
      </c>
      <c r="BH128" s="59">
        <f t="shared" si="62"/>
        <v>657.76501029500753</v>
      </c>
      <c r="BI128" s="59">
        <f ca="1">AVERAGE(OFFSET($BH$3,0,0,'Données projet'!$E$11+1,1))-AVERAGE(OFFSET($H$3,0,0,'Données projet'!$E$11+1,1))</f>
        <v>175.73188403662408</v>
      </c>
      <c r="BJ128" s="59">
        <f t="shared" si="92"/>
        <v>152.02195399869032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5.8064451964650461</v>
      </c>
      <c r="BQ128" s="21">
        <f>EXP(-LN(2)/25)*BQ127+(1-EXP(-LN(2)/25))/(LN(2)/25)*Calculateur!BL128*Calculateur!BN128*VLOOKUP('Données projet'!$B$11,Paramètres!$A$1:$I$89,3,0)*0.475*44/12</f>
        <v>5.4634168519088071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11.269862048373852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278.29487179487177</v>
      </c>
      <c r="BW128" s="12">
        <f>VLOOKUP(A128,'Données projet'!$A$113:$I$133,9,0)</f>
        <v>5.3066239316239274</v>
      </c>
      <c r="BX128" s="12">
        <f t="array" ref="BX128">INDEX(BW:BW,MIN(IF(ISNUMBER(BW128:BW324),ROW(BW128:BW324),"")))</f>
        <v>5.3066239316239274</v>
      </c>
      <c r="BY128" s="12">
        <f>IF('Données projet'!$A$114&gt;35,BY127+BX128-CG127,IF(A128&lt;'Données projet'!$A$114,$BV$205^A128,IF(A128='Données projet'!$A$114,'Données projet'!$B$114,BY127+BX128-CG127)))</f>
        <v>278.29487179487131</v>
      </c>
      <c r="BZ128" s="13">
        <f>BY128*VLOOKUP('Données projet'!$B$12,Paramètres!$A$1:$I$89,3,0)*VLOOKUP('Données projet'!$B$12,Paramètres!$A$1:$I$89,5,0)</f>
        <v>251.80119999999957</v>
      </c>
      <c r="CA128" s="13">
        <f t="shared" si="93"/>
        <v>60.971479423668242</v>
      </c>
      <c r="CB128" s="20">
        <f t="shared" si="64"/>
        <v>544.74574999622132</v>
      </c>
      <c r="CC128" s="59">
        <f t="shared" si="65"/>
        <v>838.07908332955458</v>
      </c>
      <c r="CD128" s="59">
        <f ca="1">AVERAGE(OFFSET($CC$3,0,0,'Données projet'!$E$12+1,1))-AVERAGE(OFFSET($H$3,0,0,'Données projet'!$E$12+1,1))</f>
        <v>213.54857791046686</v>
      </c>
      <c r="CE128" s="59">
        <f t="shared" si="94"/>
        <v>138.46877538074244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48.160256410256409</v>
      </c>
      <c r="CH128" s="16">
        <f>IF(ISNA(VLOOKUP(A128,'Données projet'!$A$113:$I$133,5,0)),0%,VLOOKUP(A128,'Données projet'!$A$113:$I$133,5,0)*VLOOKUP('Données projet'!$B$12,Paramètres!$A$1:$I$89,7,0))</f>
        <v>0.30099999999999999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42.64944970371053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42.64944970371053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213</v>
      </c>
      <c r="CU128" s="17">
        <f>CT128*VLOOKUP('Données projet'!$B$13,Paramètres!$A$1:$I$89,3,0)*VLOOKUP('Données projet'!$B$13,Paramètres!$A$1:$I$89,5,0)</f>
        <v>169.46279999999999</v>
      </c>
      <c r="CV128" s="13">
        <f t="shared" si="95"/>
        <v>42.969686502194378</v>
      </c>
      <c r="CW128" s="20">
        <f t="shared" si="67"/>
        <v>369.9865806579885</v>
      </c>
      <c r="CX128" s="59">
        <f t="shared" si="68"/>
        <v>663.31991399132176</v>
      </c>
      <c r="CY128" s="59">
        <f ca="1">AVERAGE(OFFSET($CX$3,0,0,'Données projet'!$E$13+1,1))-AVERAGE(OFFSET($H$3,0,0,'Données projet'!$E$13+1,1))</f>
        <v>161.87883827031436</v>
      </c>
      <c r="CZ128" s="59">
        <f t="shared" si="96"/>
        <v>163.02076389611869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4.6266531165494333</v>
      </c>
      <c r="DG128" s="21">
        <f>EXP(-LN(2)/25)*DG127+(1-EXP(-LN(2)/25))/(LN(2)/25)*Calculateur!DB128*Calculateur!DD128*VLOOKUP('Données projet'!$B$13,Paramètres!$A$1:$I$89,3,0)*0.475*44/12</f>
        <v>2.5092821481023804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7.1359352646518133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149.0000000000002</v>
      </c>
      <c r="DP128" s="17">
        <f>DO128*VLOOKUP('Données projet'!$B$14,Paramètres!$A$1:$I$89,3,0)*VLOOKUP('Données projet'!$B$14,Paramètres!$A$1:$I$89,5,0)</f>
        <v>120.86880000000016</v>
      </c>
      <c r="DQ128" s="13">
        <f t="shared" si="97"/>
        <v>31.877547472771326</v>
      </c>
      <c r="DR128" s="20">
        <f t="shared" si="70"/>
        <v>266.03322184841039</v>
      </c>
      <c r="DS128" s="59">
        <f t="shared" si="71"/>
        <v>559.36655518174371</v>
      </c>
      <c r="DT128" s="59">
        <f ca="1">AVERAGE(OFFSET($DS$3,0,0,'Données projet'!$E$14+1,1))-AVERAGE(OFFSET($H$3,0,0,'Données projet'!$E$14+1,1))</f>
        <v>96.611230241682733</v>
      </c>
      <c r="DU128" s="59">
        <f t="shared" si="98"/>
        <v>78.711045514042041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0.89425521217488435</v>
      </c>
      <c r="EB128" s="21">
        <f>EXP(-LN(2)/25)*EB127+(1-EXP(-LN(2)/25))/(LN(2)/25)*Calculateur!DW128*Calculateur!DY128*VLOOKUP('Données projet'!$B$14,Paramètres!$A$1:$I$89,3,0)*0.475*44/12</f>
        <v>2.3775110188679864</v>
      </c>
      <c r="EC128" s="21">
        <f>EXP(-LN(2)/2)*EC127+(1-EXP(-LN(2)/2))/(LN(2)/2)*DW128*DZ128*VLOOKUP('Données projet'!$B$14,Paramètres!$A$1:$I$89,3,0)*0.475*44/12</f>
        <v>7.3248409163740069E-6</v>
      </c>
      <c r="ED128" s="22">
        <f t="shared" si="72"/>
        <v>3.271773555883787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188.61152573050066</v>
      </c>
      <c r="EP128" s="59">
        <f t="shared" si="100"/>
        <v>172.37050503841624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55.997310458692326</v>
      </c>
      <c r="EW128" s="21">
        <f>EXP(-LN(2)/25)*EW127+(1-EXP(-LN(2)/25))/(LN(2)/25)*Calculateur!ER128*Calculateur!ET128*VLOOKUP('Données projet'!$B$15,Paramètres!$A$1:$I$89,3,0)*0.475*44/12</f>
        <v>9.5386891655887016</v>
      </c>
      <c r="EX128" s="21">
        <f>EXP(-LN(2)/2)*EX127+(1-EXP(-LN(2)/2))/(LN(2)/2)*ER128*EU128*VLOOKUP('Données projet'!$B$15,Paramètres!$A$1:$I$89,3,0)*0.475*44/12</f>
        <v>1.6592874271927004E-7</v>
      </c>
      <c r="EY128" s="22">
        <f t="shared" si="75"/>
        <v>65.535999790209772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0</v>
      </c>
      <c r="FK128" s="59">
        <f t="shared" si="102"/>
        <v>0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0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197.78572767493569</v>
      </c>
      <c r="T129" s="59">
        <f t="shared" si="88"/>
        <v>288.66487031729008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266.99999999999983</v>
      </c>
      <c r="AJ129" s="13">
        <f>AI129*VLOOKUP('Données projet'!$B$10,Paramètres!$A$1:$I$89,3,0)*VLOOKUP('Données projet'!$B$10,Paramètres!$A$1:$I$89,5,0)</f>
        <v>212.42519999999985</v>
      </c>
      <c r="AK129" s="13">
        <f t="shared" si="89"/>
        <v>52.465198231787184</v>
      </c>
      <c r="AL129" s="20">
        <f t="shared" si="58"/>
        <v>461.35077692036231</v>
      </c>
      <c r="AM129" s="59">
        <f t="shared" si="59"/>
        <v>754.68411025369562</v>
      </c>
      <c r="AN129" s="59">
        <f ca="1">AVERAGE(OFFSET($AM$3,0,0,'Données projet'!$E$10+1,1))-AVERAGE(OFFSET($H$3,0,0,'Données projet'!$E$10+1,1))</f>
        <v>219.43439115440339</v>
      </c>
      <c r="AO129" s="59">
        <f t="shared" si="90"/>
        <v>217.8880462742099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11.577697151371552</v>
      </c>
      <c r="AV129" s="21">
        <f>EXP(-LN(2)/25)*AV128+(1-EXP(-LN(2)/25))/(LN(2)/25)*Calculateur!AQ129*Calculateur!AS129*VLOOKUP('Données projet'!$B$10,Paramètres!$A$1:$I$89,3,0)*0.475*44/12</f>
        <v>2.3264488575213162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13.904146008892869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190.99999999999997</v>
      </c>
      <c r="BE129" s="13">
        <f>BD129*VLOOKUP('Données projet'!$B$11,Paramètres!$A$1:$I$89,3,0)*VLOOKUP('Données projet'!$B$11,Paramètres!$A$1:$I$89,5,0)</f>
        <v>166.85759999999999</v>
      </c>
      <c r="BF129" s="13">
        <f t="shared" si="91"/>
        <v>42.385468111966098</v>
      </c>
      <c r="BG129" s="20">
        <f t="shared" si="61"/>
        <v>364.43167696167421</v>
      </c>
      <c r="BH129" s="59">
        <f t="shared" si="62"/>
        <v>657.76501029500753</v>
      </c>
      <c r="BI129" s="59">
        <f ca="1">AVERAGE(OFFSET($BH$3,0,0,'Données projet'!$E$11+1,1))-AVERAGE(OFFSET($H$3,0,0,'Données projet'!$E$11+1,1))</f>
        <v>175.73188403662408</v>
      </c>
      <c r="BJ129" s="59">
        <f t="shared" si="92"/>
        <v>152.02195399869032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5.6925843477442344</v>
      </c>
      <c r="BQ129" s="21">
        <f>EXP(-LN(2)/25)*BQ128+(1-EXP(-LN(2)/25))/(LN(2)/25)*Calculateur!BL129*Calculateur!BN129*VLOOKUP('Données projet'!$B$11,Paramètres!$A$1:$I$89,3,0)*0.475*44/12</f>
        <v>5.3140194307847555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11.006603778528991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5.2446581196581219</v>
      </c>
      <c r="BY129" s="12">
        <f>IF('Données projet'!$A$114&gt;35,BY128+BX129-CG128,IF(A129&lt;'Données projet'!$A$114,$BV$205^A129,IF(A129='Données projet'!$A$114,'Données projet'!$B$114,BY128+BX129-CG128)))</f>
        <v>235.37927350427304</v>
      </c>
      <c r="BZ129" s="13">
        <f>BY129*VLOOKUP('Données projet'!$B$12,Paramètres!$A$1:$I$89,3,0)*VLOOKUP('Données projet'!$B$12,Paramètres!$A$1:$I$89,5,0)</f>
        <v>212.97116666666628</v>
      </c>
      <c r="CA129" s="13">
        <f t="shared" si="93"/>
        <v>52.584328525271125</v>
      </c>
      <c r="CB129" s="20">
        <f t="shared" si="64"/>
        <v>462.50915412595759</v>
      </c>
      <c r="CC129" s="59">
        <f t="shared" si="65"/>
        <v>755.84248745929085</v>
      </c>
      <c r="CD129" s="59">
        <f ca="1">AVERAGE(OFFSET($CC$3,0,0,'Données projet'!$E$12+1,1))-AVERAGE(OFFSET($H$3,0,0,'Données projet'!$E$12+1,1))</f>
        <v>213.54857791046686</v>
      </c>
      <c r="CE129" s="59">
        <f t="shared" si="94"/>
        <v>138.46877538074244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41.813120008616458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41.813120008616458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213</v>
      </c>
      <c r="CU129" s="17">
        <f>CT129*VLOOKUP('Données projet'!$B$13,Paramètres!$A$1:$I$89,3,0)*VLOOKUP('Données projet'!$B$13,Paramètres!$A$1:$I$89,5,0)</f>
        <v>169.46279999999999</v>
      </c>
      <c r="CV129" s="13">
        <f t="shared" si="95"/>
        <v>42.969686502194378</v>
      </c>
      <c r="CW129" s="20">
        <f t="shared" si="67"/>
        <v>369.9865806579885</v>
      </c>
      <c r="CX129" s="59">
        <f t="shared" si="68"/>
        <v>663.31991399132176</v>
      </c>
      <c r="CY129" s="59">
        <f ca="1">AVERAGE(OFFSET($CX$3,0,0,'Données projet'!$E$13+1,1))-AVERAGE(OFFSET($H$3,0,0,'Données projet'!$E$13+1,1))</f>
        <v>161.87883827031436</v>
      </c>
      <c r="CZ129" s="59">
        <f t="shared" si="96"/>
        <v>163.02076389611869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4.5359272709136524</v>
      </c>
      <c r="DG129" s="21">
        <f>EXP(-LN(2)/25)*DG128+(1-EXP(-LN(2)/25))/(LN(2)/25)*Calculateur!DB129*Calculateur!DD129*VLOOKUP('Données projet'!$B$13,Paramètres!$A$1:$I$89,3,0)*0.475*44/12</f>
        <v>2.4406656958051078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6.9765929667187603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149.0000000000002</v>
      </c>
      <c r="DP129" s="17">
        <f>DO129*VLOOKUP('Données projet'!$B$14,Paramètres!$A$1:$I$89,3,0)*VLOOKUP('Données projet'!$B$14,Paramètres!$A$1:$I$89,5,0)</f>
        <v>120.86880000000016</v>
      </c>
      <c r="DQ129" s="13">
        <f t="shared" si="97"/>
        <v>31.877547472771326</v>
      </c>
      <c r="DR129" s="20">
        <f t="shared" si="70"/>
        <v>266.03322184841039</v>
      </c>
      <c r="DS129" s="59">
        <f t="shared" si="71"/>
        <v>559.36655518174371</v>
      </c>
      <c r="DT129" s="59">
        <f ca="1">AVERAGE(OFFSET($DS$3,0,0,'Données projet'!$E$14+1,1))-AVERAGE(OFFSET($H$3,0,0,'Données projet'!$E$14+1,1))</f>
        <v>96.611230241682733</v>
      </c>
      <c r="DU129" s="59">
        <f t="shared" si="98"/>
        <v>78.711045514042041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0.87671941290595634</v>
      </c>
      <c r="EB129" s="21">
        <f>EXP(-LN(2)/25)*EB128+(1-EXP(-LN(2)/25))/(LN(2)/25)*Calculateur!DW129*Calculateur!DY129*VLOOKUP('Données projet'!$B$14,Paramètres!$A$1:$I$89,3,0)*0.475*44/12</f>
        <v>2.3124978550291706</v>
      </c>
      <c r="EC129" s="21">
        <f>EXP(-LN(2)/2)*EC128+(1-EXP(-LN(2)/2))/(LN(2)/2)*DW129*DZ129*VLOOKUP('Données projet'!$B$14,Paramètres!$A$1:$I$89,3,0)*0.475*44/12</f>
        <v>5.1794446830807454E-6</v>
      </c>
      <c r="ED129" s="22">
        <f t="shared" si="72"/>
        <v>3.1892224473798096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188.61152573050066</v>
      </c>
      <c r="EP129" s="59">
        <f t="shared" si="100"/>
        <v>172.37050503841624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54.899237355584226</v>
      </c>
      <c r="EW129" s="21">
        <f>EXP(-LN(2)/25)*EW128+(1-EXP(-LN(2)/25))/(LN(2)/25)*Calculateur!ER129*Calculateur!ET129*VLOOKUP('Données projet'!$B$15,Paramètres!$A$1:$I$89,3,0)*0.475*44/12</f>
        <v>9.2778532087378167</v>
      </c>
      <c r="EX129" s="21">
        <f>EXP(-LN(2)/2)*EX128+(1-EXP(-LN(2)/2))/(LN(2)/2)*ER129*EU129*VLOOKUP('Données projet'!$B$15,Paramètres!$A$1:$I$89,3,0)*0.475*44/12</f>
        <v>1.1732933917055383E-7</v>
      </c>
      <c r="EY129" s="22">
        <f t="shared" si="75"/>
        <v>64.177090681651379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0</v>
      </c>
      <c r="FK129" s="59">
        <f t="shared" si="102"/>
        <v>0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0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197.78572767493569</v>
      </c>
      <c r="T130" s="59">
        <f t="shared" si="88"/>
        <v>288.66487031729008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266.99999999999983</v>
      </c>
      <c r="AJ130" s="13">
        <f>AI130*VLOOKUP('Données projet'!$B$10,Paramètres!$A$1:$I$89,3,0)*VLOOKUP('Données projet'!$B$10,Paramètres!$A$1:$I$89,5,0)</f>
        <v>212.42519999999985</v>
      </c>
      <c r="AK130" s="13">
        <f t="shared" si="89"/>
        <v>52.465198231787184</v>
      </c>
      <c r="AL130" s="20">
        <f t="shared" si="58"/>
        <v>461.35077692036231</v>
      </c>
      <c r="AM130" s="59">
        <f t="shared" si="59"/>
        <v>754.68411025369562</v>
      </c>
      <c r="AN130" s="59">
        <f ca="1">AVERAGE(OFFSET($AM$3,0,0,'Données projet'!$E$10+1,1))-AVERAGE(OFFSET($H$3,0,0,'Données projet'!$E$10+1,1))</f>
        <v>219.43439115440339</v>
      </c>
      <c r="AO130" s="59">
        <f t="shared" si="90"/>
        <v>217.8880462742099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11.350665571931133</v>
      </c>
      <c r="AV130" s="21">
        <f>EXP(-LN(2)/25)*AV129+(1-EXP(-LN(2)/25))/(LN(2)/25)*Calculateur!AQ130*Calculateur!AS130*VLOOKUP('Données projet'!$B$10,Paramètres!$A$1:$I$89,3,0)*0.475*44/12</f>
        <v>2.2628319911697674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13.6134975631009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190.99999999999997</v>
      </c>
      <c r="BE130" s="13">
        <f>BD130*VLOOKUP('Données projet'!$B$11,Paramètres!$A$1:$I$89,3,0)*VLOOKUP('Données projet'!$B$11,Paramètres!$A$1:$I$89,5,0)</f>
        <v>166.85759999999999</v>
      </c>
      <c r="BF130" s="13">
        <f t="shared" si="91"/>
        <v>42.385468111966098</v>
      </c>
      <c r="BG130" s="20">
        <f t="shared" si="61"/>
        <v>364.43167696167421</v>
      </c>
      <c r="BH130" s="59">
        <f t="shared" si="62"/>
        <v>657.76501029500753</v>
      </c>
      <c r="BI130" s="59">
        <f ca="1">AVERAGE(OFFSET($BH$3,0,0,'Données projet'!$E$11+1,1))-AVERAGE(OFFSET($H$3,0,0,'Données projet'!$E$11+1,1))</f>
        <v>175.73188403662408</v>
      </c>
      <c r="BJ130" s="59">
        <f t="shared" si="92"/>
        <v>152.02195399869032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5.5809562408185771</v>
      </c>
      <c r="BQ130" s="21">
        <f>EXP(-LN(2)/25)*BQ129+(1-EXP(-LN(2)/25))/(LN(2)/25)*Calculateur!BL130*Calculateur!BN130*VLOOKUP('Données projet'!$B$11,Paramètres!$A$1:$I$89,3,0)*0.475*44/12</f>
        <v>5.1687072899978102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10.749663530816388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5.2446581196581219</v>
      </c>
      <c r="BY130" s="12">
        <f>IF('Données projet'!$A$114&gt;35,BY129+BX130-CG129,IF(A130&lt;'Données projet'!$A$114,$BV$205^A130,IF(A130='Données projet'!$A$114,'Données projet'!$B$114,BY129+BX130-CG129)))</f>
        <v>240.62393162393116</v>
      </c>
      <c r="BZ130" s="13">
        <f>BY130*VLOOKUP('Données projet'!$B$12,Paramètres!$A$1:$I$89,3,0)*VLOOKUP('Données projet'!$B$12,Paramètres!$A$1:$I$89,5,0)</f>
        <v>217.7165333333329</v>
      </c>
      <c r="CA130" s="13">
        <f t="shared" si="93"/>
        <v>53.618284552972121</v>
      </c>
      <c r="CB130" s="20">
        <f t="shared" si="64"/>
        <v>472.57480781864791</v>
      </c>
      <c r="CC130" s="59">
        <f t="shared" si="65"/>
        <v>765.90814115198123</v>
      </c>
      <c r="CD130" s="59">
        <f ca="1">AVERAGE(OFFSET($CC$3,0,0,'Données projet'!$E$12+1,1))-AVERAGE(OFFSET($H$3,0,0,'Données projet'!$E$12+1,1))</f>
        <v>213.54857791046686</v>
      </c>
      <c r="CE130" s="59">
        <f t="shared" si="94"/>
        <v>138.46877538074244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40.993190228732438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40.993190228732438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213</v>
      </c>
      <c r="CU130" s="17">
        <f>CT130*VLOOKUP('Données projet'!$B$13,Paramètres!$A$1:$I$89,3,0)*VLOOKUP('Données projet'!$B$13,Paramètres!$A$1:$I$89,5,0)</f>
        <v>169.46279999999999</v>
      </c>
      <c r="CV130" s="13">
        <f t="shared" si="95"/>
        <v>42.969686502194378</v>
      </c>
      <c r="CW130" s="20">
        <f t="shared" si="67"/>
        <v>369.9865806579885</v>
      </c>
      <c r="CX130" s="59">
        <f t="shared" si="68"/>
        <v>663.31991399132176</v>
      </c>
      <c r="CY130" s="59">
        <f ca="1">AVERAGE(OFFSET($CX$3,0,0,'Données projet'!$E$13+1,1))-AVERAGE(OFFSET($H$3,0,0,'Données projet'!$E$13+1,1))</f>
        <v>161.87883827031436</v>
      </c>
      <c r="CZ130" s="59">
        <f t="shared" si="96"/>
        <v>163.02076389611869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4.4469805037734877</v>
      </c>
      <c r="DG130" s="21">
        <f>EXP(-LN(2)/25)*DG129+(1-EXP(-LN(2)/25))/(LN(2)/25)*Calculateur!DB130*Calculateur!DD130*VLOOKUP('Données projet'!$B$13,Paramètres!$A$1:$I$89,3,0)*0.475*44/12</f>
        <v>2.3739255640042862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6.8209060677777735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149.0000000000002</v>
      </c>
      <c r="DP130" s="17">
        <f>DO130*VLOOKUP('Données projet'!$B$14,Paramètres!$A$1:$I$89,3,0)*VLOOKUP('Données projet'!$B$14,Paramètres!$A$1:$I$89,5,0)</f>
        <v>120.86880000000016</v>
      </c>
      <c r="DQ130" s="13">
        <f t="shared" si="97"/>
        <v>31.877547472771326</v>
      </c>
      <c r="DR130" s="20">
        <f t="shared" si="70"/>
        <v>266.03322184841039</v>
      </c>
      <c r="DS130" s="59">
        <f t="shared" si="71"/>
        <v>559.36655518174371</v>
      </c>
      <c r="DT130" s="59">
        <f ca="1">AVERAGE(OFFSET($DS$3,0,0,'Données projet'!$E$14+1,1))-AVERAGE(OFFSET($H$3,0,0,'Données projet'!$E$14+1,1))</f>
        <v>96.611230241682733</v>
      </c>
      <c r="DU130" s="59">
        <f t="shared" si="98"/>
        <v>78.711045514042041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0.85952747996491063</v>
      </c>
      <c r="EB130" s="21">
        <f>EXP(-LN(2)/25)*EB129+(1-EXP(-LN(2)/25))/(LN(2)/25)*Calculateur!DW130*Calculateur!DY130*VLOOKUP('Données projet'!$B$14,Paramètres!$A$1:$I$89,3,0)*0.475*44/12</f>
        <v>2.2492624795744209</v>
      </c>
      <c r="EC130" s="21">
        <f>EXP(-LN(2)/2)*EC129+(1-EXP(-LN(2)/2))/(LN(2)/2)*DW130*DZ130*VLOOKUP('Données projet'!$B$14,Paramètres!$A$1:$I$89,3,0)*0.475*44/12</f>
        <v>3.6624204581870039E-6</v>
      </c>
      <c r="ED130" s="22">
        <f t="shared" si="72"/>
        <v>3.1087936219597894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188.61152573050066</v>
      </c>
      <c r="EP130" s="59">
        <f t="shared" si="100"/>
        <v>172.37050503841624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53.822696796269618</v>
      </c>
      <c r="EW130" s="21">
        <f>EXP(-LN(2)/25)*EW129+(1-EXP(-LN(2)/25))/(LN(2)/25)*Calculateur!ER130*Calculateur!ET130*VLOOKUP('Données projet'!$B$15,Paramètres!$A$1:$I$89,3,0)*0.475*44/12</f>
        <v>9.0241498248437857</v>
      </c>
      <c r="EX130" s="21">
        <f>EXP(-LN(2)/2)*EX129+(1-EXP(-LN(2)/2))/(LN(2)/2)*ER130*EU130*VLOOKUP('Données projet'!$B$15,Paramètres!$A$1:$I$89,3,0)*0.475*44/12</f>
        <v>8.2964371359635032E-8</v>
      </c>
      <c r="EY130" s="22">
        <f t="shared" si="75"/>
        <v>62.84684670407777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0</v>
      </c>
      <c r="FK130" s="59">
        <f t="shared" si="102"/>
        <v>0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0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197.78572767493569</v>
      </c>
      <c r="T131" s="59">
        <f t="shared" si="88"/>
        <v>288.66487031729008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266.99999999999983</v>
      </c>
      <c r="AJ131" s="13">
        <f>AI131*VLOOKUP('Données projet'!$B$10,Paramètres!$A$1:$I$89,3,0)*VLOOKUP('Données projet'!$B$10,Paramètres!$A$1:$I$89,5,0)</f>
        <v>212.42519999999985</v>
      </c>
      <c r="AK131" s="13">
        <f t="shared" si="89"/>
        <v>52.465198231787184</v>
      </c>
      <c r="AL131" s="20">
        <f t="shared" si="58"/>
        <v>461.35077692036231</v>
      </c>
      <c r="AM131" s="59">
        <f t="shared" si="59"/>
        <v>754.68411025369562</v>
      </c>
      <c r="AN131" s="59">
        <f ca="1">AVERAGE(OFFSET($AM$3,0,0,'Données projet'!$E$10+1,1))-AVERAGE(OFFSET($H$3,0,0,'Données projet'!$E$10+1,1))</f>
        <v>219.43439115440339</v>
      </c>
      <c r="AO131" s="59">
        <f t="shared" si="90"/>
        <v>217.8880462742099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11.128085943287951</v>
      </c>
      <c r="AV131" s="21">
        <f>EXP(-LN(2)/25)*AV130+(1-EXP(-LN(2)/25))/(LN(2)/25)*Calculateur!AQ131*Calculateur!AS131*VLOOKUP('Données projet'!$B$10,Paramètres!$A$1:$I$89,3,0)*0.475*44/12</f>
        <v>2.2009547313740674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13.329040674662018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190.99999999999997</v>
      </c>
      <c r="BE131" s="13">
        <f>BD131*VLOOKUP('Données projet'!$B$11,Paramètres!$A$1:$I$89,3,0)*VLOOKUP('Données projet'!$B$11,Paramètres!$A$1:$I$89,5,0)</f>
        <v>166.85759999999999</v>
      </c>
      <c r="BF131" s="13">
        <f t="shared" si="91"/>
        <v>42.385468111966098</v>
      </c>
      <c r="BG131" s="20">
        <f t="shared" si="61"/>
        <v>364.43167696167421</v>
      </c>
      <c r="BH131" s="59">
        <f t="shared" si="62"/>
        <v>657.76501029500753</v>
      </c>
      <c r="BI131" s="59">
        <f ca="1">AVERAGE(OFFSET($BH$3,0,0,'Données projet'!$E$11+1,1))-AVERAGE(OFFSET($H$3,0,0,'Données projet'!$E$11+1,1))</f>
        <v>175.73188403662408</v>
      </c>
      <c r="BJ131" s="59">
        <f t="shared" si="92"/>
        <v>152.02195399869032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5.4715170929833103</v>
      </c>
      <c r="BQ131" s="21">
        <f>EXP(-LN(2)/25)*BQ130+(1-EXP(-LN(2)/25))/(LN(2)/25)*Calculateur!BL131*Calculateur!BN131*VLOOKUP('Données projet'!$B$11,Paramètres!$A$1:$I$89,3,0)*0.475*44/12</f>
        <v>5.0273687173423172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10.498885810325628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5.2446581196581219</v>
      </c>
      <c r="BY131" s="12">
        <f>IF('Données projet'!$A$114&gt;35,BY130+BX131-CG130,IF(A131&lt;'Données projet'!$A$114,$BV$205^A131,IF(A131='Données projet'!$A$114,'Données projet'!$B$114,BY130+BX131-CG130)))</f>
        <v>245.86858974358927</v>
      </c>
      <c r="BZ131" s="13">
        <f>BY131*VLOOKUP('Données projet'!$B$12,Paramètres!$A$1:$I$89,3,0)*VLOOKUP('Données projet'!$B$12,Paramètres!$A$1:$I$89,5,0)</f>
        <v>222.46189999999956</v>
      </c>
      <c r="CA131" s="13">
        <f t="shared" si="93"/>
        <v>54.649620474067063</v>
      </c>
      <c r="CB131" s="20">
        <f t="shared" si="64"/>
        <v>482.6358981589994</v>
      </c>
      <c r="CC131" s="59">
        <f t="shared" si="65"/>
        <v>775.96923149233271</v>
      </c>
      <c r="CD131" s="59">
        <f ca="1">AVERAGE(OFFSET($CC$3,0,0,'Données projet'!$E$12+1,1))-AVERAGE(OFFSET($H$3,0,0,'Données projet'!$E$12+1,1))</f>
        <v>213.54857791046686</v>
      </c>
      <c r="CE131" s="59">
        <f t="shared" si="94"/>
        <v>138.46877538074244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40.189338771724152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40.189338771724152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213</v>
      </c>
      <c r="CU131" s="17">
        <f>CT131*VLOOKUP('Données projet'!$B$13,Paramètres!$A$1:$I$89,3,0)*VLOOKUP('Données projet'!$B$13,Paramètres!$A$1:$I$89,5,0)</f>
        <v>169.46279999999999</v>
      </c>
      <c r="CV131" s="13">
        <f t="shared" si="95"/>
        <v>42.969686502194378</v>
      </c>
      <c r="CW131" s="20">
        <f t="shared" si="67"/>
        <v>369.9865806579885</v>
      </c>
      <c r="CX131" s="59">
        <f t="shared" si="68"/>
        <v>663.31991399132176</v>
      </c>
      <c r="CY131" s="59">
        <f ca="1">AVERAGE(OFFSET($CX$3,0,0,'Données projet'!$E$13+1,1))-AVERAGE(OFFSET($H$3,0,0,'Données projet'!$E$13+1,1))</f>
        <v>161.87883827031436</v>
      </c>
      <c r="CZ131" s="59">
        <f t="shared" si="96"/>
        <v>163.02076389611869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4.3597779284847711</v>
      </c>
      <c r="DG131" s="21">
        <f>EXP(-LN(2)/25)*DG130+(1-EXP(-LN(2)/25))/(LN(2)/25)*Calculateur!DB131*Calculateur!DD131*VLOOKUP('Données projet'!$B$13,Paramètres!$A$1:$I$89,3,0)*0.475*44/12</f>
        <v>2.3090104446172695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6.668788373102041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149.0000000000002</v>
      </c>
      <c r="DP131" s="17">
        <f>DO131*VLOOKUP('Données projet'!$B$14,Paramètres!$A$1:$I$89,3,0)*VLOOKUP('Données projet'!$B$14,Paramètres!$A$1:$I$89,5,0)</f>
        <v>120.86880000000016</v>
      </c>
      <c r="DQ131" s="13">
        <f t="shared" si="97"/>
        <v>31.877547472771326</v>
      </c>
      <c r="DR131" s="20">
        <f t="shared" si="70"/>
        <v>266.03322184841039</v>
      </c>
      <c r="DS131" s="59">
        <f t="shared" si="71"/>
        <v>559.36655518174371</v>
      </c>
      <c r="DT131" s="59">
        <f ca="1">AVERAGE(OFFSET($DS$3,0,0,'Données projet'!$E$14+1,1))-AVERAGE(OFFSET($H$3,0,0,'Données projet'!$E$14+1,1))</f>
        <v>96.611230241682733</v>
      </c>
      <c r="DU131" s="59">
        <f t="shared" si="98"/>
        <v>78.711045514042041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0.84267267034279514</v>
      </c>
      <c r="EB131" s="21">
        <f>EXP(-LN(2)/25)*EB130+(1-EXP(-LN(2)/25))/(LN(2)/25)*Calculateur!DW131*Calculateur!DY131*VLOOKUP('Données projet'!$B$14,Paramètres!$A$1:$I$89,3,0)*0.475*44/12</f>
        <v>2.1877562787868854</v>
      </c>
      <c r="EC131" s="21">
        <f>EXP(-LN(2)/2)*EC130+(1-EXP(-LN(2)/2))/(LN(2)/2)*DW131*DZ131*VLOOKUP('Données projet'!$B$14,Paramètres!$A$1:$I$89,3,0)*0.475*44/12</f>
        <v>2.5897223415403731E-6</v>
      </c>
      <c r="ED131" s="22">
        <f t="shared" si="72"/>
        <v>3.0304315388520218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188.61152573050066</v>
      </c>
      <c r="EP131" s="59">
        <f t="shared" si="100"/>
        <v>172.37050503841624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52.767266540698259</v>
      </c>
      <c r="EW131" s="21">
        <f>EXP(-LN(2)/25)*EW130+(1-EXP(-LN(2)/25))/(LN(2)/25)*Calculateur!ER131*Calculateur!ET131*VLOOKUP('Données projet'!$B$15,Paramètres!$A$1:$I$89,3,0)*0.475*44/12</f>
        <v>8.7773839733240173</v>
      </c>
      <c r="EX131" s="21">
        <f>EXP(-LN(2)/2)*EX130+(1-EXP(-LN(2)/2))/(LN(2)/2)*ER131*EU131*VLOOKUP('Données projet'!$B$15,Paramètres!$A$1:$I$89,3,0)*0.475*44/12</f>
        <v>5.8664669585276923E-8</v>
      </c>
      <c r="EY131" s="22">
        <f t="shared" si="75"/>
        <v>61.544650572686947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0</v>
      </c>
      <c r="FK131" s="59">
        <f t="shared" si="102"/>
        <v>0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0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197.78572767493569</v>
      </c>
      <c r="T132" s="59">
        <f t="shared" si="88"/>
        <v>288.66487031729008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266.99999999999983</v>
      </c>
      <c r="AJ132" s="13">
        <f>AI132*VLOOKUP('Données projet'!$B$10,Paramètres!$A$1:$I$89,3,0)*VLOOKUP('Données projet'!$B$10,Paramètres!$A$1:$I$89,5,0)</f>
        <v>212.42519999999985</v>
      </c>
      <c r="AK132" s="13">
        <f t="shared" si="89"/>
        <v>52.465198231787184</v>
      </c>
      <c r="AL132" s="20">
        <f t="shared" ref="AL132:AL153" si="112">(AJ132+AK132)*0.475*44/12</f>
        <v>461.35077692036231</v>
      </c>
      <c r="AM132" s="59">
        <f t="shared" ref="AM132:AM195" si="113">AL132+(AD132+AE132)*44/12</f>
        <v>754.68411025369562</v>
      </c>
      <c r="AN132" s="59">
        <f ca="1">AVERAGE(OFFSET($AM$3,0,0,'Données projet'!$E$10+1,1))-AVERAGE(OFFSET($H$3,0,0,'Données projet'!$E$10+1,1))</f>
        <v>219.43439115440339</v>
      </c>
      <c r="AO132" s="59">
        <f t="shared" si="90"/>
        <v>217.8880462742099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10.909870965402293</v>
      </c>
      <c r="AV132" s="21">
        <f>EXP(-LN(2)/25)*AV131+(1-EXP(-LN(2)/25))/(LN(2)/25)*Calculateur!AQ132*Calculateur!AS132*VLOOKUP('Données projet'!$B$10,Paramètres!$A$1:$I$89,3,0)*0.475*44/12</f>
        <v>2.1407695085014646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13.050640473903758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190.99999999999997</v>
      </c>
      <c r="BE132" s="13">
        <f>BD132*VLOOKUP('Données projet'!$B$11,Paramètres!$A$1:$I$89,3,0)*VLOOKUP('Données projet'!$B$11,Paramètres!$A$1:$I$89,5,0)</f>
        <v>166.85759999999999</v>
      </c>
      <c r="BF132" s="13">
        <f t="shared" si="91"/>
        <v>42.385468111966098</v>
      </c>
      <c r="BG132" s="20">
        <f t="shared" ref="BG132:BG153" si="115">(BE132+BF132)*0.475*44/12</f>
        <v>364.43167696167421</v>
      </c>
      <c r="BH132" s="59">
        <f t="shared" ref="BH132:BH195" si="116">BG132+(AY132+AZ132)*44/12</f>
        <v>657.76501029500753</v>
      </c>
      <c r="BI132" s="59">
        <f ca="1">AVERAGE(OFFSET($BH$3,0,0,'Données projet'!$E$11+1,1))-AVERAGE(OFFSET($H$3,0,0,'Données projet'!$E$11+1,1))</f>
        <v>175.73188403662408</v>
      </c>
      <c r="BJ132" s="59">
        <f t="shared" si="92"/>
        <v>152.02195399869032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5.3642239800858036</v>
      </c>
      <c r="BQ132" s="21">
        <f>EXP(-LN(2)/25)*BQ131+(1-EXP(-LN(2)/25))/(LN(2)/25)*Calculateur!BL132*Calculateur!BN132*VLOOKUP('Données projet'!$B$11,Paramètres!$A$1:$I$89,3,0)*0.475*44/12</f>
        <v>4.8898950553887612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10.254119035474565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5.2446581196581219</v>
      </c>
      <c r="BY132" s="12">
        <f>IF('Données projet'!$A$114&gt;35,BY131+BX132-CG131,IF(A132&lt;'Données projet'!$A$114,$BV$205^A132,IF(A132='Données projet'!$A$114,'Données projet'!$B$114,BY131+BX132-CG131)))</f>
        <v>251.11324786324738</v>
      </c>
      <c r="BZ132" s="13">
        <f>BY132*VLOOKUP('Données projet'!$B$12,Paramètres!$A$1:$I$89,3,0)*VLOOKUP('Données projet'!$B$12,Paramètres!$A$1:$I$89,5,0)</f>
        <v>227.20726666666624</v>
      </c>
      <c r="CA132" s="13">
        <f t="shared" si="93"/>
        <v>55.678398616153615</v>
      </c>
      <c r="CB132" s="20">
        <f t="shared" ref="CB132:CB153" si="118">(BZ132+CA132)*0.475*44/12</f>
        <v>492.69253370091127</v>
      </c>
      <c r="CC132" s="59">
        <f t="shared" ref="CC132:CC195" si="119">CB132+(BT132+BU132)*44/12</f>
        <v>786.02586703424458</v>
      </c>
      <c r="CD132" s="59">
        <f ca="1">AVERAGE(OFFSET($CC$3,0,0,'Données projet'!$E$12+1,1))-AVERAGE(OFFSET($H$3,0,0,'Données projet'!$E$12+1,1))</f>
        <v>213.54857791046686</v>
      </c>
      <c r="CE132" s="59">
        <f t="shared" si="94"/>
        <v>138.46877538074244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39.40125035148683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39.40125035148683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213</v>
      </c>
      <c r="CU132" s="17">
        <f>CT132*VLOOKUP('Données projet'!$B$13,Paramètres!$A$1:$I$89,3,0)*VLOOKUP('Données projet'!$B$13,Paramètres!$A$1:$I$89,5,0)</f>
        <v>169.46279999999999</v>
      </c>
      <c r="CV132" s="13">
        <f t="shared" si="95"/>
        <v>42.969686502194378</v>
      </c>
      <c r="CW132" s="20">
        <f t="shared" ref="CW132:CW153" si="121">(CU132+CV132)*0.475*44/12</f>
        <v>369.9865806579885</v>
      </c>
      <c r="CX132" s="59">
        <f t="shared" ref="CX132:CX195" si="122">CW132+(CO132+CP132)*44/12</f>
        <v>663.31991399132176</v>
      </c>
      <c r="CY132" s="59">
        <f ca="1">AVERAGE(OFFSET($CX$3,0,0,'Données projet'!$E$13+1,1))-AVERAGE(OFFSET($H$3,0,0,'Données projet'!$E$13+1,1))</f>
        <v>161.87883827031436</v>
      </c>
      <c r="CZ132" s="59">
        <f t="shared" si="96"/>
        <v>163.02076389611869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4.2742853425091463</v>
      </c>
      <c r="DG132" s="21">
        <f>EXP(-LN(2)/25)*DG131+(1-EXP(-LN(2)/25))/(LN(2)/25)*Calculateur!DB132*Calculateur!DD132*VLOOKUP('Données projet'!$B$13,Paramètres!$A$1:$I$89,3,0)*0.475*44/12</f>
        <v>2.2458704325836281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6.5201557750927748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149.0000000000002</v>
      </c>
      <c r="DP132" s="17">
        <f>DO132*VLOOKUP('Données projet'!$B$14,Paramètres!$A$1:$I$89,3,0)*VLOOKUP('Données projet'!$B$14,Paramètres!$A$1:$I$89,5,0)</f>
        <v>120.86880000000016</v>
      </c>
      <c r="DQ132" s="13">
        <f t="shared" si="97"/>
        <v>31.877547472771326</v>
      </c>
      <c r="DR132" s="20">
        <f t="shared" ref="DR132:DR153" si="124">(DP132+DQ132)*0.475*44/12</f>
        <v>266.03322184841039</v>
      </c>
      <c r="DS132" s="59">
        <f t="shared" ref="DS132:DS195" si="125">DR132+(DJ132+DK132)*44/12</f>
        <v>559.36655518174371</v>
      </c>
      <c r="DT132" s="59">
        <f ca="1">AVERAGE(OFFSET($DS$3,0,0,'Données projet'!$E$14+1,1))-AVERAGE(OFFSET($H$3,0,0,'Données projet'!$E$14+1,1))</f>
        <v>96.611230241682733</v>
      </c>
      <c r="DU132" s="59">
        <f t="shared" si="98"/>
        <v>78.711045514042041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0.82614837325695056</v>
      </c>
      <c r="EB132" s="21">
        <f>EXP(-LN(2)/25)*EB131+(1-EXP(-LN(2)/25))/(LN(2)/25)*Calculateur!DW132*Calculateur!DY132*VLOOKUP('Données projet'!$B$14,Paramètres!$A$1:$I$89,3,0)*0.475*44/12</f>
        <v>2.1279319682943556</v>
      </c>
      <c r="EC132" s="21">
        <f>EXP(-LN(2)/2)*EC131+(1-EXP(-LN(2)/2))/(LN(2)/2)*DW132*DZ132*VLOOKUP('Données projet'!$B$14,Paramètres!$A$1:$I$89,3,0)*0.475*44/12</f>
        <v>1.8312102290935021E-6</v>
      </c>
      <c r="ED132" s="22">
        <f t="shared" ref="ED132:ED153" si="126">SUM(EA132:EC132)</f>
        <v>2.9540821727615354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188.61152573050066</v>
      </c>
      <c r="EP132" s="59">
        <f t="shared" si="100"/>
        <v>172.37050503841624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51.732532628689768</v>
      </c>
      <c r="EW132" s="21">
        <f>EXP(-LN(2)/25)*EW131+(1-EXP(-LN(2)/25))/(LN(2)/25)*Calculateur!ER132*Calculateur!ET132*VLOOKUP('Données projet'!$B$15,Paramètres!$A$1:$I$89,3,0)*0.475*44/12</f>
        <v>8.53736594699091</v>
      </c>
      <c r="EX132" s="21">
        <f>EXP(-LN(2)/2)*EX131+(1-EXP(-LN(2)/2))/(LN(2)/2)*ER132*EU132*VLOOKUP('Données projet'!$B$15,Paramètres!$A$1:$I$89,3,0)*0.475*44/12</f>
        <v>4.1482185679817523E-8</v>
      </c>
      <c r="EY132" s="22">
        <f t="shared" ref="EY132:EY153" si="129">SUM(EV132:EX132)</f>
        <v>60.269898617162866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0</v>
      </c>
      <c r="FK132" s="59">
        <f t="shared" si="102"/>
        <v>0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0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197.78572767493569</v>
      </c>
      <c r="T133" s="59">
        <f t="shared" ref="T133:T196" si="142">$T$3</f>
        <v>288.66487031729008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266.99999999999983</v>
      </c>
      <c r="AJ133" s="13">
        <f>AI133*VLOOKUP('Données projet'!$B$10,Paramètres!$A$1:$I$89,3,0)*VLOOKUP('Données projet'!$B$10,Paramètres!$A$1:$I$89,5,0)</f>
        <v>212.42519999999985</v>
      </c>
      <c r="AK133" s="13">
        <f t="shared" ref="AK133:AK153" si="143">EXP(-1.0587+0.8836*LN(AJ133)+0.284)</f>
        <v>52.465198231787184</v>
      </c>
      <c r="AL133" s="20">
        <f t="shared" si="112"/>
        <v>461.35077692036231</v>
      </c>
      <c r="AM133" s="59">
        <f t="shared" si="113"/>
        <v>754.68411025369562</v>
      </c>
      <c r="AN133" s="59">
        <f ca="1">AVERAGE(OFFSET($AM$3,0,0,'Données projet'!$E$10+1,1))-AVERAGE(OFFSET($H$3,0,0,'Données projet'!$E$10+1,1))</f>
        <v>219.43439115440339</v>
      </c>
      <c r="AO133" s="59">
        <f t="shared" ref="AO133:AO196" si="144">$AO$3</f>
        <v>217.8880462742099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10.695935050134979</v>
      </c>
      <c r="AV133" s="21">
        <f>EXP(-LN(2)/25)*AV132+(1-EXP(-LN(2)/25))/(LN(2)/25)*Calculateur!AQ133*Calculateur!AS133*VLOOKUP('Données projet'!$B$10,Paramètres!$A$1:$I$89,3,0)*0.475*44/12</f>
        <v>2.0822300537133165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12.778165103848295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190.99999999999997</v>
      </c>
      <c r="BE133" s="13">
        <f>BD133*VLOOKUP('Données projet'!$B$11,Paramètres!$A$1:$I$89,3,0)*VLOOKUP('Données projet'!$B$11,Paramètres!$A$1:$I$89,5,0)</f>
        <v>166.85759999999999</v>
      </c>
      <c r="BF133" s="13">
        <f t="shared" ref="BF133:BF153" si="145">EXP(-1.0587+0.8836*LN(BE133)+0.284)</f>
        <v>42.385468111966098</v>
      </c>
      <c r="BG133" s="20">
        <f t="shared" si="115"/>
        <v>364.43167696167421</v>
      </c>
      <c r="BH133" s="59">
        <f t="shared" si="116"/>
        <v>657.76501029500753</v>
      </c>
      <c r="BI133" s="59">
        <f ca="1">AVERAGE(OFFSET($BH$3,0,0,'Données projet'!$E$11+1,1))-AVERAGE(OFFSET($H$3,0,0,'Données projet'!$E$11+1,1))</f>
        <v>175.73188403662408</v>
      </c>
      <c r="BJ133" s="59">
        <f t="shared" ref="BJ133:BJ196" si="146">$BJ$3</f>
        <v>152.02195399869032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5.2590348196898802</v>
      </c>
      <c r="BQ133" s="21">
        <f>EXP(-LN(2)/25)*BQ132+(1-EXP(-LN(2)/25))/(LN(2)/25)*Calculateur!BL133*Calculateur!BN133*VLOOKUP('Données projet'!$B$11,Paramètres!$A$1:$I$89,3,0)*0.475*44/12</f>
        <v>4.7561806179507506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10.015215437640631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5.2446581196581219</v>
      </c>
      <c r="BY133" s="12">
        <f>IF('Données projet'!$A$114&gt;35,BY132+BX133-CG132,IF(A133&lt;'Données projet'!$A$114,$BV$205^A133,IF(A133='Données projet'!$A$114,'Données projet'!$B$114,BY132+BX133-CG132)))</f>
        <v>256.35790598290549</v>
      </c>
      <c r="BZ133" s="13">
        <f>BY133*VLOOKUP('Données projet'!$B$12,Paramètres!$A$1:$I$89,3,0)*VLOOKUP('Données projet'!$B$12,Paramètres!$A$1:$I$89,5,0)</f>
        <v>231.95263333333287</v>
      </c>
      <c r="CA133" s="13">
        <f t="shared" ref="CA133:CA153" si="147">EXP(-1.0587+0.8836*LN(BZ133)+0.284)</f>
        <v>56.704678554548856</v>
      </c>
      <c r="CB133" s="20">
        <f t="shared" si="118"/>
        <v>502.74481820472732</v>
      </c>
      <c r="CC133" s="59">
        <f t="shared" si="119"/>
        <v>796.07815153806064</v>
      </c>
      <c r="CD133" s="59">
        <f ca="1">AVERAGE(OFFSET($CC$3,0,0,'Données projet'!$E$12+1,1))-AVERAGE(OFFSET($H$3,0,0,'Données projet'!$E$12+1,1))</f>
        <v>213.54857791046686</v>
      </c>
      <c r="CE133" s="59">
        <f t="shared" ref="CE133:CE196" si="148">$CE$3</f>
        <v>138.46877538074244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38.628615864483884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38.628615864483884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213</v>
      </c>
      <c r="CU133" s="17">
        <f>CT133*VLOOKUP('Données projet'!$B$13,Paramètres!$A$1:$I$89,3,0)*VLOOKUP('Données projet'!$B$13,Paramètres!$A$1:$I$89,5,0)</f>
        <v>169.46279999999999</v>
      </c>
      <c r="CV133" s="13">
        <f t="shared" ref="CV133:CV153" si="149">EXP(-1.0587+0.8836*LN(CU133)+0.284)</f>
        <v>42.969686502194378</v>
      </c>
      <c r="CW133" s="20">
        <f t="shared" si="121"/>
        <v>369.9865806579885</v>
      </c>
      <c r="CX133" s="59">
        <f t="shared" si="122"/>
        <v>663.31991399132176</v>
      </c>
      <c r="CY133" s="59">
        <f ca="1">AVERAGE(OFFSET($CX$3,0,0,'Données projet'!$E$13+1,1))-AVERAGE(OFFSET($H$3,0,0,'Données projet'!$E$13+1,1))</f>
        <v>161.87883827031436</v>
      </c>
      <c r="CZ133" s="59">
        <f t="shared" ref="CZ133:CZ196" si="150">$CZ$3</f>
        <v>163.02076389611869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4.190469213999175</v>
      </c>
      <c r="DG133" s="21">
        <f>EXP(-LN(2)/25)*DG132+(1-EXP(-LN(2)/25))/(LN(2)/25)*Calculateur!DB133*Calculateur!DD133*VLOOKUP('Données projet'!$B$13,Paramètres!$A$1:$I$89,3,0)*0.475*44/12</f>
        <v>2.1844569874994355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6.3749262014986101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149.0000000000002</v>
      </c>
      <c r="DP133" s="17">
        <f>DO133*VLOOKUP('Données projet'!$B$14,Paramètres!$A$1:$I$89,3,0)*VLOOKUP('Données projet'!$B$14,Paramètres!$A$1:$I$89,5,0)</f>
        <v>120.86880000000016</v>
      </c>
      <c r="DQ133" s="13">
        <f t="shared" ref="DQ133:DQ153" si="151">EXP(-1.0587+0.8836*LN(DP133)+0.284)</f>
        <v>31.877547472771326</v>
      </c>
      <c r="DR133" s="20">
        <f t="shared" si="124"/>
        <v>266.03322184841039</v>
      </c>
      <c r="DS133" s="59">
        <f t="shared" si="125"/>
        <v>559.36655518174371</v>
      </c>
      <c r="DT133" s="59">
        <f ca="1">AVERAGE(OFFSET($DS$3,0,0,'Données projet'!$E$14+1,1))-AVERAGE(OFFSET($H$3,0,0,'Données projet'!$E$14+1,1))</f>
        <v>96.611230241682733</v>
      </c>
      <c r="DU133" s="59">
        <f t="shared" ref="DU133:DU196" si="152">$DU$3</f>
        <v>78.711045514042041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0.8099481075581334</v>
      </c>
      <c r="EB133" s="21">
        <f>EXP(-LN(2)/25)*EB132+(1-EXP(-LN(2)/25))/(LN(2)/25)*Calculateur!DW133*Calculateur!DY133*VLOOKUP('Données projet'!$B$14,Paramètres!$A$1:$I$89,3,0)*0.475*44/12</f>
        <v>2.0697435567182678</v>
      </c>
      <c r="EC133" s="21">
        <f>EXP(-LN(2)/2)*EC132+(1-EXP(-LN(2)/2))/(LN(2)/2)*DW133*DZ133*VLOOKUP('Données projet'!$B$14,Paramètres!$A$1:$I$89,3,0)*0.475*44/12</f>
        <v>1.2948611707701868E-6</v>
      </c>
      <c r="ED133" s="22">
        <f t="shared" si="126"/>
        <v>2.879692959137572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188.61152573050066</v>
      </c>
      <c r="EP133" s="59">
        <f t="shared" ref="EP133:EP196" si="154">$EP$3</f>
        <v>172.37050503841624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50.718089217570395</v>
      </c>
      <c r="EW133" s="21">
        <f>EXP(-LN(2)/25)*EW132+(1-EXP(-LN(2)/25))/(LN(2)/25)*Calculateur!ER133*Calculateur!ET133*VLOOKUP('Données projet'!$B$15,Paramètres!$A$1:$I$89,3,0)*0.475*44/12</f>
        <v>8.3039112262098804</v>
      </c>
      <c r="EX133" s="21">
        <f>EXP(-LN(2)/2)*EX132+(1-EXP(-LN(2)/2))/(LN(2)/2)*ER133*EU133*VLOOKUP('Données projet'!$B$15,Paramètres!$A$1:$I$89,3,0)*0.475*44/12</f>
        <v>2.9332334792638465E-8</v>
      </c>
      <c r="EY133" s="22">
        <f t="shared" si="129"/>
        <v>59.022000473112605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0</v>
      </c>
      <c r="FK133" s="59">
        <f t="shared" ref="FK133:FK196" si="156">$FK$3</f>
        <v>0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0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197.78572767493569</v>
      </c>
      <c r="T134" s="59">
        <f t="shared" si="142"/>
        <v>288.66487031729008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266.99999999999983</v>
      </c>
      <c r="AJ134" s="13">
        <f>AI134*VLOOKUP('Données projet'!$B$10,Paramètres!$A$1:$I$89,3,0)*VLOOKUP('Données projet'!$B$10,Paramètres!$A$1:$I$89,5,0)</f>
        <v>212.42519999999985</v>
      </c>
      <c r="AK134" s="13">
        <f t="shared" si="143"/>
        <v>52.465198231787184</v>
      </c>
      <c r="AL134" s="20">
        <f t="shared" si="112"/>
        <v>461.35077692036231</v>
      </c>
      <c r="AM134" s="59">
        <f t="shared" si="113"/>
        <v>754.68411025369562</v>
      </c>
      <c r="AN134" s="59">
        <f ca="1">AVERAGE(OFFSET($AM$3,0,0,'Données projet'!$E$10+1,1))-AVERAGE(OFFSET($H$3,0,0,'Données projet'!$E$10+1,1))</f>
        <v>219.43439115440339</v>
      </c>
      <c r="AO134" s="59">
        <f t="shared" si="144"/>
        <v>217.8880462742099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10.486194287678034</v>
      </c>
      <c r="AV134" s="21">
        <f>EXP(-LN(2)/25)*AV133+(1-EXP(-LN(2)/25))/(LN(2)/25)*Calculateur!AQ134*Calculateur!AS134*VLOOKUP('Données projet'!$B$10,Paramètres!$A$1:$I$89,3,0)*0.475*44/12</f>
        <v>2.0252913633948064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12.51148565107284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190.99999999999997</v>
      </c>
      <c r="BE134" s="13">
        <f>BD134*VLOOKUP('Données projet'!$B$11,Paramètres!$A$1:$I$89,3,0)*VLOOKUP('Données projet'!$B$11,Paramètres!$A$1:$I$89,5,0)</f>
        <v>166.85759999999999</v>
      </c>
      <c r="BF134" s="13">
        <f t="shared" si="145"/>
        <v>42.385468111966098</v>
      </c>
      <c r="BG134" s="20">
        <f t="shared" si="115"/>
        <v>364.43167696167421</v>
      </c>
      <c r="BH134" s="59">
        <f t="shared" si="116"/>
        <v>657.76501029500753</v>
      </c>
      <c r="BI134" s="59">
        <f ca="1">AVERAGE(OFFSET($BH$3,0,0,'Données projet'!$E$11+1,1))-AVERAGE(OFFSET($H$3,0,0,'Données projet'!$E$11+1,1))</f>
        <v>175.73188403662408</v>
      </c>
      <c r="BJ134" s="59">
        <f t="shared" si="146"/>
        <v>152.02195399869032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5.1559083545702684</v>
      </c>
      <c r="BQ134" s="21">
        <f>EXP(-LN(2)/25)*BQ133+(1-EXP(-LN(2)/25))/(LN(2)/25)*Calculateur!BL134*Calculateur!BN134*VLOOKUP('Données projet'!$B$11,Paramètres!$A$1:$I$89,3,0)*0.475*44/12</f>
        <v>4.6261226088362193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9.7820309634064877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5.2446581196581219</v>
      </c>
      <c r="BY134" s="12">
        <f>IF('Données projet'!$A$114&gt;35,BY133+BX134-CG133,IF(A134&lt;'Données projet'!$A$114,$BV$205^A134,IF(A134='Données projet'!$A$114,'Données projet'!$B$114,BY133+BX134-CG133)))</f>
        <v>261.60256410256363</v>
      </c>
      <c r="BZ134" s="13">
        <f>BY134*VLOOKUP('Données projet'!$B$12,Paramètres!$A$1:$I$89,3,0)*VLOOKUP('Données projet'!$B$12,Paramètres!$A$1:$I$89,5,0)</f>
        <v>236.69799999999958</v>
      </c>
      <c r="CA134" s="13">
        <f t="shared" si="147"/>
        <v>57.728517287605179</v>
      </c>
      <c r="CB134" s="20">
        <f t="shared" si="118"/>
        <v>512.7928509425783</v>
      </c>
      <c r="CC134" s="59">
        <f t="shared" si="119"/>
        <v>806.12618427591156</v>
      </c>
      <c r="CD134" s="59">
        <f ca="1">AVERAGE(OFFSET($CC$3,0,0,'Données projet'!$E$12+1,1))-AVERAGE(OFFSET($H$3,0,0,'Données projet'!$E$12+1,1))</f>
        <v>213.54857791046686</v>
      </c>
      <c r="CE134" s="59">
        <f t="shared" si="148"/>
        <v>138.46877538074244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37.871132268510564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37.871132268510564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213</v>
      </c>
      <c r="CU134" s="17">
        <f>CT134*VLOOKUP('Données projet'!$B$13,Paramètres!$A$1:$I$89,3,0)*VLOOKUP('Données projet'!$B$13,Paramètres!$A$1:$I$89,5,0)</f>
        <v>169.46279999999999</v>
      </c>
      <c r="CV134" s="13">
        <f t="shared" si="149"/>
        <v>42.969686502194378</v>
      </c>
      <c r="CW134" s="20">
        <f t="shared" si="121"/>
        <v>369.9865806579885</v>
      </c>
      <c r="CX134" s="59">
        <f t="shared" si="122"/>
        <v>663.31991399132176</v>
      </c>
      <c r="CY134" s="59">
        <f ca="1">AVERAGE(OFFSET($CX$3,0,0,'Données projet'!$E$13+1,1))-AVERAGE(OFFSET($H$3,0,0,'Données projet'!$E$13+1,1))</f>
        <v>161.87883827031436</v>
      </c>
      <c r="CZ134" s="59">
        <f t="shared" si="150"/>
        <v>163.02076389611869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4.1082966686464939</v>
      </c>
      <c r="DG134" s="21">
        <f>EXP(-LN(2)/25)*DG133+(1-EXP(-LN(2)/25))/(LN(2)/25)*Calculateur!DB134*Calculateur!DD134*VLOOKUP('Données projet'!$B$13,Paramètres!$A$1:$I$89,3,0)*0.475*44/12</f>
        <v>2.1247228963006632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6.2330195649471571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149.0000000000002</v>
      </c>
      <c r="DP134" s="17">
        <f>DO134*VLOOKUP('Données projet'!$B$14,Paramètres!$A$1:$I$89,3,0)*VLOOKUP('Données projet'!$B$14,Paramètres!$A$1:$I$89,5,0)</f>
        <v>120.86880000000016</v>
      </c>
      <c r="DQ134" s="13">
        <f t="shared" si="151"/>
        <v>31.877547472771326</v>
      </c>
      <c r="DR134" s="20">
        <f t="shared" si="124"/>
        <v>266.03322184841039</v>
      </c>
      <c r="DS134" s="59">
        <f t="shared" si="125"/>
        <v>559.36655518174371</v>
      </c>
      <c r="DT134" s="59">
        <f ca="1">AVERAGE(OFFSET($DS$3,0,0,'Données projet'!$E$14+1,1))-AVERAGE(OFFSET($H$3,0,0,'Données projet'!$E$14+1,1))</f>
        <v>96.611230241682733</v>
      </c>
      <c r="DU134" s="59">
        <f t="shared" si="152"/>
        <v>78.711045514042041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0.79406551918848367</v>
      </c>
      <c r="EB134" s="21">
        <f>EXP(-LN(2)/25)*EB133+(1-EXP(-LN(2)/25))/(LN(2)/25)*Calculateur!DW134*Calculateur!DY134*VLOOKUP('Données projet'!$B$14,Paramètres!$A$1:$I$89,3,0)*0.475*44/12</f>
        <v>2.0131463103167238</v>
      </c>
      <c r="EC134" s="21">
        <f>EXP(-LN(2)/2)*EC133+(1-EXP(-LN(2)/2))/(LN(2)/2)*DW134*DZ134*VLOOKUP('Données projet'!$B$14,Paramètres!$A$1:$I$89,3,0)*0.475*44/12</f>
        <v>9.1560511454675129E-7</v>
      </c>
      <c r="ED134" s="22">
        <f t="shared" si="126"/>
        <v>2.8072127451103217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188.61152573050066</v>
      </c>
      <c r="EP134" s="59">
        <f t="shared" si="154"/>
        <v>172.37050503841624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49.723538422993684</v>
      </c>
      <c r="EW134" s="21">
        <f>EXP(-LN(2)/25)*EW133+(1-EXP(-LN(2)/25))/(LN(2)/25)*Calculateur!ER134*Calculateur!ET134*VLOOKUP('Données projet'!$B$15,Paramètres!$A$1:$I$89,3,0)*0.475*44/12</f>
        <v>8.0768403370454589</v>
      </c>
      <c r="EX134" s="21">
        <f>EXP(-LN(2)/2)*EX133+(1-EXP(-LN(2)/2))/(LN(2)/2)*ER134*EU134*VLOOKUP('Données projet'!$B$15,Paramètres!$A$1:$I$89,3,0)*0.475*44/12</f>
        <v>2.0741092839908765E-8</v>
      </c>
      <c r="EY134" s="22">
        <f t="shared" si="129"/>
        <v>57.800378780780235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0</v>
      </c>
      <c r="FK134" s="59">
        <f t="shared" si="156"/>
        <v>0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0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197.78572767493569</v>
      </c>
      <c r="T135" s="59">
        <f t="shared" si="142"/>
        <v>288.66487031729008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266.99999999999983</v>
      </c>
      <c r="AJ135" s="13">
        <f>AI135*VLOOKUP('Données projet'!$B$10,Paramètres!$A$1:$I$89,3,0)*VLOOKUP('Données projet'!$B$10,Paramètres!$A$1:$I$89,5,0)</f>
        <v>212.42519999999985</v>
      </c>
      <c r="AK135" s="13">
        <f t="shared" si="143"/>
        <v>52.465198231787184</v>
      </c>
      <c r="AL135" s="20">
        <f t="shared" si="112"/>
        <v>461.35077692036231</v>
      </c>
      <c r="AM135" s="59">
        <f t="shared" si="113"/>
        <v>754.68411025369562</v>
      </c>
      <c r="AN135" s="59">
        <f ca="1">AVERAGE(OFFSET($AM$3,0,0,'Données projet'!$E$10+1,1))-AVERAGE(OFFSET($H$3,0,0,'Données projet'!$E$10+1,1))</f>
        <v>219.43439115440339</v>
      </c>
      <c r="AO135" s="59">
        <f t="shared" si="144"/>
        <v>217.8880462742099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10.280566413643635</v>
      </c>
      <c r="AV135" s="21">
        <f>EXP(-LN(2)/25)*AV134+(1-EXP(-LN(2)/25))/(LN(2)/25)*Calculateur!AQ135*Calculateur!AS135*VLOOKUP('Données projet'!$B$10,Paramètres!$A$1:$I$89,3,0)*0.475*44/12</f>
        <v>1.9699096645573315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12.250476078200967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190.99999999999997</v>
      </c>
      <c r="BE135" s="13">
        <f>BD135*VLOOKUP('Données projet'!$B$11,Paramètres!$A$1:$I$89,3,0)*VLOOKUP('Données projet'!$B$11,Paramètres!$A$1:$I$89,5,0)</f>
        <v>166.85759999999999</v>
      </c>
      <c r="BF135" s="13">
        <f t="shared" si="145"/>
        <v>42.385468111966098</v>
      </c>
      <c r="BG135" s="20">
        <f t="shared" si="115"/>
        <v>364.43167696167421</v>
      </c>
      <c r="BH135" s="59">
        <f t="shared" si="116"/>
        <v>657.76501029500753</v>
      </c>
      <c r="BI135" s="59">
        <f ca="1">AVERAGE(OFFSET($BH$3,0,0,'Données projet'!$E$11+1,1))-AVERAGE(OFFSET($H$3,0,0,'Données projet'!$E$11+1,1))</f>
        <v>175.73188403662408</v>
      </c>
      <c r="BJ135" s="59">
        <f t="shared" si="146"/>
        <v>152.02195399869032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5.054804136530719</v>
      </c>
      <c r="BQ135" s="21">
        <f>EXP(-LN(2)/25)*BQ134+(1-EXP(-LN(2)/25))/(LN(2)/25)*Calculateur!BL135*Calculateur!BN135*VLOOKUP('Données projet'!$B$11,Paramètres!$A$1:$I$89,3,0)*0.475*44/12</f>
        <v>4.4996210428203778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9.5544251793510959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5.2446581196581219</v>
      </c>
      <c r="BY135" s="12">
        <f>IF('Données projet'!$A$114&gt;35,BY134+BX135-CG134,IF(A135&lt;'Données projet'!$A$114,$BV$205^A135,IF(A135='Données projet'!$A$114,'Données projet'!$B$114,BY134+BX135-CG134)))</f>
        <v>266.84722222222177</v>
      </c>
      <c r="BZ135" s="13">
        <f>BY135*VLOOKUP('Données projet'!$B$12,Paramètres!$A$1:$I$89,3,0)*VLOOKUP('Données projet'!$B$12,Paramètres!$A$1:$I$89,5,0)</f>
        <v>241.44336666666626</v>
      </c>
      <c r="CA135" s="13">
        <f t="shared" si="147"/>
        <v>58.749969397569316</v>
      </c>
      <c r="CB135" s="20">
        <f t="shared" si="118"/>
        <v>522.83672697854365</v>
      </c>
      <c r="CC135" s="59">
        <f t="shared" si="119"/>
        <v>816.17006031187702</v>
      </c>
      <c r="CD135" s="59">
        <f ca="1">AVERAGE(OFFSET($CC$3,0,0,'Données projet'!$E$12+1,1))-AVERAGE(OFFSET($H$3,0,0,'Données projet'!$E$12+1,1))</f>
        <v>213.54857791046686</v>
      </c>
      <c r="CE135" s="59">
        <f t="shared" si="148"/>
        <v>138.46877538074244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37.128502463834906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37.128502463834906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213</v>
      </c>
      <c r="CU135" s="17">
        <f>CT135*VLOOKUP('Données projet'!$B$13,Paramètres!$A$1:$I$89,3,0)*VLOOKUP('Données projet'!$B$13,Paramètres!$A$1:$I$89,5,0)</f>
        <v>169.46279999999999</v>
      </c>
      <c r="CV135" s="13">
        <f t="shared" si="149"/>
        <v>42.969686502194378</v>
      </c>
      <c r="CW135" s="20">
        <f t="shared" si="121"/>
        <v>369.9865806579885</v>
      </c>
      <c r="CX135" s="59">
        <f t="shared" si="122"/>
        <v>663.31991399132176</v>
      </c>
      <c r="CY135" s="59">
        <f ca="1">AVERAGE(OFFSET($CX$3,0,0,'Données projet'!$E$13+1,1))-AVERAGE(OFFSET($H$3,0,0,'Données projet'!$E$13+1,1))</f>
        <v>161.87883827031436</v>
      </c>
      <c r="CZ135" s="59">
        <f t="shared" si="150"/>
        <v>163.02076389611869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4.0277354767878757</v>
      </c>
      <c r="DG135" s="21">
        <f>EXP(-LN(2)/25)*DG134+(1-EXP(-LN(2)/25))/(LN(2)/25)*Calculateur!DB135*Calculateur!DD135*VLOOKUP('Données projet'!$B$13,Paramètres!$A$1:$I$89,3,0)*0.475*44/12</f>
        <v>2.0666222369670004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6.0943577137548761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149.0000000000002</v>
      </c>
      <c r="DP135" s="17">
        <f>DO135*VLOOKUP('Données projet'!$B$14,Paramètres!$A$1:$I$89,3,0)*VLOOKUP('Données projet'!$B$14,Paramètres!$A$1:$I$89,5,0)</f>
        <v>120.86880000000016</v>
      </c>
      <c r="DQ135" s="13">
        <f t="shared" si="151"/>
        <v>31.877547472771326</v>
      </c>
      <c r="DR135" s="20">
        <f t="shared" si="124"/>
        <v>266.03322184841039</v>
      </c>
      <c r="DS135" s="59">
        <f t="shared" si="125"/>
        <v>559.36655518174371</v>
      </c>
      <c r="DT135" s="59">
        <f ca="1">AVERAGE(OFFSET($DS$3,0,0,'Données projet'!$E$14+1,1))-AVERAGE(OFFSET($H$3,0,0,'Données projet'!$E$14+1,1))</f>
        <v>96.611230241682733</v>
      </c>
      <c r="DU135" s="59">
        <f t="shared" si="152"/>
        <v>78.711045514042041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0.77849437868934035</v>
      </c>
      <c r="EB135" s="21">
        <f>EXP(-LN(2)/25)*EB134+(1-EXP(-LN(2)/25))/(LN(2)/25)*Calculateur!DW135*Calculateur!DY135*VLOOKUP('Données projet'!$B$14,Paramètres!$A$1:$I$89,3,0)*0.475*44/12</f>
        <v>1.9580967185943496</v>
      </c>
      <c r="EC135" s="21">
        <f>EXP(-LN(2)/2)*EC134+(1-EXP(-LN(2)/2))/(LN(2)/2)*DW135*DZ135*VLOOKUP('Données projet'!$B$14,Paramètres!$A$1:$I$89,3,0)*0.475*44/12</f>
        <v>6.474305853850935E-7</v>
      </c>
      <c r="ED135" s="22">
        <f t="shared" si="126"/>
        <v>2.7365917447142758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188.61152573050066</v>
      </c>
      <c r="EP135" s="59">
        <f t="shared" si="154"/>
        <v>172.37050503841624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48.74849016288254</v>
      </c>
      <c r="EW135" s="21">
        <f>EXP(-LN(2)/25)*EW134+(1-EXP(-LN(2)/25))/(LN(2)/25)*Calculateur!ER135*Calculateur!ET135*VLOOKUP('Données projet'!$B$15,Paramètres!$A$1:$I$89,3,0)*0.475*44/12</f>
        <v>7.855978713286377</v>
      </c>
      <c r="EX135" s="21">
        <f>EXP(-LN(2)/2)*EX134+(1-EXP(-LN(2)/2))/(LN(2)/2)*ER135*EU135*VLOOKUP('Données projet'!$B$15,Paramètres!$A$1:$I$89,3,0)*0.475*44/12</f>
        <v>1.4666167396319236E-8</v>
      </c>
      <c r="EY135" s="22">
        <f t="shared" si="129"/>
        <v>56.604468890835086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0</v>
      </c>
      <c r="FK135" s="59">
        <f t="shared" si="156"/>
        <v>0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0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197.78572767493569</v>
      </c>
      <c r="T136" s="59">
        <f t="shared" si="142"/>
        <v>288.66487031729008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266.99999999999983</v>
      </c>
      <c r="AJ136" s="13">
        <f>AI136*VLOOKUP('Données projet'!$B$10,Paramètres!$A$1:$I$89,3,0)*VLOOKUP('Données projet'!$B$10,Paramètres!$A$1:$I$89,5,0)</f>
        <v>212.42519999999985</v>
      </c>
      <c r="AK136" s="13">
        <f t="shared" si="143"/>
        <v>52.465198231787184</v>
      </c>
      <c r="AL136" s="20">
        <f t="shared" si="112"/>
        <v>461.35077692036231</v>
      </c>
      <c r="AM136" s="59">
        <f t="shared" si="113"/>
        <v>754.68411025369562</v>
      </c>
      <c r="AN136" s="59">
        <f ca="1">AVERAGE(OFFSET($AM$3,0,0,'Données projet'!$E$10+1,1))-AVERAGE(OFFSET($H$3,0,0,'Données projet'!$E$10+1,1))</f>
        <v>219.43439115440339</v>
      </c>
      <c r="AO136" s="59">
        <f t="shared" si="144"/>
        <v>217.8880462742099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10.078970776798434</v>
      </c>
      <c r="AV136" s="21">
        <f>EXP(-LN(2)/25)*AV135+(1-EXP(-LN(2)/25))/(LN(2)/25)*Calculateur!AQ136*Calculateur!AS136*VLOOKUP('Données projet'!$B$10,Paramètres!$A$1:$I$89,3,0)*0.475*44/12</f>
        <v>1.9160423811869642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11.995013157985397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190.99999999999997</v>
      </c>
      <c r="BE136" s="13">
        <f>BD136*VLOOKUP('Données projet'!$B$11,Paramètres!$A$1:$I$89,3,0)*VLOOKUP('Données projet'!$B$11,Paramètres!$A$1:$I$89,5,0)</f>
        <v>166.85759999999999</v>
      </c>
      <c r="BF136" s="13">
        <f t="shared" si="145"/>
        <v>42.385468111966098</v>
      </c>
      <c r="BG136" s="20">
        <f t="shared" si="115"/>
        <v>364.43167696167421</v>
      </c>
      <c r="BH136" s="59">
        <f t="shared" si="116"/>
        <v>657.76501029500753</v>
      </c>
      <c r="BI136" s="59">
        <f ca="1">AVERAGE(OFFSET($BH$3,0,0,'Données projet'!$E$11+1,1))-AVERAGE(OFFSET($H$3,0,0,'Données projet'!$E$11+1,1))</f>
        <v>175.73188403662408</v>
      </c>
      <c r="BJ136" s="59">
        <f t="shared" si="146"/>
        <v>152.02195399869032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4.9556825105394413</v>
      </c>
      <c r="BQ136" s="21">
        <f>EXP(-LN(2)/25)*BQ135+(1-EXP(-LN(2)/25))/(LN(2)/25)*Calculateur!BL136*Calculateur!BN136*VLOOKUP('Données projet'!$B$11,Paramètres!$A$1:$I$89,3,0)*0.475*44/12</f>
        <v>4.3765786687796675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9.3322611793191079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5.2446581196581219</v>
      </c>
      <c r="BY136" s="12">
        <f>IF('Données projet'!$A$114&gt;35,BY135+BX136-CG135,IF(A136&lt;'Données projet'!$A$114,$BV$205^A136,IF(A136='Données projet'!$A$114,'Données projet'!$B$114,BY135+BX136-CG135)))</f>
        <v>272.09188034187991</v>
      </c>
      <c r="BZ136" s="13">
        <f>BY136*VLOOKUP('Données projet'!$B$12,Paramètres!$A$1:$I$89,3,0)*VLOOKUP('Données projet'!$B$12,Paramètres!$A$1:$I$89,5,0)</f>
        <v>246.18873333333292</v>
      </c>
      <c r="CA136" s="13">
        <f t="shared" si="147"/>
        <v>59.769087198438612</v>
      </c>
      <c r="CB136" s="20">
        <f t="shared" si="118"/>
        <v>532.87653742616862</v>
      </c>
      <c r="CC136" s="59">
        <f t="shared" si="119"/>
        <v>826.20987075950188</v>
      </c>
      <c r="CD136" s="59">
        <f ca="1">AVERAGE(OFFSET($CC$3,0,0,'Données projet'!$E$12+1,1))-AVERAGE(OFFSET($H$3,0,0,'Données projet'!$E$12+1,1))</f>
        <v>213.54857791046686</v>
      </c>
      <c r="CE136" s="59">
        <f t="shared" si="148"/>
        <v>138.46877538074244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36.400435176669482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36.400435176669482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213</v>
      </c>
      <c r="CU136" s="17">
        <f>CT136*VLOOKUP('Données projet'!$B$13,Paramètres!$A$1:$I$89,3,0)*VLOOKUP('Données projet'!$B$13,Paramètres!$A$1:$I$89,5,0)</f>
        <v>169.46279999999999</v>
      </c>
      <c r="CV136" s="13">
        <f t="shared" si="149"/>
        <v>42.969686502194378</v>
      </c>
      <c r="CW136" s="20">
        <f t="shared" si="121"/>
        <v>369.9865806579885</v>
      </c>
      <c r="CX136" s="59">
        <f t="shared" si="122"/>
        <v>663.31991399132176</v>
      </c>
      <c r="CY136" s="59">
        <f ca="1">AVERAGE(OFFSET($CX$3,0,0,'Données projet'!$E$13+1,1))-AVERAGE(OFFSET($H$3,0,0,'Données projet'!$E$13+1,1))</f>
        <v>161.87883827031436</v>
      </c>
      <c r="CZ136" s="59">
        <f t="shared" si="150"/>
        <v>163.02076389611869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3.9487540407641295</v>
      </c>
      <c r="DG136" s="21">
        <f>EXP(-LN(2)/25)*DG135+(1-EXP(-LN(2)/25))/(LN(2)/25)*Calculateur!DB136*Calculateur!DD136*VLOOKUP('Données projet'!$B$13,Paramètres!$A$1:$I$89,3,0)*0.475*44/12</f>
        <v>2.0101103432181975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5.958864383982327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149.0000000000002</v>
      </c>
      <c r="DP136" s="17">
        <f>DO136*VLOOKUP('Données projet'!$B$14,Paramètres!$A$1:$I$89,3,0)*VLOOKUP('Données projet'!$B$14,Paramètres!$A$1:$I$89,5,0)</f>
        <v>120.86880000000016</v>
      </c>
      <c r="DQ136" s="13">
        <f t="shared" si="151"/>
        <v>31.877547472771326</v>
      </c>
      <c r="DR136" s="20">
        <f t="shared" si="124"/>
        <v>266.03322184841039</v>
      </c>
      <c r="DS136" s="59">
        <f t="shared" si="125"/>
        <v>559.36655518174371</v>
      </c>
      <c r="DT136" s="59">
        <f ca="1">AVERAGE(OFFSET($DS$3,0,0,'Données projet'!$E$14+1,1))-AVERAGE(OFFSET($H$3,0,0,'Données projet'!$E$14+1,1))</f>
        <v>96.611230241682733</v>
      </c>
      <c r="DU136" s="59">
        <f t="shared" si="152"/>
        <v>78.711045514042041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0.76322857875792738</v>
      </c>
      <c r="EB136" s="21">
        <f>EXP(-LN(2)/25)*EB135+(1-EXP(-LN(2)/25))/(LN(2)/25)*Calculateur!DW136*Calculateur!DY136*VLOOKUP('Données projet'!$B$14,Paramètres!$A$1:$I$89,3,0)*0.475*44/12</f>
        <v>1.9045524608525559</v>
      </c>
      <c r="EC136" s="21">
        <f>EXP(-LN(2)/2)*EC135+(1-EXP(-LN(2)/2))/(LN(2)/2)*DW136*DZ136*VLOOKUP('Données projet'!$B$14,Paramètres!$A$1:$I$89,3,0)*0.475*44/12</f>
        <v>4.578025572733757E-7</v>
      </c>
      <c r="ED136" s="22">
        <f t="shared" si="126"/>
        <v>2.6677814974130407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188.61152573050066</v>
      </c>
      <c r="EP136" s="59">
        <f t="shared" si="154"/>
        <v>172.37050503841624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47.79256200443146</v>
      </c>
      <c r="EW136" s="21">
        <f>EXP(-LN(2)/25)*EW135+(1-EXP(-LN(2)/25))/(LN(2)/25)*Calculateur!ER136*Calculateur!ET136*VLOOKUP('Données projet'!$B$15,Paramètres!$A$1:$I$89,3,0)*0.475*44/12</f>
        <v>7.6411565622435953</v>
      </c>
      <c r="EX136" s="21">
        <f>EXP(-LN(2)/2)*EX135+(1-EXP(-LN(2)/2))/(LN(2)/2)*ER136*EU136*VLOOKUP('Données projet'!$B$15,Paramètres!$A$1:$I$89,3,0)*0.475*44/12</f>
        <v>1.0370546419954384E-8</v>
      </c>
      <c r="EY136" s="22">
        <f t="shared" si="129"/>
        <v>55.433718577045603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0</v>
      </c>
      <c r="FK136" s="59">
        <f t="shared" si="156"/>
        <v>0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0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197.78572767493569</v>
      </c>
      <c r="T137" s="59">
        <f t="shared" si="142"/>
        <v>288.66487031729008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266.99999999999983</v>
      </c>
      <c r="AJ137" s="13">
        <f>AI137*VLOOKUP('Données projet'!$B$10,Paramètres!$A$1:$I$89,3,0)*VLOOKUP('Données projet'!$B$10,Paramètres!$A$1:$I$89,5,0)</f>
        <v>212.42519999999985</v>
      </c>
      <c r="AK137" s="13">
        <f t="shared" si="143"/>
        <v>52.465198231787184</v>
      </c>
      <c r="AL137" s="20">
        <f t="shared" si="112"/>
        <v>461.35077692036231</v>
      </c>
      <c r="AM137" s="59">
        <f t="shared" si="113"/>
        <v>754.68411025369562</v>
      </c>
      <c r="AN137" s="59">
        <f ca="1">AVERAGE(OFFSET($AM$3,0,0,'Données projet'!$E$10+1,1))-AVERAGE(OFFSET($H$3,0,0,'Données projet'!$E$10+1,1))</f>
        <v>219.43439115440339</v>
      </c>
      <c r="AO137" s="59">
        <f t="shared" si="144"/>
        <v>217.8880462742099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9.881328307430568</v>
      </c>
      <c r="AV137" s="21">
        <f>EXP(-LN(2)/25)*AV136+(1-EXP(-LN(2)/25))/(LN(2)/25)*Calculateur!AQ137*Calculateur!AS137*VLOOKUP('Données projet'!$B$10,Paramètres!$A$1:$I$89,3,0)*0.475*44/12</f>
        <v>1.863648101513117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11.744976408943685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190.99999999999997</v>
      </c>
      <c r="BE137" s="13">
        <f>BD137*VLOOKUP('Données projet'!$B$11,Paramètres!$A$1:$I$89,3,0)*VLOOKUP('Données projet'!$B$11,Paramètres!$A$1:$I$89,5,0)</f>
        <v>166.85759999999999</v>
      </c>
      <c r="BF137" s="13">
        <f t="shared" si="145"/>
        <v>42.385468111966098</v>
      </c>
      <c r="BG137" s="20">
        <f t="shared" si="115"/>
        <v>364.43167696167421</v>
      </c>
      <c r="BH137" s="59">
        <f t="shared" si="116"/>
        <v>657.76501029500753</v>
      </c>
      <c r="BI137" s="59">
        <f ca="1">AVERAGE(OFFSET($BH$3,0,0,'Données projet'!$E$11+1,1))-AVERAGE(OFFSET($H$3,0,0,'Données projet'!$E$11+1,1))</f>
        <v>175.73188403662408</v>
      </c>
      <c r="BJ137" s="59">
        <f t="shared" si="146"/>
        <v>152.02195399869032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4.8585045991756308</v>
      </c>
      <c r="BQ137" s="21">
        <f>EXP(-LN(2)/25)*BQ136+(1-EXP(-LN(2)/25))/(LN(2)/25)*Calculateur!BL137*Calculateur!BN137*VLOOKUP('Données projet'!$B$11,Paramètres!$A$1:$I$89,3,0)*0.475*44/12</f>
        <v>4.2569008949276181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9.1154054941032499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5.2446581196581219</v>
      </c>
      <c r="BY137" s="12">
        <f>IF('Données projet'!$A$114&gt;35,BY136+BX137-CG136,IF(A137&lt;'Données projet'!$A$114,$BV$205^A137,IF(A137='Données projet'!$A$114,'Données projet'!$B$114,BY136+BX137-CG136)))</f>
        <v>277.33653846153805</v>
      </c>
      <c r="BZ137" s="13">
        <f>BY137*VLOOKUP('Données projet'!$B$12,Paramètres!$A$1:$I$89,3,0)*VLOOKUP('Données projet'!$B$12,Paramètres!$A$1:$I$89,5,0)</f>
        <v>250.9340999999996</v>
      </c>
      <c r="CA137" s="13">
        <f t="shared" si="147"/>
        <v>60.785920872094742</v>
      </c>
      <c r="CB137" s="20">
        <f t="shared" si="118"/>
        <v>542.91236968556427</v>
      </c>
      <c r="CC137" s="59">
        <f t="shared" si="119"/>
        <v>836.24570301889753</v>
      </c>
      <c r="CD137" s="59">
        <f ca="1">AVERAGE(OFFSET($CC$3,0,0,'Données projet'!$E$12+1,1))-AVERAGE(OFFSET($H$3,0,0,'Données projet'!$E$12+1,1))</f>
        <v>213.54857791046686</v>
      </c>
      <c r="CE137" s="59">
        <f t="shared" si="148"/>
        <v>138.46877538074244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35.686644844928182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35.686644844928182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213</v>
      </c>
      <c r="CU137" s="17">
        <f>CT137*VLOOKUP('Données projet'!$B$13,Paramètres!$A$1:$I$89,3,0)*VLOOKUP('Données projet'!$B$13,Paramètres!$A$1:$I$89,5,0)</f>
        <v>169.46279999999999</v>
      </c>
      <c r="CV137" s="13">
        <f t="shared" si="149"/>
        <v>42.969686502194378</v>
      </c>
      <c r="CW137" s="20">
        <f t="shared" si="121"/>
        <v>369.9865806579885</v>
      </c>
      <c r="CX137" s="59">
        <f t="shared" si="122"/>
        <v>663.31991399132176</v>
      </c>
      <c r="CY137" s="59">
        <f ca="1">AVERAGE(OFFSET($CX$3,0,0,'Données projet'!$E$13+1,1))-AVERAGE(OFFSET($H$3,0,0,'Données projet'!$E$13+1,1))</f>
        <v>161.87883827031436</v>
      </c>
      <c r="CZ137" s="59">
        <f t="shared" si="150"/>
        <v>163.02076389611869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3.8713213825268902</v>
      </c>
      <c r="DG137" s="21">
        <f>EXP(-LN(2)/25)*DG136+(1-EXP(-LN(2)/25))/(LN(2)/25)*Calculateur!DB137*Calculateur!DD137*VLOOKUP('Données projet'!$B$13,Paramètres!$A$1:$I$89,3,0)*0.475*44/12</f>
        <v>1.955143770175787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5.826465152702677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149.0000000000002</v>
      </c>
      <c r="DP137" s="17">
        <f>DO137*VLOOKUP('Données projet'!$B$14,Paramètres!$A$1:$I$89,3,0)*VLOOKUP('Données projet'!$B$14,Paramètres!$A$1:$I$89,5,0)</f>
        <v>120.86880000000016</v>
      </c>
      <c r="DQ137" s="13">
        <f t="shared" si="151"/>
        <v>31.877547472771326</v>
      </c>
      <c r="DR137" s="20">
        <f t="shared" si="124"/>
        <v>266.03322184841039</v>
      </c>
      <c r="DS137" s="59">
        <f t="shared" si="125"/>
        <v>559.36655518174371</v>
      </c>
      <c r="DT137" s="59">
        <f ca="1">AVERAGE(OFFSET($DS$3,0,0,'Données projet'!$E$14+1,1))-AVERAGE(OFFSET($H$3,0,0,'Données projet'!$E$14+1,1))</f>
        <v>96.611230241682733</v>
      </c>
      <c r="DU137" s="59">
        <f t="shared" si="152"/>
        <v>78.711045514042041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0.7482621318519509</v>
      </c>
      <c r="EB137" s="21">
        <f>EXP(-LN(2)/25)*EB136+(1-EXP(-LN(2)/25))/(LN(2)/25)*Calculateur!DW137*Calculateur!DY137*VLOOKUP('Données projet'!$B$14,Paramètres!$A$1:$I$89,3,0)*0.475*44/12</f>
        <v>1.8524723736544817</v>
      </c>
      <c r="EC137" s="21">
        <f>EXP(-LN(2)/2)*EC136+(1-EXP(-LN(2)/2))/(LN(2)/2)*DW137*DZ137*VLOOKUP('Données projet'!$B$14,Paramètres!$A$1:$I$89,3,0)*0.475*44/12</f>
        <v>3.237152926925468E-7</v>
      </c>
      <c r="ED137" s="22">
        <f t="shared" si="126"/>
        <v>2.6007348292217252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188.61152573050066</v>
      </c>
      <c r="EP137" s="59">
        <f t="shared" si="154"/>
        <v>172.37050503841624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46.855379014108998</v>
      </c>
      <c r="EW137" s="21">
        <f>EXP(-LN(2)/25)*EW136+(1-EXP(-LN(2)/25))/(LN(2)/25)*Calculateur!ER137*Calculateur!ET137*VLOOKUP('Données projet'!$B$15,Paramètres!$A$1:$I$89,3,0)*0.475*44/12</f>
        <v>7.4322087342180847</v>
      </c>
      <c r="EX137" s="21">
        <f>EXP(-LN(2)/2)*EX136+(1-EXP(-LN(2)/2))/(LN(2)/2)*ER137*EU137*VLOOKUP('Données projet'!$B$15,Paramètres!$A$1:$I$89,3,0)*0.475*44/12</f>
        <v>7.3330836981596187E-9</v>
      </c>
      <c r="EY137" s="22">
        <f t="shared" si="129"/>
        <v>54.287587755660169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0</v>
      </c>
      <c r="FK137" s="59">
        <f t="shared" si="156"/>
        <v>0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0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197.78572767493569</v>
      </c>
      <c r="T138" s="59">
        <f t="shared" si="142"/>
        <v>288.66487031729008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266.99999999999983</v>
      </c>
      <c r="AJ138" s="13">
        <f>AI138*VLOOKUP('Données projet'!$B$10,Paramètres!$A$1:$I$89,3,0)*VLOOKUP('Données projet'!$B$10,Paramètres!$A$1:$I$89,5,0)</f>
        <v>212.42519999999985</v>
      </c>
      <c r="AK138" s="13">
        <f t="shared" si="143"/>
        <v>52.465198231787184</v>
      </c>
      <c r="AL138" s="20">
        <f t="shared" si="112"/>
        <v>461.35077692036231</v>
      </c>
      <c r="AM138" s="59">
        <f t="shared" si="113"/>
        <v>754.68411025369562</v>
      </c>
      <c r="AN138" s="59">
        <f ca="1">AVERAGE(OFFSET($AM$3,0,0,'Données projet'!$E$10+1,1))-AVERAGE(OFFSET($H$3,0,0,'Données projet'!$E$10+1,1))</f>
        <v>219.43439115440339</v>
      </c>
      <c r="AO138" s="59">
        <f t="shared" si="144"/>
        <v>217.8880462742099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9.6875614863370032</v>
      </c>
      <c r="AV138" s="21">
        <f>EXP(-LN(2)/25)*AV137+(1-EXP(-LN(2)/25))/(LN(2)/25)*Calculateur!AQ138*Calculateur!AS138*VLOOKUP('Données projet'!$B$10,Paramètres!$A$1:$I$89,3,0)*0.475*44/12</f>
        <v>1.8126865461722466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11.50024803250925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190.99999999999997</v>
      </c>
      <c r="BE138" s="13">
        <f>BD138*VLOOKUP('Données projet'!$B$11,Paramètres!$A$1:$I$89,3,0)*VLOOKUP('Données projet'!$B$11,Paramètres!$A$1:$I$89,5,0)</f>
        <v>166.85759999999999</v>
      </c>
      <c r="BF138" s="13">
        <f t="shared" si="145"/>
        <v>42.385468111966098</v>
      </c>
      <c r="BG138" s="20">
        <f t="shared" si="115"/>
        <v>364.43167696167421</v>
      </c>
      <c r="BH138" s="59">
        <f t="shared" si="116"/>
        <v>657.76501029500753</v>
      </c>
      <c r="BI138" s="59">
        <f ca="1">AVERAGE(OFFSET($BH$3,0,0,'Données projet'!$E$11+1,1))-AVERAGE(OFFSET($H$3,0,0,'Données projet'!$E$11+1,1))</f>
        <v>175.73188403662408</v>
      </c>
      <c r="BJ138" s="59">
        <f t="shared" si="146"/>
        <v>152.02195399869032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4.7632322873809914</v>
      </c>
      <c r="BQ138" s="21">
        <f>EXP(-LN(2)/25)*BQ137+(1-EXP(-LN(2)/25))/(LN(2)/25)*Calculateur!BL138*Calculateur!BN138*VLOOKUP('Données projet'!$B$11,Paramètres!$A$1:$I$89,3,0)*0.475*44/12</f>
        <v>4.1404957160951339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8.9037280034761253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5.2446581196581219</v>
      </c>
      <c r="BY138" s="12">
        <f>IF('Données projet'!$A$114&gt;35,BY137+BX138-CG137,IF(A138&lt;'Données projet'!$A$114,$BV$205^A138,IF(A138='Données projet'!$A$114,'Données projet'!$B$114,BY137+BX138-CG137)))</f>
        <v>282.5811965811962</v>
      </c>
      <c r="BZ138" s="13">
        <f>BY138*VLOOKUP('Données projet'!$B$12,Paramètres!$A$1:$I$89,3,0)*VLOOKUP('Données projet'!$B$12,Paramètres!$A$1:$I$89,5,0)</f>
        <v>255.67946666666631</v>
      </c>
      <c r="CA138" s="13">
        <f t="shared" si="147"/>
        <v>61.800518593848722</v>
      </c>
      <c r="CB138" s="20">
        <f t="shared" si="118"/>
        <v>552.94430766206358</v>
      </c>
      <c r="CC138" s="59">
        <f t="shared" si="119"/>
        <v>846.27764099539695</v>
      </c>
      <c r="CD138" s="59">
        <f ca="1">AVERAGE(OFFSET($CC$3,0,0,'Données projet'!$E$12+1,1))-AVERAGE(OFFSET($H$3,0,0,'Données projet'!$E$12+1,1))</f>
        <v>213.54857791046686</v>
      </c>
      <c r="CE138" s="59">
        <f t="shared" si="148"/>
        <v>138.46877538074244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34.986851506223211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34.986851506223211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213</v>
      </c>
      <c r="CU138" s="17">
        <f>CT138*VLOOKUP('Données projet'!$B$13,Paramètres!$A$1:$I$89,3,0)*VLOOKUP('Données projet'!$B$13,Paramètres!$A$1:$I$89,5,0)</f>
        <v>169.46279999999999</v>
      </c>
      <c r="CV138" s="13">
        <f t="shared" si="149"/>
        <v>42.969686502194378</v>
      </c>
      <c r="CW138" s="20">
        <f t="shared" si="121"/>
        <v>369.9865806579885</v>
      </c>
      <c r="CX138" s="59">
        <f t="shared" si="122"/>
        <v>663.31991399132176</v>
      </c>
      <c r="CY138" s="59">
        <f ca="1">AVERAGE(OFFSET($CX$3,0,0,'Données projet'!$E$13+1,1))-AVERAGE(OFFSET($H$3,0,0,'Données projet'!$E$13+1,1))</f>
        <v>161.87883827031436</v>
      </c>
      <c r="CZ138" s="59">
        <f t="shared" si="150"/>
        <v>163.02076389611869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3.795407131488425</v>
      </c>
      <c r="DG138" s="21">
        <f>EXP(-LN(2)/25)*DG137+(1-EXP(-LN(2)/25))/(LN(2)/25)*Calculateur!DB138*Calculateur!DD138*VLOOKUP('Données projet'!$B$13,Paramètres!$A$1:$I$89,3,0)*0.475*44/12</f>
        <v>1.9016802609637877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5.6970873924522127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149.0000000000002</v>
      </c>
      <c r="DP138" s="17">
        <f>DO138*VLOOKUP('Données projet'!$B$14,Paramètres!$A$1:$I$89,3,0)*VLOOKUP('Données projet'!$B$14,Paramètres!$A$1:$I$89,5,0)</f>
        <v>120.86880000000016</v>
      </c>
      <c r="DQ138" s="13">
        <f t="shared" si="151"/>
        <v>31.877547472771326</v>
      </c>
      <c r="DR138" s="20">
        <f t="shared" si="124"/>
        <v>266.03322184841039</v>
      </c>
      <c r="DS138" s="59">
        <f t="shared" si="125"/>
        <v>559.36655518174371</v>
      </c>
      <c r="DT138" s="59">
        <f ca="1">AVERAGE(OFFSET($DS$3,0,0,'Données projet'!$E$14+1,1))-AVERAGE(OFFSET($H$3,0,0,'Données projet'!$E$14+1,1))</f>
        <v>96.611230241682733</v>
      </c>
      <c r="DU138" s="59">
        <f t="shared" si="152"/>
        <v>78.711045514042041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0.73358916784116934</v>
      </c>
      <c r="EB138" s="21">
        <f>EXP(-LN(2)/25)*EB137+(1-EXP(-LN(2)/25))/(LN(2)/25)*Calculateur!DW138*Calculateur!DY138*VLOOKUP('Données projet'!$B$14,Paramètres!$A$1:$I$89,3,0)*0.475*44/12</f>
        <v>1.8018164191796116</v>
      </c>
      <c r="EC138" s="21">
        <f>EXP(-LN(2)/2)*EC137+(1-EXP(-LN(2)/2))/(LN(2)/2)*DW138*DZ138*VLOOKUP('Données projet'!$B$14,Paramètres!$A$1:$I$89,3,0)*0.475*44/12</f>
        <v>2.289012786366879E-7</v>
      </c>
      <c r="ED138" s="22">
        <f t="shared" si="126"/>
        <v>2.5354058159220596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188.61152573050066</v>
      </c>
      <c r="EP138" s="59">
        <f t="shared" si="154"/>
        <v>172.37050503841624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45.936573610601585</v>
      </c>
      <c r="EW138" s="21">
        <f>EXP(-LN(2)/25)*EW137+(1-EXP(-LN(2)/25))/(LN(2)/25)*Calculateur!ER138*Calculateur!ET138*VLOOKUP('Données projet'!$B$15,Paramètres!$A$1:$I$89,3,0)*0.475*44/12</f>
        <v>7.2289745955380207</v>
      </c>
      <c r="EX138" s="21">
        <f>EXP(-LN(2)/2)*EX137+(1-EXP(-LN(2)/2))/(LN(2)/2)*ER138*EU138*VLOOKUP('Données projet'!$B$15,Paramètres!$A$1:$I$89,3,0)*0.475*44/12</f>
        <v>5.1852732099771928E-9</v>
      </c>
      <c r="EY138" s="22">
        <f t="shared" si="129"/>
        <v>53.165548211324875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0</v>
      </c>
      <c r="FK138" s="59">
        <f t="shared" si="156"/>
        <v>0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0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197.78572767493569</v>
      </c>
      <c r="T139" s="59">
        <f t="shared" si="142"/>
        <v>288.66487031729008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266.99999999999983</v>
      </c>
      <c r="AJ139" s="13">
        <f>AI139*VLOOKUP('Données projet'!$B$10,Paramètres!$A$1:$I$89,3,0)*VLOOKUP('Données projet'!$B$10,Paramètres!$A$1:$I$89,5,0)</f>
        <v>212.42519999999985</v>
      </c>
      <c r="AK139" s="13">
        <f t="shared" si="143"/>
        <v>52.465198231787184</v>
      </c>
      <c r="AL139" s="20">
        <f t="shared" si="112"/>
        <v>461.35077692036231</v>
      </c>
      <c r="AM139" s="59">
        <f t="shared" si="113"/>
        <v>754.68411025369562</v>
      </c>
      <c r="AN139" s="59">
        <f ca="1">AVERAGE(OFFSET($AM$3,0,0,'Données projet'!$E$10+1,1))-AVERAGE(OFFSET($H$3,0,0,'Données projet'!$E$10+1,1))</f>
        <v>219.43439115440339</v>
      </c>
      <c r="AO139" s="59">
        <f t="shared" si="144"/>
        <v>217.8880462742099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9.4975943144189934</v>
      </c>
      <c r="AV139" s="21">
        <f>EXP(-LN(2)/25)*AV138+(1-EXP(-LN(2)/25))/(LN(2)/25)*Calculateur!AQ139*Calculateur!AS139*VLOOKUP('Données projet'!$B$10,Paramètres!$A$1:$I$89,3,0)*0.475*44/12</f>
        <v>1.7631185372421239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11.260712851661117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190.99999999999997</v>
      </c>
      <c r="BE139" s="13">
        <f>BD139*VLOOKUP('Données projet'!$B$11,Paramètres!$A$1:$I$89,3,0)*VLOOKUP('Données projet'!$B$11,Paramètres!$A$1:$I$89,5,0)</f>
        <v>166.85759999999999</v>
      </c>
      <c r="BF139" s="13">
        <f t="shared" si="145"/>
        <v>42.385468111966098</v>
      </c>
      <c r="BG139" s="20">
        <f t="shared" si="115"/>
        <v>364.43167696167421</v>
      </c>
      <c r="BH139" s="59">
        <f t="shared" si="116"/>
        <v>657.76501029500753</v>
      </c>
      <c r="BI139" s="59">
        <f ca="1">AVERAGE(OFFSET($BH$3,0,0,'Données projet'!$E$11+1,1))-AVERAGE(OFFSET($H$3,0,0,'Données projet'!$E$11+1,1))</f>
        <v>175.73188403662408</v>
      </c>
      <c r="BJ139" s="59">
        <f t="shared" si="146"/>
        <v>152.02195399869032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4.6698282075102719</v>
      </c>
      <c r="BQ139" s="21">
        <f>EXP(-LN(2)/25)*BQ138+(1-EXP(-LN(2)/25))/(LN(2)/25)*Calculateur!BL139*Calculateur!BN139*VLOOKUP('Données projet'!$B$11,Paramètres!$A$1:$I$89,3,0)*0.475*44/12</f>
        <v>4.0272736429993063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8.6971018505095792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5.2446581196581219</v>
      </c>
      <c r="BY139" s="12">
        <f>IF('Données projet'!$A$114&gt;35,BY138+BX139-CG138,IF(A139&lt;'Données projet'!$A$114,$BV$205^A139,IF(A139='Données projet'!$A$114,'Données projet'!$B$114,BY138+BX139-CG138)))</f>
        <v>287.82585470085434</v>
      </c>
      <c r="BZ139" s="13">
        <f>BY139*VLOOKUP('Données projet'!$B$12,Paramètres!$A$1:$I$89,3,0)*VLOOKUP('Données projet'!$B$12,Paramètres!$A$1:$I$89,5,0)</f>
        <v>260.42483333333297</v>
      </c>
      <c r="CA139" s="13">
        <f t="shared" si="147"/>
        <v>62.81292664840214</v>
      </c>
      <c r="CB139" s="20">
        <f t="shared" si="118"/>
        <v>562.97243196818863</v>
      </c>
      <c r="CC139" s="59">
        <f t="shared" si="119"/>
        <v>856.30576530152189</v>
      </c>
      <c r="CD139" s="59">
        <f ca="1">AVERAGE(OFFSET($CC$3,0,0,'Données projet'!$E$12+1,1))-AVERAGE(OFFSET($H$3,0,0,'Données projet'!$E$12+1,1))</f>
        <v>213.54857791046686</v>
      </c>
      <c r="CE139" s="59">
        <f t="shared" si="148"/>
        <v>138.46877538074244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34.300780688058452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34.300780688058452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213</v>
      </c>
      <c r="CU139" s="17">
        <f>CT139*VLOOKUP('Données projet'!$B$13,Paramètres!$A$1:$I$89,3,0)*VLOOKUP('Données projet'!$B$13,Paramètres!$A$1:$I$89,5,0)</f>
        <v>169.46279999999999</v>
      </c>
      <c r="CV139" s="13">
        <f t="shared" si="149"/>
        <v>42.969686502194378</v>
      </c>
      <c r="CW139" s="20">
        <f t="shared" si="121"/>
        <v>369.9865806579885</v>
      </c>
      <c r="CX139" s="59">
        <f t="shared" si="122"/>
        <v>663.31991399132176</v>
      </c>
      <c r="CY139" s="59">
        <f ca="1">AVERAGE(OFFSET($CX$3,0,0,'Données projet'!$E$13+1,1))-AVERAGE(OFFSET($H$3,0,0,'Données projet'!$E$13+1,1))</f>
        <v>161.87883827031436</v>
      </c>
      <c r="CZ139" s="59">
        <f t="shared" si="150"/>
        <v>163.02076389611869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3.7209815126097028</v>
      </c>
      <c r="DG139" s="21">
        <f>EXP(-LN(2)/25)*DG138+(1-EXP(-LN(2)/25))/(LN(2)/25)*Calculateur!DB139*Calculateur!DD139*VLOOKUP('Données projet'!$B$13,Paramètres!$A$1:$I$89,3,0)*0.475*44/12</f>
        <v>1.8496787142227145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5.570660226832417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149.0000000000002</v>
      </c>
      <c r="DP139" s="17">
        <f>DO139*VLOOKUP('Données projet'!$B$14,Paramètres!$A$1:$I$89,3,0)*VLOOKUP('Données projet'!$B$14,Paramètres!$A$1:$I$89,5,0)</f>
        <v>120.86880000000016</v>
      </c>
      <c r="DQ139" s="13">
        <f t="shared" si="151"/>
        <v>31.877547472771326</v>
      </c>
      <c r="DR139" s="20">
        <f t="shared" si="124"/>
        <v>266.03322184841039</v>
      </c>
      <c r="DS139" s="59">
        <f t="shared" si="125"/>
        <v>559.36655518174371</v>
      </c>
      <c r="DT139" s="59">
        <f ca="1">AVERAGE(OFFSET($DS$3,0,0,'Données projet'!$E$14+1,1))-AVERAGE(OFFSET($H$3,0,0,'Données projet'!$E$14+1,1))</f>
        <v>96.611230241682733</v>
      </c>
      <c r="DU139" s="59">
        <f t="shared" si="152"/>
        <v>78.711045514042041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0.71920393170501484</v>
      </c>
      <c r="EB139" s="21">
        <f>EXP(-LN(2)/25)*EB138+(1-EXP(-LN(2)/25))/(LN(2)/25)*Calculateur!DW139*Calculateur!DY139*VLOOKUP('Données projet'!$B$14,Paramètres!$A$1:$I$89,3,0)*0.475*44/12</f>
        <v>1.7525456544437377</v>
      </c>
      <c r="EC139" s="21">
        <f>EXP(-LN(2)/2)*EC138+(1-EXP(-LN(2)/2))/(LN(2)/2)*DW139*DZ139*VLOOKUP('Données projet'!$B$14,Paramètres!$A$1:$I$89,3,0)*0.475*44/12</f>
        <v>1.6185764634627343E-7</v>
      </c>
      <c r="ED139" s="22">
        <f t="shared" si="126"/>
        <v>2.471749748006399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188.61152573050066</v>
      </c>
      <c r="EP139" s="59">
        <f t="shared" si="154"/>
        <v>172.37050503841624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45.035785420640991</v>
      </c>
      <c r="EW139" s="21">
        <f>EXP(-LN(2)/25)*EW138+(1-EXP(-LN(2)/25))/(LN(2)/25)*Calculateur!ER139*Calculateur!ET139*VLOOKUP('Données projet'!$B$15,Paramètres!$A$1:$I$89,3,0)*0.475*44/12</f>
        <v>7.031297905067782</v>
      </c>
      <c r="EX139" s="21">
        <f>EXP(-LN(2)/2)*EX138+(1-EXP(-LN(2)/2))/(LN(2)/2)*ER139*EU139*VLOOKUP('Données projet'!$B$15,Paramètres!$A$1:$I$89,3,0)*0.475*44/12</f>
        <v>3.6665418490798102E-9</v>
      </c>
      <c r="EY139" s="22">
        <f t="shared" si="129"/>
        <v>52.067083329375315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0</v>
      </c>
      <c r="FK139" s="59">
        <f t="shared" si="156"/>
        <v>0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0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197.78572767493569</v>
      </c>
      <c r="T140" s="59">
        <f t="shared" si="142"/>
        <v>288.66487031729008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266.99999999999983</v>
      </c>
      <c r="AJ140" s="13">
        <f>AI140*VLOOKUP('Données projet'!$B$10,Paramètres!$A$1:$I$89,3,0)*VLOOKUP('Données projet'!$B$10,Paramètres!$A$1:$I$89,5,0)</f>
        <v>212.42519999999985</v>
      </c>
      <c r="AK140" s="13">
        <f t="shared" si="143"/>
        <v>52.465198231787184</v>
      </c>
      <c r="AL140" s="20">
        <f t="shared" si="112"/>
        <v>461.35077692036231</v>
      </c>
      <c r="AM140" s="59">
        <f t="shared" si="113"/>
        <v>754.68411025369562</v>
      </c>
      <c r="AN140" s="59">
        <f ca="1">AVERAGE(OFFSET($AM$3,0,0,'Données projet'!$E$10+1,1))-AVERAGE(OFFSET($H$3,0,0,'Données projet'!$E$10+1,1))</f>
        <v>219.43439115440339</v>
      </c>
      <c r="AO140" s="59">
        <f t="shared" si="144"/>
        <v>217.8880462742099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9.3113522828737612</v>
      </c>
      <c r="AV140" s="21">
        <f>EXP(-LN(2)/25)*AV139+(1-EXP(-LN(2)/25))/(LN(2)/25)*Calculateur!AQ140*Calculateur!AS140*VLOOKUP('Données projet'!$B$10,Paramètres!$A$1:$I$89,3,0)*0.475*44/12</f>
        <v>1.7149059681228638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11.026258250996625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190.99999999999997</v>
      </c>
      <c r="BE140" s="13">
        <f>BD140*VLOOKUP('Données projet'!$B$11,Paramètres!$A$1:$I$89,3,0)*VLOOKUP('Données projet'!$B$11,Paramètres!$A$1:$I$89,5,0)</f>
        <v>166.85759999999999</v>
      </c>
      <c r="BF140" s="13">
        <f t="shared" si="145"/>
        <v>42.385468111966098</v>
      </c>
      <c r="BG140" s="20">
        <f t="shared" si="115"/>
        <v>364.43167696167421</v>
      </c>
      <c r="BH140" s="59">
        <f t="shared" si="116"/>
        <v>657.76501029500753</v>
      </c>
      <c r="BI140" s="59">
        <f ca="1">AVERAGE(OFFSET($BH$3,0,0,'Données projet'!$E$11+1,1))-AVERAGE(OFFSET($H$3,0,0,'Données projet'!$E$11+1,1))</f>
        <v>175.73188403662408</v>
      </c>
      <c r="BJ140" s="59">
        <f t="shared" si="146"/>
        <v>152.02195399869032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4.5782557246749542</v>
      </c>
      <c r="BQ140" s="21">
        <f>EXP(-LN(2)/25)*BQ139+(1-EXP(-LN(2)/25))/(LN(2)/25)*Calculateur!BL140*Calculateur!BN140*VLOOKUP('Données projet'!$B$11,Paramètres!$A$1:$I$89,3,0)*0.475*44/12</f>
        <v>3.917147633446374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8.4954033581213277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293.07051282051282</v>
      </c>
      <c r="BW140" s="12">
        <f>VLOOKUP(A140,'Données projet'!$A$113:$I$133,9,0)</f>
        <v>5.2446581196581219</v>
      </c>
      <c r="BX140" s="12">
        <f t="array" ref="BX140">INDEX(BW:BW,MIN(IF(ISNUMBER(BW140:BW336),ROW(BW140:BW336),"")))</f>
        <v>5.2446581196581219</v>
      </c>
      <c r="BY140" s="12">
        <f>IF('Données projet'!$A$114&gt;35,BY139+BX140-CG139,IF(A140&lt;'Données projet'!$A$114,$BV$205^A140,IF(A140='Données projet'!$A$114,'Données projet'!$B$114,BY139+BX140-CG139)))</f>
        <v>293.07051282051248</v>
      </c>
      <c r="BZ140" s="13">
        <f>BY140*VLOOKUP('Données projet'!$B$12,Paramètres!$A$1:$I$89,3,0)*VLOOKUP('Données projet'!$B$12,Paramètres!$A$1:$I$89,5,0)</f>
        <v>265.17019999999968</v>
      </c>
      <c r="CA140" s="13">
        <f t="shared" si="147"/>
        <v>63.823189537116463</v>
      </c>
      <c r="CB140" s="20">
        <f t="shared" si="118"/>
        <v>572.9968201104773</v>
      </c>
      <c r="CC140" s="59">
        <f t="shared" si="119"/>
        <v>866.33015344381056</v>
      </c>
      <c r="CD140" s="59">
        <f ca="1">AVERAGE(OFFSET($CC$3,0,0,'Données projet'!$E$12+1,1))-AVERAGE(OFFSET($H$3,0,0,'Données projet'!$E$12+1,1))</f>
        <v>213.54857791046686</v>
      </c>
      <c r="CE140" s="59">
        <f t="shared" si="148"/>
        <v>138.46877538074244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51.160256410256409</v>
      </c>
      <c r="CH140" s="16">
        <f>IF(ISNA(VLOOKUP(A140,'Données projet'!$A$113:$I$133,5,0)),0%,VLOOKUP(A140,'Données projet'!$A$113:$I$133,5,0)*VLOOKUP('Données projet'!$B$12,Paramètres!$A$1:$I$89,7,0))</f>
        <v>0.30099999999999999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49.030936135301836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49.030936135301836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213</v>
      </c>
      <c r="CU140" s="17">
        <f>CT140*VLOOKUP('Données projet'!$B$13,Paramètres!$A$1:$I$89,3,0)*VLOOKUP('Données projet'!$B$13,Paramètres!$A$1:$I$89,5,0)</f>
        <v>169.46279999999999</v>
      </c>
      <c r="CV140" s="13">
        <f t="shared" si="149"/>
        <v>42.969686502194378</v>
      </c>
      <c r="CW140" s="20">
        <f t="shared" si="121"/>
        <v>369.9865806579885</v>
      </c>
      <c r="CX140" s="59">
        <f t="shared" si="122"/>
        <v>663.31991399132176</v>
      </c>
      <c r="CY140" s="59">
        <f ca="1">AVERAGE(OFFSET($CX$3,0,0,'Données projet'!$E$13+1,1))-AVERAGE(OFFSET($H$3,0,0,'Données projet'!$E$13+1,1))</f>
        <v>161.87883827031436</v>
      </c>
      <c r="CZ140" s="59">
        <f t="shared" si="150"/>
        <v>163.02076389611869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3.6480153347220474</v>
      </c>
      <c r="DG140" s="21">
        <f>EXP(-LN(2)/25)*DG139+(1-EXP(-LN(2)/25))/(LN(2)/25)*Calculateur!DB140*Calculateur!DD140*VLOOKUP('Données projet'!$B$13,Paramètres!$A$1:$I$89,3,0)*0.475*44/12</f>
        <v>1.7990991525119182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5.4471144872339661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149.0000000000002</v>
      </c>
      <c r="DP140" s="17">
        <f>DO140*VLOOKUP('Données projet'!$B$14,Paramètres!$A$1:$I$89,3,0)*VLOOKUP('Données projet'!$B$14,Paramètres!$A$1:$I$89,5,0)</f>
        <v>120.86880000000016</v>
      </c>
      <c r="DQ140" s="13">
        <f t="shared" si="151"/>
        <v>31.877547472771326</v>
      </c>
      <c r="DR140" s="20">
        <f t="shared" si="124"/>
        <v>266.03322184841039</v>
      </c>
      <c r="DS140" s="59">
        <f t="shared" si="125"/>
        <v>559.36655518174371</v>
      </c>
      <c r="DT140" s="59">
        <f ca="1">AVERAGE(OFFSET($DS$3,0,0,'Données projet'!$E$14+1,1))-AVERAGE(OFFSET($H$3,0,0,'Données projet'!$E$14+1,1))</f>
        <v>96.611230241682733</v>
      </c>
      <c r="DU140" s="59">
        <f t="shared" si="152"/>
        <v>78.711045514042041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0.70510078127536269</v>
      </c>
      <c r="EB140" s="21">
        <f>EXP(-LN(2)/25)*EB139+(1-EXP(-LN(2)/25))/(LN(2)/25)*Calculateur!DW140*Calculateur!DY140*VLOOKUP('Données projet'!$B$14,Paramètres!$A$1:$I$89,3,0)*0.475*44/12</f>
        <v>1.7046222013606032</v>
      </c>
      <c r="EC140" s="21">
        <f>EXP(-LN(2)/2)*EC139+(1-EXP(-LN(2)/2))/(LN(2)/2)*DW140*DZ140*VLOOKUP('Données projet'!$B$14,Paramètres!$A$1:$I$89,3,0)*0.475*44/12</f>
        <v>1.1445063931834396E-7</v>
      </c>
      <c r="ED140" s="22">
        <f t="shared" si="126"/>
        <v>2.409723097086605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188.61152573050066</v>
      </c>
      <c r="EP140" s="59">
        <f t="shared" si="154"/>
        <v>172.37050503841624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44.152661137658981</v>
      </c>
      <c r="EW140" s="21">
        <f>EXP(-LN(2)/25)*EW139+(1-EXP(-LN(2)/25))/(LN(2)/25)*Calculateur!ER140*Calculateur!ET140*VLOOKUP('Données projet'!$B$15,Paramètres!$A$1:$I$89,3,0)*0.475*44/12</f>
        <v>6.8390266940938167</v>
      </c>
      <c r="EX140" s="21">
        <f>EXP(-LN(2)/2)*EX139+(1-EXP(-LN(2)/2))/(LN(2)/2)*ER140*EU140*VLOOKUP('Données projet'!$B$15,Paramètres!$A$1:$I$89,3,0)*0.475*44/12</f>
        <v>2.5926366049885968E-9</v>
      </c>
      <c r="EY140" s="22">
        <f t="shared" si="129"/>
        <v>50.991687834345434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0</v>
      </c>
      <c r="FK140" s="59">
        <f t="shared" si="156"/>
        <v>0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0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197.78572767493569</v>
      </c>
      <c r="T141" s="59">
        <f t="shared" si="142"/>
        <v>288.66487031729008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266.99999999999983</v>
      </c>
      <c r="AJ141" s="13">
        <f>AI141*VLOOKUP('Données projet'!$B$10,Paramètres!$A$1:$I$89,3,0)*VLOOKUP('Données projet'!$B$10,Paramètres!$A$1:$I$89,5,0)</f>
        <v>212.42519999999985</v>
      </c>
      <c r="AK141" s="13">
        <f t="shared" si="143"/>
        <v>52.465198231787184</v>
      </c>
      <c r="AL141" s="20">
        <f t="shared" si="112"/>
        <v>461.35077692036231</v>
      </c>
      <c r="AM141" s="59">
        <f t="shared" si="113"/>
        <v>754.68411025369562</v>
      </c>
      <c r="AN141" s="59">
        <f ca="1">AVERAGE(OFFSET($AM$3,0,0,'Données projet'!$E$10+1,1))-AVERAGE(OFFSET($H$3,0,0,'Données projet'!$E$10+1,1))</f>
        <v>219.43439115440339</v>
      </c>
      <c r="AO141" s="59">
        <f t="shared" si="144"/>
        <v>217.8880462742099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9.128762343970708</v>
      </c>
      <c r="AV141" s="21">
        <f>EXP(-LN(2)/25)*AV140+(1-EXP(-LN(2)/25))/(LN(2)/25)*Calculateur!AQ141*Calculateur!AS141*VLOOKUP('Données projet'!$B$10,Paramètres!$A$1:$I$89,3,0)*0.475*44/12</f>
        <v>1.6680117742415588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10.796774118212266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190.99999999999997</v>
      </c>
      <c r="BE141" s="13">
        <f>BD141*VLOOKUP('Données projet'!$B$11,Paramètres!$A$1:$I$89,3,0)*VLOOKUP('Données projet'!$B$11,Paramètres!$A$1:$I$89,5,0)</f>
        <v>166.85759999999999</v>
      </c>
      <c r="BF141" s="13">
        <f t="shared" si="145"/>
        <v>42.385468111966098</v>
      </c>
      <c r="BG141" s="20">
        <f t="shared" si="115"/>
        <v>364.43167696167421</v>
      </c>
      <c r="BH141" s="59">
        <f t="shared" si="116"/>
        <v>657.76501029500753</v>
      </c>
      <c r="BI141" s="59">
        <f ca="1">AVERAGE(OFFSET($BH$3,0,0,'Données projet'!$E$11+1,1))-AVERAGE(OFFSET($H$3,0,0,'Données projet'!$E$11+1,1))</f>
        <v>175.73188403662408</v>
      </c>
      <c r="BJ141" s="59">
        <f t="shared" si="146"/>
        <v>152.02195399869032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4.4884789223743375</v>
      </c>
      <c r="BQ141" s="21">
        <f>EXP(-LN(2)/25)*BQ140+(1-EXP(-LN(2)/25))/(LN(2)/25)*Calculateur!BL141*Calculateur!BN141*VLOOKUP('Données projet'!$B$11,Paramètres!$A$1:$I$89,3,0)*0.475*44/12</f>
        <v>3.8100330254159416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8.2985119477902796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5.1063034188034209</v>
      </c>
      <c r="BY141" s="12">
        <f>IF('Données projet'!$A$114&gt;35,BY140+BX141-CG140,IF(A141&lt;'Données projet'!$A$114,$BV$205^A141,IF(A141='Données projet'!$A$114,'Données projet'!$B$114,BY140+BX141-CG140)))</f>
        <v>247.01655982905947</v>
      </c>
      <c r="BZ141" s="13">
        <f>BY141*VLOOKUP('Données projet'!$B$12,Paramètres!$A$1:$I$89,3,0)*VLOOKUP('Données projet'!$B$12,Paramètres!$A$1:$I$89,5,0)</f>
        <v>223.500583333333</v>
      </c>
      <c r="CA141" s="13">
        <f t="shared" si="147"/>
        <v>54.875019768659023</v>
      </c>
      <c r="CB141" s="20">
        <f t="shared" si="118"/>
        <v>484.83750873596932</v>
      </c>
      <c r="CC141" s="59">
        <f t="shared" si="119"/>
        <v>778.17084206930258</v>
      </c>
      <c r="CD141" s="59">
        <f ca="1">AVERAGE(OFFSET($CC$3,0,0,'Données projet'!$E$12+1,1))-AVERAGE(OFFSET($H$3,0,0,'Données projet'!$E$12+1,1))</f>
        <v>213.54857791046686</v>
      </c>
      <c r="CE141" s="59">
        <f t="shared" si="148"/>
        <v>138.46877538074244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48.069469383606645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48.069469383606645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213</v>
      </c>
      <c r="CU141" s="17">
        <f>CT141*VLOOKUP('Données projet'!$B$13,Paramètres!$A$1:$I$89,3,0)*VLOOKUP('Données projet'!$B$13,Paramètres!$A$1:$I$89,5,0)</f>
        <v>169.46279999999999</v>
      </c>
      <c r="CV141" s="13">
        <f t="shared" si="149"/>
        <v>42.969686502194378</v>
      </c>
      <c r="CW141" s="20">
        <f t="shared" si="121"/>
        <v>369.9865806579885</v>
      </c>
      <c r="CX141" s="59">
        <f t="shared" si="122"/>
        <v>663.31991399132176</v>
      </c>
      <c r="CY141" s="59">
        <f ca="1">AVERAGE(OFFSET($CX$3,0,0,'Données projet'!$E$13+1,1))-AVERAGE(OFFSET($H$3,0,0,'Données projet'!$E$13+1,1))</f>
        <v>161.87883827031436</v>
      </c>
      <c r="CZ141" s="59">
        <f t="shared" si="150"/>
        <v>163.02076389611869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3.5764799790777948</v>
      </c>
      <c r="DG141" s="21">
        <f>EXP(-LN(2)/25)*DG140+(1-EXP(-LN(2)/25))/(LN(2)/25)*Calculateur!DB141*Calculateur!DD141*VLOOKUP('Données projet'!$B$13,Paramètres!$A$1:$I$89,3,0)*0.475*44/12</f>
        <v>1.7499026915759672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5.3263826706537625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149.0000000000002</v>
      </c>
      <c r="DP141" s="17">
        <f>DO141*VLOOKUP('Données projet'!$B$14,Paramètres!$A$1:$I$89,3,0)*VLOOKUP('Données projet'!$B$14,Paramètres!$A$1:$I$89,5,0)</f>
        <v>120.86880000000016</v>
      </c>
      <c r="DQ141" s="13">
        <f t="shared" si="151"/>
        <v>31.877547472771326</v>
      </c>
      <c r="DR141" s="20">
        <f t="shared" si="124"/>
        <v>266.03322184841039</v>
      </c>
      <c r="DS141" s="59">
        <f t="shared" si="125"/>
        <v>559.36655518174371</v>
      </c>
      <c r="DT141" s="59">
        <f ca="1">AVERAGE(OFFSET($DS$3,0,0,'Données projet'!$E$14+1,1))-AVERAGE(OFFSET($H$3,0,0,'Données projet'!$E$14+1,1))</f>
        <v>96.611230241682733</v>
      </c>
      <c r="DU141" s="59">
        <f t="shared" si="152"/>
        <v>78.711045514042041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0.69127418502356364</v>
      </c>
      <c r="EB141" s="21">
        <f>EXP(-LN(2)/25)*EB140+(1-EXP(-LN(2)/25))/(LN(2)/25)*Calculateur!DW141*Calculateur!DY141*VLOOKUP('Données projet'!$B$14,Paramètres!$A$1:$I$89,3,0)*0.475*44/12</f>
        <v>1.6580092176222119</v>
      </c>
      <c r="EC141" s="21">
        <f>EXP(-LN(2)/2)*EC140+(1-EXP(-LN(2)/2))/(LN(2)/2)*DW141*DZ141*VLOOKUP('Données projet'!$B$14,Paramètres!$A$1:$I$89,3,0)*0.475*44/12</f>
        <v>8.0928823173136727E-8</v>
      </c>
      <c r="ED141" s="22">
        <f t="shared" si="126"/>
        <v>2.3492834835745988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188.61152573050066</v>
      </c>
      <c r="EP141" s="59">
        <f t="shared" si="154"/>
        <v>172.37050503841624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43.286854383213623</v>
      </c>
      <c r="EW141" s="21">
        <f>EXP(-LN(2)/25)*EW140+(1-EXP(-LN(2)/25))/(LN(2)/25)*Calculateur!ER141*Calculateur!ET141*VLOOKUP('Données projet'!$B$15,Paramètres!$A$1:$I$89,3,0)*0.475*44/12</f>
        <v>6.6520131494950379</v>
      </c>
      <c r="EX141" s="21">
        <f>EXP(-LN(2)/2)*EX140+(1-EXP(-LN(2)/2))/(LN(2)/2)*ER141*EU141*VLOOKUP('Données projet'!$B$15,Paramètres!$A$1:$I$89,3,0)*0.475*44/12</f>
        <v>1.8332709245399053E-9</v>
      </c>
      <c r="EY141" s="22">
        <f t="shared" si="129"/>
        <v>49.938867534541934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0</v>
      </c>
      <c r="FK141" s="59">
        <f t="shared" si="156"/>
        <v>0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0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197.78572767493569</v>
      </c>
      <c r="T142" s="59">
        <f t="shared" si="142"/>
        <v>288.66487031729008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266.99999999999983</v>
      </c>
      <c r="AJ142" s="13">
        <f>AI142*VLOOKUP('Données projet'!$B$10,Paramètres!$A$1:$I$89,3,0)*VLOOKUP('Données projet'!$B$10,Paramètres!$A$1:$I$89,5,0)</f>
        <v>212.42519999999985</v>
      </c>
      <c r="AK142" s="13">
        <f t="shared" si="143"/>
        <v>52.465198231787184</v>
      </c>
      <c r="AL142" s="20">
        <f t="shared" si="112"/>
        <v>461.35077692036231</v>
      </c>
      <c r="AM142" s="59">
        <f t="shared" si="113"/>
        <v>754.68411025369562</v>
      </c>
      <c r="AN142" s="59">
        <f ca="1">AVERAGE(OFFSET($AM$3,0,0,'Données projet'!$E$10+1,1))-AVERAGE(OFFSET($H$3,0,0,'Données projet'!$E$10+1,1))</f>
        <v>219.43439115440339</v>
      </c>
      <c r="AO142" s="59">
        <f t="shared" si="144"/>
        <v>217.8880462742099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8.9497528824006789</v>
      </c>
      <c r="AV142" s="21">
        <f>EXP(-LN(2)/25)*AV141+(1-EXP(-LN(2)/25))/(LN(2)/25)*Calculateur!AQ142*Calculateur!AS142*VLOOKUP('Données projet'!$B$10,Paramètres!$A$1:$I$89,3,0)*0.475*44/12</f>
        <v>1.6223999045579964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10.572152786958675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190.99999999999997</v>
      </c>
      <c r="BE142" s="13">
        <f>BD142*VLOOKUP('Données projet'!$B$11,Paramètres!$A$1:$I$89,3,0)*VLOOKUP('Données projet'!$B$11,Paramètres!$A$1:$I$89,5,0)</f>
        <v>166.85759999999999</v>
      </c>
      <c r="BF142" s="13">
        <f t="shared" si="145"/>
        <v>42.385468111966098</v>
      </c>
      <c r="BG142" s="20">
        <f t="shared" si="115"/>
        <v>364.43167696167421</v>
      </c>
      <c r="BH142" s="59">
        <f t="shared" si="116"/>
        <v>657.76501029500753</v>
      </c>
      <c r="BI142" s="59">
        <f ca="1">AVERAGE(OFFSET($BH$3,0,0,'Données projet'!$E$11+1,1))-AVERAGE(OFFSET($H$3,0,0,'Données projet'!$E$11+1,1))</f>
        <v>175.73188403662408</v>
      </c>
      <c r="BJ142" s="59">
        <f t="shared" si="146"/>
        <v>152.02195399869032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4.4004625884083941</v>
      </c>
      <c r="BQ142" s="21">
        <f>EXP(-LN(2)/25)*BQ141+(1-EXP(-LN(2)/25))/(LN(2)/25)*Calculateur!BL142*Calculateur!BN142*VLOOKUP('Données projet'!$B$11,Paramètres!$A$1:$I$89,3,0)*0.475*44/12</f>
        <v>3.7058474719750136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8.1063100603834073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5.1063034188034209</v>
      </c>
      <c r="BY142" s="12">
        <f>IF('Données projet'!$A$114&gt;35,BY141+BX142-CG141,IF(A142&lt;'Données projet'!$A$114,$BV$205^A142,IF(A142='Données projet'!$A$114,'Données projet'!$B$114,BY141+BX142-CG141)))</f>
        <v>252.12286324786288</v>
      </c>
      <c r="BZ142" s="13">
        <f>BY142*VLOOKUP('Données projet'!$B$12,Paramètres!$A$1:$I$89,3,0)*VLOOKUP('Données projet'!$B$12,Paramètres!$A$1:$I$89,5,0)</f>
        <v>228.12076666666633</v>
      </c>
      <c r="CA142" s="13">
        <f t="shared" si="147"/>
        <v>55.876153534759418</v>
      </c>
      <c r="CB142" s="20">
        <f t="shared" si="118"/>
        <v>494.62796935081639</v>
      </c>
      <c r="CC142" s="59">
        <f t="shared" si="119"/>
        <v>787.9613026841497</v>
      </c>
      <c r="CD142" s="59">
        <f ca="1">AVERAGE(OFFSET($CC$3,0,0,'Données projet'!$E$12+1,1))-AVERAGE(OFFSET($H$3,0,0,'Données projet'!$E$12+1,1))</f>
        <v>213.54857791046686</v>
      </c>
      <c r="CE142" s="59">
        <f t="shared" si="148"/>
        <v>138.46877538074244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47.126856408475383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47.126856408475383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213</v>
      </c>
      <c r="CU142" s="17">
        <f>CT142*VLOOKUP('Données projet'!$B$13,Paramètres!$A$1:$I$89,3,0)*VLOOKUP('Données projet'!$B$13,Paramètres!$A$1:$I$89,5,0)</f>
        <v>169.46279999999999</v>
      </c>
      <c r="CV142" s="13">
        <f t="shared" si="149"/>
        <v>42.969686502194378</v>
      </c>
      <c r="CW142" s="20">
        <f t="shared" si="121"/>
        <v>369.9865806579885</v>
      </c>
      <c r="CX142" s="59">
        <f t="shared" si="122"/>
        <v>663.31991399132176</v>
      </c>
      <c r="CY142" s="59">
        <f ca="1">AVERAGE(OFFSET($CX$3,0,0,'Données projet'!$E$13+1,1))-AVERAGE(OFFSET($H$3,0,0,'Données projet'!$E$13+1,1))</f>
        <v>161.87883827031436</v>
      </c>
      <c r="CZ142" s="59">
        <f t="shared" si="150"/>
        <v>163.02076389611869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3.5063473881254676</v>
      </c>
      <c r="DG142" s="21">
        <f>EXP(-LN(2)/25)*DG141+(1-EXP(-LN(2)/25))/(LN(2)/25)*Calculateur!DB142*Calculateur!DD142*VLOOKUP('Données projet'!$B$13,Paramètres!$A$1:$I$89,3,0)*0.475*44/12</f>
        <v>1.7020515104514393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5.208398898576907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149.0000000000002</v>
      </c>
      <c r="DP142" s="17">
        <f>DO142*VLOOKUP('Données projet'!$B$14,Paramètres!$A$1:$I$89,3,0)*VLOOKUP('Données projet'!$B$14,Paramètres!$A$1:$I$89,5,0)</f>
        <v>120.86880000000016</v>
      </c>
      <c r="DQ142" s="13">
        <f t="shared" si="151"/>
        <v>31.877547472771326</v>
      </c>
      <c r="DR142" s="20">
        <f t="shared" si="124"/>
        <v>266.03322184841039</v>
      </c>
      <c r="DS142" s="59">
        <f t="shared" si="125"/>
        <v>559.36655518174371</v>
      </c>
      <c r="DT142" s="59">
        <f ca="1">AVERAGE(OFFSET($DS$3,0,0,'Données projet'!$E$14+1,1))-AVERAGE(OFFSET($H$3,0,0,'Données projet'!$E$14+1,1))</f>
        <v>96.611230241682733</v>
      </c>
      <c r="DU142" s="59">
        <f t="shared" si="152"/>
        <v>78.711045514042041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0.6777187198908714</v>
      </c>
      <c r="EB142" s="21">
        <f>EXP(-LN(2)/25)*EB141+(1-EXP(-LN(2)/25))/(LN(2)/25)*Calculateur!DW142*Calculateur!DY142*VLOOKUP('Données projet'!$B$14,Paramètres!$A$1:$I$89,3,0)*0.475*44/12</f>
        <v>1.6126708683754172</v>
      </c>
      <c r="EC142" s="21">
        <f>EXP(-LN(2)/2)*EC141+(1-EXP(-LN(2)/2))/(LN(2)/2)*DW142*DZ142*VLOOKUP('Données projet'!$B$14,Paramètres!$A$1:$I$89,3,0)*0.475*44/12</f>
        <v>5.7225319659171995E-8</v>
      </c>
      <c r="ED142" s="22">
        <f t="shared" si="126"/>
        <v>2.290389645491608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188.61152573050066</v>
      </c>
      <c r="EP142" s="59">
        <f t="shared" si="154"/>
        <v>172.37050503841624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42.438025571132961</v>
      </c>
      <c r="EW142" s="21">
        <f>EXP(-LN(2)/25)*EW141+(1-EXP(-LN(2)/25))/(LN(2)/25)*Calculateur!ER142*Calculateur!ET142*VLOOKUP('Données projet'!$B$15,Paramètres!$A$1:$I$89,3,0)*0.475*44/12</f>
        <v>6.470113500107928</v>
      </c>
      <c r="EX142" s="21">
        <f>EXP(-LN(2)/2)*EX141+(1-EXP(-LN(2)/2))/(LN(2)/2)*ER142*EU142*VLOOKUP('Données projet'!$B$15,Paramètres!$A$1:$I$89,3,0)*0.475*44/12</f>
        <v>1.2963183024942986E-9</v>
      </c>
      <c r="EY142" s="22">
        <f t="shared" si="129"/>
        <v>48.90813907253721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0</v>
      </c>
      <c r="FK142" s="59">
        <f t="shared" si="156"/>
        <v>0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0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197.78572767493569</v>
      </c>
      <c r="T143" s="59">
        <f t="shared" si="142"/>
        <v>288.66487031729008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266.99999999999983</v>
      </c>
      <c r="AJ143" s="13">
        <f>AI143*VLOOKUP('Données projet'!$B$10,Paramètres!$A$1:$I$89,3,0)*VLOOKUP('Données projet'!$B$10,Paramètres!$A$1:$I$89,5,0)</f>
        <v>212.42519999999985</v>
      </c>
      <c r="AK143" s="13">
        <f t="shared" si="143"/>
        <v>52.465198231787184</v>
      </c>
      <c r="AL143" s="20">
        <f t="shared" si="112"/>
        <v>461.35077692036231</v>
      </c>
      <c r="AM143" s="59">
        <f t="shared" si="113"/>
        <v>754.68411025369562</v>
      </c>
      <c r="AN143" s="59">
        <f ca="1">AVERAGE(OFFSET($AM$3,0,0,'Données projet'!$E$10+1,1))-AVERAGE(OFFSET($H$3,0,0,'Données projet'!$E$10+1,1))</f>
        <v>219.43439115440339</v>
      </c>
      <c r="AO143" s="59">
        <f t="shared" si="144"/>
        <v>217.8880462742099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8.7742536871870467</v>
      </c>
      <c r="AV143" s="21">
        <f>EXP(-LN(2)/25)*AV142+(1-EXP(-LN(2)/25))/(LN(2)/25)*Calculateur!AQ143*Calculateur!AS143*VLOOKUP('Données projet'!$B$10,Paramètres!$A$1:$I$89,3,0)*0.475*44/12</f>
        <v>1.578035293849555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10.352288981036601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190.99999999999997</v>
      </c>
      <c r="BE143" s="13">
        <f>BD143*VLOOKUP('Données projet'!$B$11,Paramètres!$A$1:$I$89,3,0)*VLOOKUP('Données projet'!$B$11,Paramètres!$A$1:$I$89,5,0)</f>
        <v>166.85759999999999</v>
      </c>
      <c r="BF143" s="13">
        <f t="shared" si="145"/>
        <v>42.385468111966098</v>
      </c>
      <c r="BG143" s="20">
        <f t="shared" si="115"/>
        <v>364.43167696167421</v>
      </c>
      <c r="BH143" s="59">
        <f t="shared" si="116"/>
        <v>657.76501029500753</v>
      </c>
      <c r="BI143" s="59">
        <f ca="1">AVERAGE(OFFSET($BH$3,0,0,'Données projet'!$E$11+1,1))-AVERAGE(OFFSET($H$3,0,0,'Données projet'!$E$11+1,1))</f>
        <v>175.73188403662408</v>
      </c>
      <c r="BJ143" s="59">
        <f t="shared" si="146"/>
        <v>152.02195399869032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4.3141722010668602</v>
      </c>
      <c r="BQ143" s="21">
        <f>EXP(-LN(2)/25)*BQ142+(1-EXP(-LN(2)/25))/(LN(2)/25)*Calculateur!BL143*Calculateur!BN143*VLOOKUP('Données projet'!$B$11,Paramètres!$A$1:$I$89,3,0)*0.475*44/12</f>
        <v>3.604510877971808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7.9186830790386686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5.1063034188034209</v>
      </c>
      <c r="BY143" s="12">
        <f>IF('Données projet'!$A$114&gt;35,BY142+BX143-CG142,IF(A143&lt;'Données projet'!$A$114,$BV$205^A143,IF(A143='Données projet'!$A$114,'Données projet'!$B$114,BY142+BX143-CG142)))</f>
        <v>257.22916666666629</v>
      </c>
      <c r="BZ143" s="13">
        <f>BY143*VLOOKUP('Données projet'!$B$12,Paramètres!$A$1:$I$89,3,0)*VLOOKUP('Données projet'!$B$12,Paramètres!$A$1:$I$89,5,0)</f>
        <v>232.74094999999966</v>
      </c>
      <c r="CA143" s="13">
        <f t="shared" si="147"/>
        <v>56.874929761004168</v>
      </c>
      <c r="CB143" s="20">
        <f t="shared" si="118"/>
        <v>504.41432391708167</v>
      </c>
      <c r="CC143" s="59">
        <f t="shared" si="119"/>
        <v>797.74765725041493</v>
      </c>
      <c r="CD143" s="59">
        <f ca="1">AVERAGE(OFFSET($CC$3,0,0,'Données projet'!$E$12+1,1))-AVERAGE(OFFSET($H$3,0,0,'Données projet'!$E$12+1,1))</f>
        <v>213.54857791046686</v>
      </c>
      <c r="CE143" s="59">
        <f t="shared" si="148"/>
        <v>138.46877538074244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46.202727498849299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46.202727498849299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213</v>
      </c>
      <c r="CU143" s="17">
        <f>CT143*VLOOKUP('Données projet'!$B$13,Paramètres!$A$1:$I$89,3,0)*VLOOKUP('Données projet'!$B$13,Paramètres!$A$1:$I$89,5,0)</f>
        <v>169.46279999999999</v>
      </c>
      <c r="CV143" s="13">
        <f t="shared" si="149"/>
        <v>42.969686502194378</v>
      </c>
      <c r="CW143" s="20">
        <f t="shared" si="121"/>
        <v>369.9865806579885</v>
      </c>
      <c r="CX143" s="59">
        <f t="shared" si="122"/>
        <v>663.31991399132176</v>
      </c>
      <c r="CY143" s="59">
        <f ca="1">AVERAGE(OFFSET($CX$3,0,0,'Données projet'!$E$13+1,1))-AVERAGE(OFFSET($H$3,0,0,'Données projet'!$E$13+1,1))</f>
        <v>161.87883827031436</v>
      </c>
      <c r="CZ143" s="59">
        <f t="shared" si="150"/>
        <v>163.02076389611869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3.4375900545050588</v>
      </c>
      <c r="DG143" s="21">
        <f>EXP(-LN(2)/25)*DG142+(1-EXP(-LN(2)/25))/(LN(2)/25)*Calculateur!DB143*Calculateur!DD143*VLOOKUP('Données projet'!$B$13,Paramètres!$A$1:$I$89,3,0)*0.475*44/12</f>
        <v>1.6555088223911458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5.0930988768962049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149.0000000000002</v>
      </c>
      <c r="DP143" s="17">
        <f>DO143*VLOOKUP('Données projet'!$B$14,Paramètres!$A$1:$I$89,3,0)*VLOOKUP('Données projet'!$B$14,Paramètres!$A$1:$I$89,5,0)</f>
        <v>120.86880000000016</v>
      </c>
      <c r="DQ143" s="13">
        <f t="shared" si="151"/>
        <v>31.877547472771326</v>
      </c>
      <c r="DR143" s="20">
        <f t="shared" si="124"/>
        <v>266.03322184841039</v>
      </c>
      <c r="DS143" s="59">
        <f t="shared" si="125"/>
        <v>559.36655518174371</v>
      </c>
      <c r="DT143" s="59">
        <f ca="1">AVERAGE(OFFSET($DS$3,0,0,'Données projet'!$E$14+1,1))-AVERAGE(OFFSET($H$3,0,0,'Données projet'!$E$14+1,1))</f>
        <v>96.611230241682733</v>
      </c>
      <c r="DU143" s="59">
        <f t="shared" si="152"/>
        <v>78.711045514042041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0.66442906916141387</v>
      </c>
      <c r="EB143" s="21">
        <f>EXP(-LN(2)/25)*EB142+(1-EXP(-LN(2)/25))/(LN(2)/25)*Calculateur!DW143*Calculateur!DY143*VLOOKUP('Données projet'!$B$14,Paramètres!$A$1:$I$89,3,0)*0.475*44/12</f>
        <v>1.5685722986730162</v>
      </c>
      <c r="EC143" s="21">
        <f>EXP(-LN(2)/2)*EC142+(1-EXP(-LN(2)/2))/(LN(2)/2)*DW143*DZ143*VLOOKUP('Données projet'!$B$14,Paramètres!$A$1:$I$89,3,0)*0.475*44/12</f>
        <v>4.046441158656837E-8</v>
      </c>
      <c r="ED143" s="22">
        <f t="shared" si="126"/>
        <v>2.2330014082988416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188.61152573050066</v>
      </c>
      <c r="EP143" s="59">
        <f t="shared" si="154"/>
        <v>172.37050503841624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41.605841774322748</v>
      </c>
      <c r="EW143" s="21">
        <f>EXP(-LN(2)/25)*EW142+(1-EXP(-LN(2)/25))/(LN(2)/25)*Calculateur!ER143*Calculateur!ET143*VLOOKUP('Données projet'!$B$15,Paramètres!$A$1:$I$89,3,0)*0.475*44/12</f>
        <v>6.2931879061989955</v>
      </c>
      <c r="EX143" s="21">
        <f>EXP(-LN(2)/2)*EX142+(1-EXP(-LN(2)/2))/(LN(2)/2)*ER143*EU143*VLOOKUP('Données projet'!$B$15,Paramètres!$A$1:$I$89,3,0)*0.475*44/12</f>
        <v>9.1663546226995275E-10</v>
      </c>
      <c r="EY143" s="22">
        <f t="shared" si="129"/>
        <v>47.899029681438378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0</v>
      </c>
      <c r="FK143" s="59">
        <f t="shared" si="156"/>
        <v>0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0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197.78572767493569</v>
      </c>
      <c r="T144" s="59">
        <f t="shared" si="142"/>
        <v>288.66487031729008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266.99999999999983</v>
      </c>
      <c r="AJ144" s="13">
        <f>AI144*VLOOKUP('Données projet'!$B$10,Paramètres!$A$1:$I$89,3,0)*VLOOKUP('Données projet'!$B$10,Paramètres!$A$1:$I$89,5,0)</f>
        <v>212.42519999999985</v>
      </c>
      <c r="AK144" s="13">
        <f t="shared" si="143"/>
        <v>52.465198231787184</v>
      </c>
      <c r="AL144" s="20">
        <f t="shared" si="112"/>
        <v>461.35077692036231</v>
      </c>
      <c r="AM144" s="59">
        <f t="shared" si="113"/>
        <v>754.68411025369562</v>
      </c>
      <c r="AN144" s="59">
        <f ca="1">AVERAGE(OFFSET($AM$3,0,0,'Données projet'!$E$10+1,1))-AVERAGE(OFFSET($H$3,0,0,'Données projet'!$E$10+1,1))</f>
        <v>219.43439115440339</v>
      </c>
      <c r="AO144" s="59">
        <f t="shared" si="144"/>
        <v>217.8880462742099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8.6021959241476154</v>
      </c>
      <c r="AV144" s="21">
        <f>EXP(-LN(2)/25)*AV143+(1-EXP(-LN(2)/25))/(LN(2)/25)*Calculateur!AQ144*Calculateur!AS144*VLOOKUP('Données projet'!$B$10,Paramètres!$A$1:$I$89,3,0)*0.475*44/12</f>
        <v>1.5348838357539694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10.137079759901585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190.99999999999997</v>
      </c>
      <c r="BE144" s="13">
        <f>BD144*VLOOKUP('Données projet'!$B$11,Paramètres!$A$1:$I$89,3,0)*VLOOKUP('Données projet'!$B$11,Paramètres!$A$1:$I$89,5,0)</f>
        <v>166.85759999999999</v>
      </c>
      <c r="BF144" s="13">
        <f t="shared" si="145"/>
        <v>42.385468111966098</v>
      </c>
      <c r="BG144" s="20">
        <f t="shared" si="115"/>
        <v>364.43167696167421</v>
      </c>
      <c r="BH144" s="59">
        <f t="shared" si="116"/>
        <v>657.76501029500753</v>
      </c>
      <c r="BI144" s="59">
        <f ca="1">AVERAGE(OFFSET($BH$3,0,0,'Données projet'!$E$11+1,1))-AVERAGE(OFFSET($H$3,0,0,'Données projet'!$E$11+1,1))</f>
        <v>175.73188403662408</v>
      </c>
      <c r="BJ144" s="59">
        <f t="shared" si="146"/>
        <v>152.02195399869032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4.2295739155891541</v>
      </c>
      <c r="BQ144" s="21">
        <f>EXP(-LN(2)/25)*BQ143+(1-EXP(-LN(2)/25))/(LN(2)/25)*Calculateur!BL144*Calculateur!BN144*VLOOKUP('Données projet'!$B$11,Paramètres!$A$1:$I$89,3,0)*0.475*44/12</f>
        <v>3.50594533846068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7.7355192540498336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5.1063034188034209</v>
      </c>
      <c r="BY144" s="12">
        <f>IF('Données projet'!$A$114&gt;35,BY143+BX144-CG143,IF(A144&lt;'Données projet'!$A$114,$BV$205^A144,IF(A144='Données projet'!$A$114,'Données projet'!$B$114,BY143+BX144-CG143)))</f>
        <v>262.33547008546969</v>
      </c>
      <c r="BZ144" s="13">
        <f>BY144*VLOOKUP('Données projet'!$B$12,Paramètres!$A$1:$I$89,3,0)*VLOOKUP('Données projet'!$B$12,Paramètres!$A$1:$I$89,5,0)</f>
        <v>237.36113333333296</v>
      </c>
      <c r="CA144" s="13">
        <f t="shared" si="147"/>
        <v>57.871400641465833</v>
      </c>
      <c r="CB144" s="20">
        <f t="shared" si="118"/>
        <v>514.19666333944122</v>
      </c>
      <c r="CC144" s="59">
        <f t="shared" si="119"/>
        <v>807.52999667277459</v>
      </c>
      <c r="CD144" s="59">
        <f ca="1">AVERAGE(OFFSET($CC$3,0,0,'Données projet'!$E$12+1,1))-AVERAGE(OFFSET($H$3,0,0,'Données projet'!$E$12+1,1))</f>
        <v>213.54857791046686</v>
      </c>
      <c r="CE144" s="59">
        <f t="shared" si="148"/>
        <v>138.46877538074244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45.296720193478009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45.296720193478009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213</v>
      </c>
      <c r="CU144" s="17">
        <f>CT144*VLOOKUP('Données projet'!$B$13,Paramètres!$A$1:$I$89,3,0)*VLOOKUP('Données projet'!$B$13,Paramètres!$A$1:$I$89,5,0)</f>
        <v>169.46279999999999</v>
      </c>
      <c r="CV144" s="13">
        <f t="shared" si="149"/>
        <v>42.969686502194378</v>
      </c>
      <c r="CW144" s="20">
        <f t="shared" si="121"/>
        <v>369.9865806579885</v>
      </c>
      <c r="CX144" s="59">
        <f t="shared" si="122"/>
        <v>663.31991399132176</v>
      </c>
      <c r="CY144" s="59">
        <f ca="1">AVERAGE(OFFSET($CX$3,0,0,'Données projet'!$E$13+1,1))-AVERAGE(OFFSET($H$3,0,0,'Données projet'!$E$13+1,1))</f>
        <v>161.87883827031436</v>
      </c>
      <c r="CZ144" s="59">
        <f t="shared" si="150"/>
        <v>163.02076389611869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3.3701810102591137</v>
      </c>
      <c r="DG144" s="21">
        <f>EXP(-LN(2)/25)*DG143+(1-EXP(-LN(2)/25))/(LN(2)/25)*Calculateur!DB144*Calculateur!DD144*VLOOKUP('Données projet'!$B$13,Paramètres!$A$1:$I$89,3,0)*0.475*44/12</f>
        <v>1.6102388465834347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4.9804198568425484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149.0000000000002</v>
      </c>
      <c r="DP144" s="17">
        <f>DO144*VLOOKUP('Données projet'!$B$14,Paramètres!$A$1:$I$89,3,0)*VLOOKUP('Données projet'!$B$14,Paramètres!$A$1:$I$89,5,0)</f>
        <v>120.86880000000016</v>
      </c>
      <c r="DQ144" s="13">
        <f t="shared" si="151"/>
        <v>31.877547472771326</v>
      </c>
      <c r="DR144" s="20">
        <f t="shared" si="124"/>
        <v>266.03322184841039</v>
      </c>
      <c r="DS144" s="59">
        <f t="shared" si="125"/>
        <v>559.36655518174371</v>
      </c>
      <c r="DT144" s="59">
        <f ca="1">AVERAGE(OFFSET($DS$3,0,0,'Données projet'!$E$14+1,1))-AVERAGE(OFFSET($H$3,0,0,'Données projet'!$E$14+1,1))</f>
        <v>96.611230241682733</v>
      </c>
      <c r="DU144" s="59">
        <f t="shared" si="152"/>
        <v>78.711045514042041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0.6514000203768745</v>
      </c>
      <c r="EB144" s="21">
        <f>EXP(-LN(2)/25)*EB143+(1-EXP(-LN(2)/25))/(LN(2)/25)*Calculateur!DW144*Calculateur!DY144*VLOOKUP('Données projet'!$B$14,Paramètres!$A$1:$I$89,3,0)*0.475*44/12</f>
        <v>1.5256796066781704</v>
      </c>
      <c r="EC144" s="21">
        <f>EXP(-LN(2)/2)*EC143+(1-EXP(-LN(2)/2))/(LN(2)/2)*DW144*DZ144*VLOOKUP('Données projet'!$B$14,Paramètres!$A$1:$I$89,3,0)*0.475*44/12</f>
        <v>2.8612659829586001E-8</v>
      </c>
      <c r="ED144" s="22">
        <f t="shared" si="126"/>
        <v>2.1770796556677046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188.61152573050066</v>
      </c>
      <c r="EP144" s="59">
        <f t="shared" si="154"/>
        <v>172.37050503841624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40.789976594185987</v>
      </c>
      <c r="EW144" s="21">
        <f>EXP(-LN(2)/25)*EW143+(1-EXP(-LN(2)/25))/(LN(2)/25)*Calculateur!ER144*Calculateur!ET144*VLOOKUP('Données projet'!$B$15,Paramètres!$A$1:$I$89,3,0)*0.475*44/12</f>
        <v>6.1211003519596154</v>
      </c>
      <c r="EX144" s="21">
        <f>EXP(-LN(2)/2)*EX143+(1-EXP(-LN(2)/2))/(LN(2)/2)*ER144*EU144*VLOOKUP('Données projet'!$B$15,Paramètres!$A$1:$I$89,3,0)*0.475*44/12</f>
        <v>6.4815915124714941E-10</v>
      </c>
      <c r="EY144" s="22">
        <f t="shared" si="129"/>
        <v>46.911076946793756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0</v>
      </c>
      <c r="FK144" s="59">
        <f t="shared" si="156"/>
        <v>0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0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197.78572767493569</v>
      </c>
      <c r="T145" s="59">
        <f t="shared" si="142"/>
        <v>288.66487031729008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266.99999999999983</v>
      </c>
      <c r="AJ145" s="13">
        <f>AI145*VLOOKUP('Données projet'!$B$10,Paramètres!$A$1:$I$89,3,0)*VLOOKUP('Données projet'!$B$10,Paramètres!$A$1:$I$89,5,0)</f>
        <v>212.42519999999985</v>
      </c>
      <c r="AK145" s="13">
        <f t="shared" si="143"/>
        <v>52.465198231787184</v>
      </c>
      <c r="AL145" s="20">
        <f t="shared" si="112"/>
        <v>461.35077692036231</v>
      </c>
      <c r="AM145" s="59">
        <f t="shared" si="113"/>
        <v>754.68411025369562</v>
      </c>
      <c r="AN145" s="59">
        <f ca="1">AVERAGE(OFFSET($AM$3,0,0,'Données projet'!$E$10+1,1))-AVERAGE(OFFSET($H$3,0,0,'Données projet'!$E$10+1,1))</f>
        <v>219.43439115440339</v>
      </c>
      <c r="AO145" s="59">
        <f t="shared" si="144"/>
        <v>217.8880462742099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8.4335121088965135</v>
      </c>
      <c r="AV145" s="21">
        <f>EXP(-LN(2)/25)*AV144+(1-EXP(-LN(2)/25))/(LN(2)/25)*Calculateur!AQ145*Calculateur!AS145*VLOOKUP('Données projet'!$B$10,Paramètres!$A$1:$I$89,3,0)*0.475*44/12</f>
        <v>1.4929123565492441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9.9264244654457574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190.99999999999997</v>
      </c>
      <c r="BE145" s="13">
        <f>BD145*VLOOKUP('Données projet'!$B$11,Paramètres!$A$1:$I$89,3,0)*VLOOKUP('Données projet'!$B$11,Paramètres!$A$1:$I$89,5,0)</f>
        <v>166.85759999999999</v>
      </c>
      <c r="BF145" s="13">
        <f t="shared" si="145"/>
        <v>42.385468111966098</v>
      </c>
      <c r="BG145" s="20">
        <f t="shared" si="115"/>
        <v>364.43167696167421</v>
      </c>
      <c r="BH145" s="59">
        <f t="shared" si="116"/>
        <v>657.76501029500753</v>
      </c>
      <c r="BI145" s="59">
        <f ca="1">AVERAGE(OFFSET($BH$3,0,0,'Données projet'!$E$11+1,1))-AVERAGE(OFFSET($H$3,0,0,'Données projet'!$E$11+1,1))</f>
        <v>175.73188403662408</v>
      </c>
      <c r="BJ145" s="59">
        <f t="shared" si="146"/>
        <v>152.02195399869032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4.1466345508898064</v>
      </c>
      <c r="BQ145" s="21">
        <f>EXP(-LN(2)/25)*BQ144+(1-EXP(-LN(2)/25))/(LN(2)/25)*Calculateur!BL145*Calculateur!BN145*VLOOKUP('Données projet'!$B$11,Paramètres!$A$1:$I$89,3,0)*0.475*44/12</f>
        <v>3.4100750788108205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7.5567096297006273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5.1063034188034209</v>
      </c>
      <c r="BY145" s="12">
        <f>IF('Données projet'!$A$114&gt;35,BY144+BX145-CG144,IF(A145&lt;'Données projet'!$A$114,$BV$205^A145,IF(A145='Données projet'!$A$114,'Données projet'!$B$114,BY144+BX145-CG144)))</f>
        <v>267.4417735042731</v>
      </c>
      <c r="BZ145" s="13">
        <f>BY145*VLOOKUP('Données projet'!$B$12,Paramètres!$A$1:$I$89,3,0)*VLOOKUP('Données projet'!$B$12,Paramètres!$A$1:$I$89,5,0)</f>
        <v>241.98131666666632</v>
      </c>
      <c r="CA145" s="13">
        <f t="shared" si="147"/>
        <v>58.865616222095206</v>
      </c>
      <c r="CB145" s="20">
        <f t="shared" si="118"/>
        <v>523.97507478125954</v>
      </c>
      <c r="CC145" s="59">
        <f t="shared" si="119"/>
        <v>817.30840811459279</v>
      </c>
      <c r="CD145" s="59">
        <f ca="1">AVERAGE(OFFSET($CC$3,0,0,'Données projet'!$E$12+1,1))-AVERAGE(OFFSET($H$3,0,0,'Données projet'!$E$12+1,1))</f>
        <v>213.54857791046686</v>
      </c>
      <c r="CE145" s="59">
        <f t="shared" si="148"/>
        <v>138.46877538074244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44.408479138755162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44.408479138755162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213</v>
      </c>
      <c r="CU145" s="17">
        <f>CT145*VLOOKUP('Données projet'!$B$13,Paramètres!$A$1:$I$89,3,0)*VLOOKUP('Données projet'!$B$13,Paramètres!$A$1:$I$89,5,0)</f>
        <v>169.46279999999999</v>
      </c>
      <c r="CV145" s="13">
        <f t="shared" si="149"/>
        <v>42.969686502194378</v>
      </c>
      <c r="CW145" s="20">
        <f t="shared" si="121"/>
        <v>369.9865806579885</v>
      </c>
      <c r="CX145" s="59">
        <f t="shared" si="122"/>
        <v>663.31991399132176</v>
      </c>
      <c r="CY145" s="59">
        <f ca="1">AVERAGE(OFFSET($CX$3,0,0,'Données projet'!$E$13+1,1))-AVERAGE(OFFSET($H$3,0,0,'Données projet'!$E$13+1,1))</f>
        <v>161.87883827031436</v>
      </c>
      <c r="CZ145" s="59">
        <f t="shared" si="150"/>
        <v>163.02076389611869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3.3040938162553743</v>
      </c>
      <c r="DG145" s="21">
        <f>EXP(-LN(2)/25)*DG144+(1-EXP(-LN(2)/25))/(LN(2)/25)*Calculateur!DB145*Calculateur!DD145*VLOOKUP('Données projet'!$B$13,Paramètres!$A$1:$I$89,3,0)*0.475*44/12</f>
        <v>1.5662067806448301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4.8703005969002042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149.0000000000002</v>
      </c>
      <c r="DP145" s="17">
        <f>DO145*VLOOKUP('Données projet'!$B$14,Paramètres!$A$1:$I$89,3,0)*VLOOKUP('Données projet'!$B$14,Paramètres!$A$1:$I$89,5,0)</f>
        <v>120.86880000000016</v>
      </c>
      <c r="DQ145" s="13">
        <f t="shared" si="151"/>
        <v>31.877547472771326</v>
      </c>
      <c r="DR145" s="20">
        <f t="shared" si="124"/>
        <v>266.03322184841039</v>
      </c>
      <c r="DS145" s="59">
        <f t="shared" si="125"/>
        <v>559.36655518174371</v>
      </c>
      <c r="DT145" s="59">
        <f ca="1">AVERAGE(OFFSET($DS$3,0,0,'Données projet'!$E$14+1,1))-AVERAGE(OFFSET($H$3,0,0,'Données projet'!$E$14+1,1))</f>
        <v>96.611230241682733</v>
      </c>
      <c r="DU145" s="59">
        <f t="shared" si="152"/>
        <v>78.711045514042041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0.63862646329206485</v>
      </c>
      <c r="EB145" s="21">
        <f>EXP(-LN(2)/25)*EB144+(1-EXP(-LN(2)/25))/(LN(2)/25)*Calculateur!DW145*Calculateur!DY145*VLOOKUP('Données projet'!$B$14,Paramètres!$A$1:$I$89,3,0)*0.475*44/12</f>
        <v>1.4839598176015523</v>
      </c>
      <c r="EC145" s="21">
        <f>EXP(-LN(2)/2)*EC144+(1-EXP(-LN(2)/2))/(LN(2)/2)*DW145*DZ145*VLOOKUP('Données projet'!$B$14,Paramètres!$A$1:$I$89,3,0)*0.475*44/12</f>
        <v>2.0232205793284188E-8</v>
      </c>
      <c r="ED145" s="22">
        <f t="shared" si="126"/>
        <v>2.1225863011258226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188.61152573050066</v>
      </c>
      <c r="EP145" s="59">
        <f t="shared" si="154"/>
        <v>172.37050503841624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39.990110032603084</v>
      </c>
      <c r="EW145" s="21">
        <f>EXP(-LN(2)/25)*EW144+(1-EXP(-LN(2)/25))/(LN(2)/25)*Calculateur!ER145*Calculateur!ET145*VLOOKUP('Données projet'!$B$15,Paramètres!$A$1:$I$89,3,0)*0.475*44/12</f>
        <v>5.9537185409406019</v>
      </c>
      <c r="EX145" s="21">
        <f>EXP(-LN(2)/2)*EX144+(1-EXP(-LN(2)/2))/(LN(2)/2)*ER145*EU145*VLOOKUP('Données projet'!$B$15,Paramètres!$A$1:$I$89,3,0)*0.475*44/12</f>
        <v>4.5831773113497648E-10</v>
      </c>
      <c r="EY145" s="22">
        <f t="shared" si="129"/>
        <v>45.943828574001998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0</v>
      </c>
      <c r="FK145" s="59">
        <f t="shared" si="156"/>
        <v>0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0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197.78572767493569</v>
      </c>
      <c r="T146" s="59">
        <f t="shared" si="142"/>
        <v>288.66487031729008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266.99999999999983</v>
      </c>
      <c r="AJ146" s="13">
        <f>AI146*VLOOKUP('Données projet'!$B$10,Paramètres!$A$1:$I$89,3,0)*VLOOKUP('Données projet'!$B$10,Paramètres!$A$1:$I$89,5,0)</f>
        <v>212.42519999999985</v>
      </c>
      <c r="AK146" s="13">
        <f t="shared" si="143"/>
        <v>52.465198231787184</v>
      </c>
      <c r="AL146" s="20">
        <f t="shared" si="112"/>
        <v>461.35077692036231</v>
      </c>
      <c r="AM146" s="59">
        <f t="shared" si="113"/>
        <v>754.68411025369562</v>
      </c>
      <c r="AN146" s="59">
        <f ca="1">AVERAGE(OFFSET($AM$3,0,0,'Données projet'!$E$10+1,1))-AVERAGE(OFFSET($H$3,0,0,'Données projet'!$E$10+1,1))</f>
        <v>219.43439115440339</v>
      </c>
      <c r="AO146" s="59">
        <f t="shared" si="144"/>
        <v>217.8880462742099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8.2681360803755179</v>
      </c>
      <c r="AV146" s="21">
        <f>EXP(-LN(2)/25)*AV145+(1-EXP(-LN(2)/25))/(LN(2)/25)*Calculateur!AQ146*Calculateur!AS146*VLOOKUP('Données projet'!$B$10,Paramètres!$A$1:$I$89,3,0)*0.475*44/12</f>
        <v>1.4520885896505564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9.7202246700260737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190.99999999999997</v>
      </c>
      <c r="BE146" s="13">
        <f>BD146*VLOOKUP('Données projet'!$B$11,Paramètres!$A$1:$I$89,3,0)*VLOOKUP('Données projet'!$B$11,Paramètres!$A$1:$I$89,5,0)</f>
        <v>166.85759999999999</v>
      </c>
      <c r="BF146" s="13">
        <f t="shared" si="145"/>
        <v>42.385468111966098</v>
      </c>
      <c r="BG146" s="20">
        <f t="shared" si="115"/>
        <v>364.43167696167421</v>
      </c>
      <c r="BH146" s="59">
        <f t="shared" si="116"/>
        <v>657.76501029500753</v>
      </c>
      <c r="BI146" s="59">
        <f ca="1">AVERAGE(OFFSET($BH$3,0,0,'Données projet'!$E$11+1,1))-AVERAGE(OFFSET($H$3,0,0,'Données projet'!$E$11+1,1))</f>
        <v>175.73188403662408</v>
      </c>
      <c r="BJ146" s="59">
        <f t="shared" si="146"/>
        <v>152.02195399869032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4.0653215765441955</v>
      </c>
      <c r="BQ146" s="21">
        <f>EXP(-LN(2)/25)*BQ145+(1-EXP(-LN(2)/25))/(LN(2)/25)*Calculateur!BL146*Calculateur!BN146*VLOOKUP('Données projet'!$B$11,Paramètres!$A$1:$I$89,3,0)*0.475*44/12</f>
        <v>3.3168263964526838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7.3821479729968793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5.1063034188034209</v>
      </c>
      <c r="BY146" s="12">
        <f>IF('Données projet'!$A$114&gt;35,BY145+BX146-CG145,IF(A146&lt;'Données projet'!$A$114,$BV$205^A146,IF(A146='Données projet'!$A$114,'Données projet'!$B$114,BY145+BX146-CG145)))</f>
        <v>272.54807692307651</v>
      </c>
      <c r="BZ146" s="13">
        <f>BY146*VLOOKUP('Données projet'!$B$12,Paramètres!$A$1:$I$89,3,0)*VLOOKUP('Données projet'!$B$12,Paramètres!$A$1:$I$89,5,0)</f>
        <v>246.60149999999962</v>
      </c>
      <c r="CA146" s="13">
        <f t="shared" si="147"/>
        <v>59.857624528428133</v>
      </c>
      <c r="CB146" s="20">
        <f t="shared" si="118"/>
        <v>533.74964188701165</v>
      </c>
      <c r="CC146" s="59">
        <f t="shared" si="119"/>
        <v>827.08297522034491</v>
      </c>
      <c r="CD146" s="59">
        <f ca="1">AVERAGE(OFFSET($CC$3,0,0,'Données projet'!$E$12+1,1))-AVERAGE(OFFSET($H$3,0,0,'Données projet'!$E$12+1,1))</f>
        <v>213.54857791046686</v>
      </c>
      <c r="CE146" s="59">
        <f t="shared" si="148"/>
        <v>138.46877538074244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43.537655949341875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43.537655949341875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213</v>
      </c>
      <c r="CU146" s="17">
        <f>CT146*VLOOKUP('Données projet'!$B$13,Paramètres!$A$1:$I$89,3,0)*VLOOKUP('Données projet'!$B$13,Paramètres!$A$1:$I$89,5,0)</f>
        <v>169.46279999999999</v>
      </c>
      <c r="CV146" s="13">
        <f t="shared" si="149"/>
        <v>42.969686502194378</v>
      </c>
      <c r="CW146" s="20">
        <f t="shared" si="121"/>
        <v>369.9865806579885</v>
      </c>
      <c r="CX146" s="59">
        <f t="shared" si="122"/>
        <v>663.31991399132176</v>
      </c>
      <c r="CY146" s="59">
        <f ca="1">AVERAGE(OFFSET($CX$3,0,0,'Données projet'!$E$13+1,1))-AVERAGE(OFFSET($H$3,0,0,'Données projet'!$E$13+1,1))</f>
        <v>161.87883827031436</v>
      </c>
      <c r="CZ146" s="59">
        <f t="shared" si="150"/>
        <v>163.02076389611869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3.2393025518168401</v>
      </c>
      <c r="DG146" s="21">
        <f>EXP(-LN(2)/25)*DG145+(1-EXP(-LN(2)/25))/(LN(2)/25)*Calculateur!DB146*Calculateur!DD146*VLOOKUP('Données projet'!$B$13,Paramètres!$A$1:$I$89,3,0)*0.475*44/12</f>
        <v>1.5233787738648623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4.7626813256817027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149.0000000000002</v>
      </c>
      <c r="DP146" s="17">
        <f>DO146*VLOOKUP('Données projet'!$B$14,Paramètres!$A$1:$I$89,3,0)*VLOOKUP('Données projet'!$B$14,Paramètres!$A$1:$I$89,5,0)</f>
        <v>120.86880000000016</v>
      </c>
      <c r="DQ146" s="13">
        <f t="shared" si="151"/>
        <v>31.877547472771326</v>
      </c>
      <c r="DR146" s="20">
        <f t="shared" si="124"/>
        <v>266.03322184841039</v>
      </c>
      <c r="DS146" s="59">
        <f t="shared" si="125"/>
        <v>559.36655518174371</v>
      </c>
      <c r="DT146" s="59">
        <f ca="1">AVERAGE(OFFSET($DS$3,0,0,'Données projet'!$E$14+1,1))-AVERAGE(OFFSET($H$3,0,0,'Données projet'!$E$14+1,1))</f>
        <v>96.611230241682733</v>
      </c>
      <c r="DU146" s="59">
        <f t="shared" si="152"/>
        <v>78.711045514042041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0.62610338787058784</v>
      </c>
      <c r="EB146" s="21">
        <f>EXP(-LN(2)/25)*EB145+(1-EXP(-LN(2)/25))/(LN(2)/25)*Calculateur!DW146*Calculateur!DY146*VLOOKUP('Données projet'!$B$14,Paramètres!$A$1:$I$89,3,0)*0.475*44/12</f>
        <v>1.4433808583511827</v>
      </c>
      <c r="EC146" s="21">
        <f>EXP(-LN(2)/2)*EC145+(1-EXP(-LN(2)/2))/(LN(2)/2)*DW146*DZ146*VLOOKUP('Données projet'!$B$14,Paramètres!$A$1:$I$89,3,0)*0.475*44/12</f>
        <v>1.4306329914793002E-8</v>
      </c>
      <c r="ED146" s="22">
        <f t="shared" si="126"/>
        <v>2.0694842605281005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188.61152573050066</v>
      </c>
      <c r="EP146" s="59">
        <f t="shared" si="154"/>
        <v>172.37050503841624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39.205928366422391</v>
      </c>
      <c r="EW146" s="21">
        <f>EXP(-LN(2)/25)*EW145+(1-EXP(-LN(2)/25))/(LN(2)/25)*Calculateur!ER146*Calculateur!ET146*VLOOKUP('Données projet'!$B$15,Paramètres!$A$1:$I$89,3,0)*0.475*44/12</f>
        <v>5.7909137943461308</v>
      </c>
      <c r="EX146" s="21">
        <f>EXP(-LN(2)/2)*EX145+(1-EXP(-LN(2)/2))/(LN(2)/2)*ER146*EU146*VLOOKUP('Données projet'!$B$15,Paramètres!$A$1:$I$89,3,0)*0.475*44/12</f>
        <v>3.2407957562357476E-10</v>
      </c>
      <c r="EY146" s="22">
        <f t="shared" si="129"/>
        <v>44.996842161092601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0</v>
      </c>
      <c r="FK146" s="59">
        <f t="shared" si="156"/>
        <v>0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0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197.78572767493569</v>
      </c>
      <c r="T147" s="59">
        <f t="shared" si="142"/>
        <v>288.66487031729008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266.99999999999983</v>
      </c>
      <c r="AJ147" s="13">
        <f>AI147*VLOOKUP('Données projet'!$B$10,Paramètres!$A$1:$I$89,3,0)*VLOOKUP('Données projet'!$B$10,Paramètres!$A$1:$I$89,5,0)</f>
        <v>212.42519999999985</v>
      </c>
      <c r="AK147" s="13">
        <f t="shared" si="143"/>
        <v>52.465198231787184</v>
      </c>
      <c r="AL147" s="20">
        <f t="shared" si="112"/>
        <v>461.35077692036231</v>
      </c>
      <c r="AM147" s="59">
        <f t="shared" si="113"/>
        <v>754.68411025369562</v>
      </c>
      <c r="AN147" s="59">
        <f ca="1">AVERAGE(OFFSET($AM$3,0,0,'Données projet'!$E$10+1,1))-AVERAGE(OFFSET($H$3,0,0,'Données projet'!$E$10+1,1))</f>
        <v>219.43439115440339</v>
      </c>
      <c r="AO147" s="59">
        <f t="shared" si="144"/>
        <v>217.8880462742099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8.1060029749044009</v>
      </c>
      <c r="AV147" s="21">
        <f>EXP(-LN(2)/25)*AV146+(1-EXP(-LN(2)/25))/(LN(2)/25)*Calculateur!AQ147*Calculateur!AS147*VLOOKUP('Données projet'!$B$10,Paramètres!$A$1:$I$89,3,0)*0.475*44/12</f>
        <v>1.4123811508045419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9.518384125708943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190.99999999999997</v>
      </c>
      <c r="BE147" s="13">
        <f>BD147*VLOOKUP('Données projet'!$B$11,Paramètres!$A$1:$I$89,3,0)*VLOOKUP('Données projet'!$B$11,Paramètres!$A$1:$I$89,5,0)</f>
        <v>166.85759999999999</v>
      </c>
      <c r="BF147" s="13">
        <f t="shared" si="145"/>
        <v>42.385468111966098</v>
      </c>
      <c r="BG147" s="20">
        <f t="shared" si="115"/>
        <v>364.43167696167421</v>
      </c>
      <c r="BH147" s="59">
        <f t="shared" si="116"/>
        <v>657.76501029500753</v>
      </c>
      <c r="BI147" s="59">
        <f ca="1">AVERAGE(OFFSET($BH$3,0,0,'Données projet'!$E$11+1,1))-AVERAGE(OFFSET($H$3,0,0,'Données projet'!$E$11+1,1))</f>
        <v>175.73188403662408</v>
      </c>
      <c r="BJ147" s="59">
        <f t="shared" si="146"/>
        <v>152.02195399869032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3.9856031000294854</v>
      </c>
      <c r="BQ147" s="21">
        <f>EXP(-LN(2)/25)*BQ146+(1-EXP(-LN(2)/25))/(LN(2)/25)*Calculateur!BL147*Calculateur!BN147*VLOOKUP('Données projet'!$B$11,Paramètres!$A$1:$I$89,3,0)*0.475*44/12</f>
        <v>3.2261276042173659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7.2117307042468513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5.1063034188034209</v>
      </c>
      <c r="BY147" s="12">
        <f>IF('Données projet'!$A$114&gt;35,BY146+BX147-CG146,IF(A147&lt;'Données projet'!$A$114,$BV$205^A147,IF(A147='Données projet'!$A$114,'Données projet'!$B$114,BY146+BX147-CG146)))</f>
        <v>277.65438034187991</v>
      </c>
      <c r="BZ147" s="13">
        <f>BY147*VLOOKUP('Données projet'!$B$12,Paramètres!$A$1:$I$89,3,0)*VLOOKUP('Données projet'!$B$12,Paramètres!$A$1:$I$89,5,0)</f>
        <v>251.22168333333292</v>
      </c>
      <c r="CA147" s="13">
        <f t="shared" si="147"/>
        <v>60.847471683449903</v>
      </c>
      <c r="CB147" s="20">
        <f t="shared" si="118"/>
        <v>543.52044498756334</v>
      </c>
      <c r="CC147" s="59">
        <f t="shared" si="119"/>
        <v>836.85377832089671</v>
      </c>
      <c r="CD147" s="59">
        <f ca="1">AVERAGE(OFFSET($CC$3,0,0,'Données projet'!$E$12+1,1))-AVERAGE(OFFSET($H$3,0,0,'Données projet'!$E$12+1,1))</f>
        <v>213.54857791046686</v>
      </c>
      <c r="CE147" s="59">
        <f t="shared" si="148"/>
        <v>138.46877538074244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42.683909071523289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42.683909071523289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213</v>
      </c>
      <c r="CU147" s="17">
        <f>CT147*VLOOKUP('Données projet'!$B$13,Paramètres!$A$1:$I$89,3,0)*VLOOKUP('Données projet'!$B$13,Paramètres!$A$1:$I$89,5,0)</f>
        <v>169.46279999999999</v>
      </c>
      <c r="CV147" s="13">
        <f t="shared" si="149"/>
        <v>42.969686502194378</v>
      </c>
      <c r="CW147" s="20">
        <f t="shared" si="121"/>
        <v>369.9865806579885</v>
      </c>
      <c r="CX147" s="59">
        <f t="shared" si="122"/>
        <v>663.31991399132176</v>
      </c>
      <c r="CY147" s="59">
        <f ca="1">AVERAGE(OFFSET($CX$3,0,0,'Données projet'!$E$13+1,1))-AVERAGE(OFFSET($H$3,0,0,'Données projet'!$E$13+1,1))</f>
        <v>161.87883827031436</v>
      </c>
      <c r="CZ147" s="59">
        <f t="shared" si="150"/>
        <v>163.02076389611869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3.1757818045551764</v>
      </c>
      <c r="DG147" s="21">
        <f>EXP(-LN(2)/25)*DG146+(1-EXP(-LN(2)/25))/(LN(2)/25)*Calculateur!DB147*Calculateur!DD147*VLOOKUP('Données projet'!$B$13,Paramètres!$A$1:$I$89,3,0)*0.475*44/12</f>
        <v>1.4817219011825196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4.657503705737696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149.0000000000002</v>
      </c>
      <c r="DP147" s="17">
        <f>DO147*VLOOKUP('Données projet'!$B$14,Paramètres!$A$1:$I$89,3,0)*VLOOKUP('Données projet'!$B$14,Paramètres!$A$1:$I$89,5,0)</f>
        <v>120.86880000000016</v>
      </c>
      <c r="DQ147" s="13">
        <f t="shared" si="151"/>
        <v>31.877547472771326</v>
      </c>
      <c r="DR147" s="20">
        <f t="shared" si="124"/>
        <v>266.03322184841039</v>
      </c>
      <c r="DS147" s="59">
        <f t="shared" si="125"/>
        <v>559.36655518174371</v>
      </c>
      <c r="DT147" s="59">
        <f ca="1">AVERAGE(OFFSET($DS$3,0,0,'Données projet'!$E$14+1,1))-AVERAGE(OFFSET($H$3,0,0,'Données projet'!$E$14+1,1))</f>
        <v>96.611230241682733</v>
      </c>
      <c r="DU147" s="59">
        <f t="shared" si="152"/>
        <v>78.711045514042041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0.61382588231980417</v>
      </c>
      <c r="EB147" s="21">
        <f>EXP(-LN(2)/25)*EB146+(1-EXP(-LN(2)/25))/(LN(2)/25)*Calculateur!DW147*Calculateur!DY147*VLOOKUP('Données projet'!$B$14,Paramètres!$A$1:$I$89,3,0)*0.475*44/12</f>
        <v>1.4039115328754692</v>
      </c>
      <c r="EC147" s="21">
        <f>EXP(-LN(2)/2)*EC146+(1-EXP(-LN(2)/2))/(LN(2)/2)*DW147*DZ147*VLOOKUP('Données projet'!$B$14,Paramètres!$A$1:$I$89,3,0)*0.475*44/12</f>
        <v>1.0116102896642096E-8</v>
      </c>
      <c r="ED147" s="22">
        <f t="shared" si="126"/>
        <v>2.0177374253113762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188.61152573050066</v>
      </c>
      <c r="EP147" s="59">
        <f t="shared" si="154"/>
        <v>172.37050503841624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38.437124024411915</v>
      </c>
      <c r="EW147" s="21">
        <f>EXP(-LN(2)/25)*EW146+(1-EXP(-LN(2)/25))/(LN(2)/25)*Calculateur!ER147*Calculateur!ET147*VLOOKUP('Données projet'!$B$15,Paramètres!$A$1:$I$89,3,0)*0.475*44/12</f>
        <v>5.6325609521088147</v>
      </c>
      <c r="EX147" s="21">
        <f>EXP(-LN(2)/2)*EX146+(1-EXP(-LN(2)/2))/(LN(2)/2)*ER147*EU147*VLOOKUP('Données projet'!$B$15,Paramètres!$A$1:$I$89,3,0)*0.475*44/12</f>
        <v>2.2915886556748827E-10</v>
      </c>
      <c r="EY147" s="22">
        <f t="shared" si="129"/>
        <v>44.06968497674989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0</v>
      </c>
      <c r="FK147" s="59">
        <f t="shared" si="156"/>
        <v>0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0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197.78572767493569</v>
      </c>
      <c r="T148" s="59">
        <f t="shared" si="142"/>
        <v>288.66487031729008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266.99999999999983</v>
      </c>
      <c r="AJ148" s="13">
        <f>AI148*VLOOKUP('Données projet'!$B$10,Paramètres!$A$1:$I$89,3,0)*VLOOKUP('Données projet'!$B$10,Paramètres!$A$1:$I$89,5,0)</f>
        <v>212.42519999999985</v>
      </c>
      <c r="AK148" s="13">
        <f t="shared" si="143"/>
        <v>52.465198231787184</v>
      </c>
      <c r="AL148" s="20">
        <f t="shared" si="112"/>
        <v>461.35077692036231</v>
      </c>
      <c r="AM148" s="59">
        <f t="shared" si="113"/>
        <v>754.68411025369562</v>
      </c>
      <c r="AN148" s="59">
        <f ca="1">AVERAGE(OFFSET($AM$3,0,0,'Données projet'!$E$10+1,1))-AVERAGE(OFFSET($H$3,0,0,'Données projet'!$E$10+1,1))</f>
        <v>219.43439115440339</v>
      </c>
      <c r="AO148" s="59">
        <f t="shared" si="144"/>
        <v>217.8880462742099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7.9470492007401434</v>
      </c>
      <c r="AV148" s="21">
        <f>EXP(-LN(2)/25)*AV147+(1-EXP(-LN(2)/25))/(LN(2)/25)*Calculateur!AQ148*Calculateur!AS148*VLOOKUP('Données projet'!$B$10,Paramètres!$A$1:$I$89,3,0)*0.475*44/12</f>
        <v>1.373759513961895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9.3208087147020393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190.99999999999997</v>
      </c>
      <c r="BE148" s="13">
        <f>BD148*VLOOKUP('Données projet'!$B$11,Paramètres!$A$1:$I$89,3,0)*VLOOKUP('Données projet'!$B$11,Paramètres!$A$1:$I$89,5,0)</f>
        <v>166.85759999999999</v>
      </c>
      <c r="BF148" s="13">
        <f t="shared" si="145"/>
        <v>42.385468111966098</v>
      </c>
      <c r="BG148" s="20">
        <f t="shared" si="115"/>
        <v>364.43167696167421</v>
      </c>
      <c r="BH148" s="59">
        <f t="shared" si="116"/>
        <v>657.76501029500753</v>
      </c>
      <c r="BI148" s="59">
        <f ca="1">AVERAGE(OFFSET($BH$3,0,0,'Données projet'!$E$11+1,1))-AVERAGE(OFFSET($H$3,0,0,'Données projet'!$E$11+1,1))</f>
        <v>175.73188403662408</v>
      </c>
      <c r="BJ148" s="59">
        <f t="shared" si="146"/>
        <v>152.02195399869032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3.9074478542157589</v>
      </c>
      <c r="BQ148" s="21">
        <f>EXP(-LN(2)/25)*BQ147+(1-EXP(-LN(2)/25))/(LN(2)/25)*Calculateur!BL148*Calculateur!BN148*VLOOKUP('Données projet'!$B$11,Paramètres!$A$1:$I$89,3,0)*0.475*44/12</f>
        <v>3.1379089752253648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7.0453568294411237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5.1063034188034209</v>
      </c>
      <c r="BY148" s="12">
        <f>IF('Données projet'!$A$114&gt;35,BY147+BX148-CG147,IF(A148&lt;'Données projet'!$A$114,$BV$205^A148,IF(A148='Données projet'!$A$114,'Données projet'!$B$114,BY147+BX148-CG147)))</f>
        <v>282.76068376068332</v>
      </c>
      <c r="BZ148" s="13">
        <f>BY148*VLOOKUP('Données projet'!$B$12,Paramètres!$A$1:$I$89,3,0)*VLOOKUP('Données projet'!$B$12,Paramètres!$A$1:$I$89,5,0)</f>
        <v>255.84186666666628</v>
      </c>
      <c r="CA148" s="13">
        <f t="shared" si="147"/>
        <v>61.83520201654526</v>
      </c>
      <c r="CB148" s="20">
        <f t="shared" si="118"/>
        <v>553.28756128992666</v>
      </c>
      <c r="CC148" s="59">
        <f t="shared" si="119"/>
        <v>846.62089462326003</v>
      </c>
      <c r="CD148" s="59">
        <f ca="1">AVERAGE(OFFSET($CC$3,0,0,'Données projet'!$E$12+1,1))-AVERAGE(OFFSET($H$3,0,0,'Données projet'!$E$12+1,1))</f>
        <v>213.54857791046686</v>
      </c>
      <c r="CE148" s="59">
        <f t="shared" si="148"/>
        <v>138.46877538074244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41.846903649244545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41.846903649244545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213</v>
      </c>
      <c r="CU148" s="17">
        <f>CT148*VLOOKUP('Données projet'!$B$13,Paramètres!$A$1:$I$89,3,0)*VLOOKUP('Données projet'!$B$13,Paramètres!$A$1:$I$89,5,0)</f>
        <v>169.46279999999999</v>
      </c>
      <c r="CV148" s="13">
        <f t="shared" si="149"/>
        <v>42.969686502194378</v>
      </c>
      <c r="CW148" s="20">
        <f t="shared" si="121"/>
        <v>369.9865806579885</v>
      </c>
      <c r="CX148" s="59">
        <f t="shared" si="122"/>
        <v>663.31991399132176</v>
      </c>
      <c r="CY148" s="59">
        <f ca="1">AVERAGE(OFFSET($CX$3,0,0,'Données projet'!$E$13+1,1))-AVERAGE(OFFSET($H$3,0,0,'Données projet'!$E$13+1,1))</f>
        <v>161.87883827031436</v>
      </c>
      <c r="CZ148" s="59">
        <f t="shared" si="150"/>
        <v>163.02076389611869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3.113506660403484</v>
      </c>
      <c r="DG148" s="21">
        <f>EXP(-LN(2)/25)*DG147+(1-EXP(-LN(2)/25))/(LN(2)/25)*Calculateur!DB148*Calculateur!DD148*VLOOKUP('Données projet'!$B$13,Paramètres!$A$1:$I$89,3,0)*0.475*44/12</f>
        <v>1.4412041378743152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4.5547107982777995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149.0000000000002</v>
      </c>
      <c r="DP148" s="17">
        <f>DO148*VLOOKUP('Données projet'!$B$14,Paramètres!$A$1:$I$89,3,0)*VLOOKUP('Données projet'!$B$14,Paramètres!$A$1:$I$89,5,0)</f>
        <v>120.86880000000016</v>
      </c>
      <c r="DQ148" s="13">
        <f t="shared" si="151"/>
        <v>31.877547472771326</v>
      </c>
      <c r="DR148" s="20">
        <f t="shared" si="124"/>
        <v>266.03322184841039</v>
      </c>
      <c r="DS148" s="59">
        <f t="shared" si="125"/>
        <v>559.36655518174371</v>
      </c>
      <c r="DT148" s="59">
        <f ca="1">AVERAGE(OFFSET($DS$3,0,0,'Données projet'!$E$14+1,1))-AVERAGE(OFFSET($H$3,0,0,'Données projet'!$E$14+1,1))</f>
        <v>96.611230241682733</v>
      </c>
      <c r="DU148" s="59">
        <f t="shared" si="152"/>
        <v>78.711045514042041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0.60178913116433241</v>
      </c>
      <c r="EB148" s="21">
        <f>EXP(-LN(2)/25)*EB147+(1-EXP(-LN(2)/25))/(LN(2)/25)*Calculateur!DW148*Calculateur!DY148*VLOOKUP('Données projet'!$B$14,Paramètres!$A$1:$I$89,3,0)*0.475*44/12</f>
        <v>1.3655214981804906</v>
      </c>
      <c r="EC148" s="21">
        <f>EXP(-LN(2)/2)*EC147+(1-EXP(-LN(2)/2))/(LN(2)/2)*DW148*DZ148*VLOOKUP('Données projet'!$B$14,Paramètres!$A$1:$I$89,3,0)*0.475*44/12</f>
        <v>7.1531649573965027E-9</v>
      </c>
      <c r="ED148" s="22">
        <f t="shared" si="126"/>
        <v>1.967310636497988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188.61152573050066</v>
      </c>
      <c r="EP148" s="59">
        <f t="shared" si="154"/>
        <v>172.37050503841624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37.683395466623914</v>
      </c>
      <c r="EW148" s="21">
        <f>EXP(-LN(2)/25)*EW147+(1-EXP(-LN(2)/25))/(LN(2)/25)*Calculateur!ER148*Calculateur!ET148*VLOOKUP('Données projet'!$B$15,Paramètres!$A$1:$I$89,3,0)*0.475*44/12</f>
        <v>5.4785382766698918</v>
      </c>
      <c r="EX148" s="21">
        <f>EXP(-LN(2)/2)*EX147+(1-EXP(-LN(2)/2))/(LN(2)/2)*ER148*EU148*VLOOKUP('Données projet'!$B$15,Paramètres!$A$1:$I$89,3,0)*0.475*44/12</f>
        <v>1.6203978781178741E-10</v>
      </c>
      <c r="EY148" s="22">
        <f t="shared" si="129"/>
        <v>43.161933743455847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0</v>
      </c>
      <c r="FK148" s="59">
        <f t="shared" si="156"/>
        <v>0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0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197.78572767493569</v>
      </c>
      <c r="T149" s="59">
        <f t="shared" si="142"/>
        <v>288.66487031729008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266.99999999999983</v>
      </c>
      <c r="AJ149" s="13">
        <f>AI149*VLOOKUP('Données projet'!$B$10,Paramètres!$A$1:$I$89,3,0)*VLOOKUP('Données projet'!$B$10,Paramètres!$A$1:$I$89,5,0)</f>
        <v>212.42519999999985</v>
      </c>
      <c r="AK149" s="13">
        <f t="shared" si="143"/>
        <v>52.465198231787184</v>
      </c>
      <c r="AL149" s="20">
        <f t="shared" si="112"/>
        <v>461.35077692036231</v>
      </c>
      <c r="AM149" s="59">
        <f t="shared" si="113"/>
        <v>754.68411025369562</v>
      </c>
      <c r="AN149" s="59">
        <f ca="1">AVERAGE(OFFSET($AM$3,0,0,'Données projet'!$E$10+1,1))-AVERAGE(OFFSET($H$3,0,0,'Données projet'!$E$10+1,1))</f>
        <v>219.43439115440339</v>
      </c>
      <c r="AO149" s="59">
        <f t="shared" si="144"/>
        <v>217.8880462742099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7.7912124131350184</v>
      </c>
      <c r="AV149" s="21">
        <f>EXP(-LN(2)/25)*AV148+(1-EXP(-LN(2)/25))/(LN(2)/25)*Calculateur!AQ149*Calculateur!AS149*VLOOKUP('Données projet'!$B$10,Paramètres!$A$1:$I$89,3,0)*0.475*44/12</f>
        <v>1.336193987809734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9.1274064009447518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190.99999999999997</v>
      </c>
      <c r="BE149" s="13">
        <f>BD149*VLOOKUP('Données projet'!$B$11,Paramètres!$A$1:$I$89,3,0)*VLOOKUP('Données projet'!$B$11,Paramètres!$A$1:$I$89,5,0)</f>
        <v>166.85759999999999</v>
      </c>
      <c r="BF149" s="13">
        <f t="shared" si="145"/>
        <v>42.385468111966098</v>
      </c>
      <c r="BG149" s="20">
        <f t="shared" si="115"/>
        <v>364.43167696167421</v>
      </c>
      <c r="BH149" s="59">
        <f t="shared" si="116"/>
        <v>657.76501029500753</v>
      </c>
      <c r="BI149" s="59">
        <f ca="1">AVERAGE(OFFSET($BH$3,0,0,'Données projet'!$E$11+1,1))-AVERAGE(OFFSET($H$3,0,0,'Données projet'!$E$11+1,1))</f>
        <v>175.73188403662408</v>
      </c>
      <c r="BJ149" s="59">
        <f t="shared" si="146"/>
        <v>152.02195399869032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3.8308251851024466</v>
      </c>
      <c r="BQ149" s="21">
        <f>EXP(-LN(2)/25)*BQ148+(1-EXP(-LN(2)/25))/(LN(2)/25)*Calculateur!BL149*Calculateur!BN149*VLOOKUP('Données projet'!$B$11,Paramètres!$A$1:$I$89,3,0)*0.475*44/12</f>
        <v>3.0521026892823659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6.8829278743848121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5.1063034188034209</v>
      </c>
      <c r="BY149" s="12">
        <f>IF('Données projet'!$A$114&gt;35,BY148+BX149-CG148,IF(A149&lt;'Données projet'!$A$114,$BV$205^A149,IF(A149='Données projet'!$A$114,'Données projet'!$B$114,BY148+BX149-CG148)))</f>
        <v>287.86698717948673</v>
      </c>
      <c r="BZ149" s="13">
        <f>BY149*VLOOKUP('Données projet'!$B$12,Paramètres!$A$1:$I$89,3,0)*VLOOKUP('Données projet'!$B$12,Paramètres!$A$1:$I$89,5,0)</f>
        <v>260.46204999999958</v>
      </c>
      <c r="CA149" s="13">
        <f t="shared" si="147"/>
        <v>62.820858164354384</v>
      </c>
      <c r="CB149" s="20">
        <f t="shared" si="118"/>
        <v>563.05106505291644</v>
      </c>
      <c r="CC149" s="59">
        <f t="shared" si="119"/>
        <v>856.38439838624981</v>
      </c>
      <c r="CD149" s="59">
        <f ca="1">AVERAGE(OFFSET($CC$3,0,0,'Données projet'!$E$12+1,1))-AVERAGE(OFFSET($H$3,0,0,'Données projet'!$E$12+1,1))</f>
        <v>213.54857791046686</v>
      </c>
      <c r="CE149" s="59">
        <f t="shared" si="148"/>
        <v>138.46877538074244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41.026311392773792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41.026311392773792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213</v>
      </c>
      <c r="CU149" s="17">
        <f>CT149*VLOOKUP('Données projet'!$B$13,Paramètres!$A$1:$I$89,3,0)*VLOOKUP('Données projet'!$B$13,Paramètres!$A$1:$I$89,5,0)</f>
        <v>169.46279999999999</v>
      </c>
      <c r="CV149" s="13">
        <f t="shared" si="149"/>
        <v>42.969686502194378</v>
      </c>
      <c r="CW149" s="20">
        <f t="shared" si="121"/>
        <v>369.9865806579885</v>
      </c>
      <c r="CX149" s="59">
        <f t="shared" si="122"/>
        <v>663.31991399132176</v>
      </c>
      <c r="CY149" s="59">
        <f ca="1">AVERAGE(OFFSET($CX$3,0,0,'Données projet'!$E$13+1,1))-AVERAGE(OFFSET($H$3,0,0,'Données projet'!$E$13+1,1))</f>
        <v>161.87883827031436</v>
      </c>
      <c r="CZ149" s="59">
        <f t="shared" si="150"/>
        <v>163.02076389611869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3.0524526938445189</v>
      </c>
      <c r="DG149" s="21">
        <f>EXP(-LN(2)/25)*DG148+(1-EXP(-LN(2)/25))/(LN(2)/25)*Calculateur!DB149*Calculateur!DD149*VLOOKUP('Données projet'!$B$13,Paramètres!$A$1:$I$89,3,0)*0.475*44/12</f>
        <v>1.4017943349345103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4.4542470287790294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149.0000000000002</v>
      </c>
      <c r="DP149" s="17">
        <f>DO149*VLOOKUP('Données projet'!$B$14,Paramètres!$A$1:$I$89,3,0)*VLOOKUP('Données projet'!$B$14,Paramètres!$A$1:$I$89,5,0)</f>
        <v>120.86880000000016</v>
      </c>
      <c r="DQ149" s="13">
        <f t="shared" si="151"/>
        <v>31.877547472771326</v>
      </c>
      <c r="DR149" s="20">
        <f t="shared" si="124"/>
        <v>266.03322184841039</v>
      </c>
      <c r="DS149" s="59">
        <f t="shared" si="125"/>
        <v>559.36655518174371</v>
      </c>
      <c r="DT149" s="59">
        <f ca="1">AVERAGE(OFFSET($DS$3,0,0,'Données projet'!$E$14+1,1))-AVERAGE(OFFSET($H$3,0,0,'Données projet'!$E$14+1,1))</f>
        <v>96.611230241682733</v>
      </c>
      <c r="DU149" s="59">
        <f t="shared" si="152"/>
        <v>78.711045514042041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0.58998841335732621</v>
      </c>
      <c r="EB149" s="21">
        <f>EXP(-LN(2)/25)*EB148+(1-EXP(-LN(2)/25))/(LN(2)/25)*Calculateur!DW149*Calculateur!DY149*VLOOKUP('Données projet'!$B$14,Paramètres!$A$1:$I$89,3,0)*0.475*44/12</f>
        <v>1.3281812410030904</v>
      </c>
      <c r="EC149" s="21">
        <f>EXP(-LN(2)/2)*EC148+(1-EXP(-LN(2)/2))/(LN(2)/2)*DW149*DZ149*VLOOKUP('Données projet'!$B$14,Paramètres!$A$1:$I$89,3,0)*0.475*44/12</f>
        <v>5.0580514483210487E-9</v>
      </c>
      <c r="ED149" s="22">
        <f t="shared" si="126"/>
        <v>1.9181696594184683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188.61152573050066</v>
      </c>
      <c r="EP149" s="59">
        <f t="shared" si="154"/>
        <v>172.37050503841624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36.944447066125115</v>
      </c>
      <c r="EW149" s="21">
        <f>EXP(-LN(2)/25)*EW148+(1-EXP(-LN(2)/25))/(LN(2)/25)*Calculateur!ER149*Calculateur!ET149*VLOOKUP('Données projet'!$B$15,Paramètres!$A$1:$I$89,3,0)*0.475*44/12</f>
        <v>5.3287273593905473</v>
      </c>
      <c r="EX149" s="21">
        <f>EXP(-LN(2)/2)*EX148+(1-EXP(-LN(2)/2))/(LN(2)/2)*ER149*EU149*VLOOKUP('Données projet'!$B$15,Paramètres!$A$1:$I$89,3,0)*0.475*44/12</f>
        <v>1.1457943278374416E-10</v>
      </c>
      <c r="EY149" s="22">
        <f t="shared" si="129"/>
        <v>42.273174425630245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0</v>
      </c>
      <c r="FK149" s="59">
        <f t="shared" si="156"/>
        <v>0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0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197.78572767493569</v>
      </c>
      <c r="T150" s="59">
        <f t="shared" si="142"/>
        <v>288.66487031729008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266.99999999999983</v>
      </c>
      <c r="AJ150" s="13">
        <f>AI150*VLOOKUP('Données projet'!$B$10,Paramètres!$A$1:$I$89,3,0)*VLOOKUP('Données projet'!$B$10,Paramètres!$A$1:$I$89,5,0)</f>
        <v>212.42519999999985</v>
      </c>
      <c r="AK150" s="13">
        <f t="shared" si="143"/>
        <v>52.465198231787184</v>
      </c>
      <c r="AL150" s="20">
        <f t="shared" si="112"/>
        <v>461.35077692036231</v>
      </c>
      <c r="AM150" s="59">
        <f t="shared" si="113"/>
        <v>754.68411025369562</v>
      </c>
      <c r="AN150" s="59">
        <f ca="1">AVERAGE(OFFSET($AM$3,0,0,'Données projet'!$E$10+1,1))-AVERAGE(OFFSET($H$3,0,0,'Données projet'!$E$10+1,1))</f>
        <v>219.43439115440339</v>
      </c>
      <c r="AO150" s="59">
        <f t="shared" si="144"/>
        <v>217.8880462742099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7.6384314898837751</v>
      </c>
      <c r="AV150" s="21">
        <f>EXP(-LN(2)/25)*AV149+(1-EXP(-LN(2)/25))/(LN(2)/25)*Calculateur!AQ150*Calculateur!AS150*VLOOKUP('Données projet'!$B$10,Paramètres!$A$1:$I$89,3,0)*0.475*44/12</f>
        <v>1.2996556929456888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8.938087182829463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190.99999999999997</v>
      </c>
      <c r="BE150" s="13">
        <f>BD150*VLOOKUP('Données projet'!$B$11,Paramètres!$A$1:$I$89,3,0)*VLOOKUP('Données projet'!$B$11,Paramètres!$A$1:$I$89,5,0)</f>
        <v>166.85759999999999</v>
      </c>
      <c r="BF150" s="13">
        <f t="shared" si="145"/>
        <v>42.385468111966098</v>
      </c>
      <c r="BG150" s="20">
        <f t="shared" si="115"/>
        <v>364.43167696167421</v>
      </c>
      <c r="BH150" s="59">
        <f t="shared" si="116"/>
        <v>657.76501029500753</v>
      </c>
      <c r="BI150" s="59">
        <f ca="1">AVERAGE(OFFSET($BH$3,0,0,'Données projet'!$E$11+1,1))-AVERAGE(OFFSET($H$3,0,0,'Données projet'!$E$11+1,1))</f>
        <v>175.73188403662408</v>
      </c>
      <c r="BJ150" s="59">
        <f t="shared" si="146"/>
        <v>152.02195399869032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3.7557050397952332</v>
      </c>
      <c r="BQ150" s="21">
        <f>EXP(-LN(2)/25)*BQ149+(1-EXP(-LN(2)/25))/(LN(2)/25)*Calculateur!BL150*Calculateur!BN150*VLOOKUP('Données projet'!$B$11,Paramètres!$A$1:$I$89,3,0)*0.475*44/12</f>
        <v>2.9686427807408351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6.7243478205360683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5.1063034188034209</v>
      </c>
      <c r="BY150" s="12">
        <f>IF('Données projet'!$A$114&gt;35,BY149+BX150-CG149,IF(A150&lt;'Données projet'!$A$114,$BV$205^A150,IF(A150='Données projet'!$A$114,'Données projet'!$B$114,BY149+BX150-CG149)))</f>
        <v>292.97329059829013</v>
      </c>
      <c r="BZ150" s="13">
        <f>BY150*VLOOKUP('Données projet'!$B$12,Paramètres!$A$1:$I$89,3,0)*VLOOKUP('Données projet'!$B$12,Paramètres!$A$1:$I$89,5,0)</f>
        <v>265.08223333333291</v>
      </c>
      <c r="CA150" s="13">
        <f t="shared" si="147"/>
        <v>63.804481164271408</v>
      </c>
      <c r="CB150" s="20">
        <f t="shared" si="118"/>
        <v>572.8110277499942</v>
      </c>
      <c r="CC150" s="59">
        <f t="shared" si="119"/>
        <v>866.14436108332757</v>
      </c>
      <c r="CD150" s="59">
        <f ca="1">AVERAGE(OFFSET($CC$3,0,0,'Données projet'!$E$12+1,1))-AVERAGE(OFFSET($H$3,0,0,'Données projet'!$E$12+1,1))</f>
        <v>213.54857791046686</v>
      </c>
      <c r="CE150" s="59">
        <f t="shared" si="148"/>
        <v>138.46877538074244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40.221810449940577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40.221810449940577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213</v>
      </c>
      <c r="CU150" s="17">
        <f>CT150*VLOOKUP('Données projet'!$B$13,Paramètres!$A$1:$I$89,3,0)*VLOOKUP('Données projet'!$B$13,Paramètres!$A$1:$I$89,5,0)</f>
        <v>169.46279999999999</v>
      </c>
      <c r="CV150" s="13">
        <f t="shared" si="149"/>
        <v>42.969686502194378</v>
      </c>
      <c r="CW150" s="20">
        <f t="shared" si="121"/>
        <v>369.9865806579885</v>
      </c>
      <c r="CX150" s="59">
        <f t="shared" si="122"/>
        <v>663.31991399132176</v>
      </c>
      <c r="CY150" s="59">
        <f ca="1">AVERAGE(OFFSET($CX$3,0,0,'Données projet'!$E$13+1,1))-AVERAGE(OFFSET($H$3,0,0,'Données projet'!$E$13+1,1))</f>
        <v>161.87883827031436</v>
      </c>
      <c r="CZ150" s="59">
        <f t="shared" si="150"/>
        <v>163.02076389611869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2.9925959583305324</v>
      </c>
      <c r="DG150" s="21">
        <f>EXP(-LN(2)/25)*DG149+(1-EXP(-LN(2)/25))/(LN(2)/25)*Calculateur!DB150*Calculateur!DD150*VLOOKUP('Données projet'!$B$13,Paramètres!$A$1:$I$89,3,0)*0.475*44/12</f>
        <v>1.3634621951285659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4.3560581534590987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149.0000000000002</v>
      </c>
      <c r="DP150" s="17">
        <f>DO150*VLOOKUP('Données projet'!$B$14,Paramètres!$A$1:$I$89,3,0)*VLOOKUP('Données projet'!$B$14,Paramètres!$A$1:$I$89,5,0)</f>
        <v>120.86880000000016</v>
      </c>
      <c r="DQ150" s="13">
        <f t="shared" si="151"/>
        <v>31.877547472771326</v>
      </c>
      <c r="DR150" s="20">
        <f t="shared" si="124"/>
        <v>266.03322184841039</v>
      </c>
      <c r="DS150" s="59">
        <f t="shared" si="125"/>
        <v>559.36655518174371</v>
      </c>
      <c r="DT150" s="59">
        <f ca="1">AVERAGE(OFFSET($DS$3,0,0,'Données projet'!$E$14+1,1))-AVERAGE(OFFSET($H$3,0,0,'Données projet'!$E$14+1,1))</f>
        <v>96.611230241682733</v>
      </c>
      <c r="DU150" s="59">
        <f t="shared" si="152"/>
        <v>78.711045514042041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0.57841910042878819</v>
      </c>
      <c r="EB150" s="21">
        <f>EXP(-LN(2)/25)*EB149+(1-EXP(-LN(2)/25))/(LN(2)/25)*Calculateur!DW150*Calculateur!DY150*VLOOKUP('Données projet'!$B$14,Paramètres!$A$1:$I$89,3,0)*0.475*44/12</f>
        <v>1.2918620551218452</v>
      </c>
      <c r="EC150" s="21">
        <f>EXP(-LN(2)/2)*EC149+(1-EXP(-LN(2)/2))/(LN(2)/2)*DW150*DZ150*VLOOKUP('Données projet'!$B$14,Paramètres!$A$1:$I$89,3,0)*0.475*44/12</f>
        <v>3.5765824786982518E-9</v>
      </c>
      <c r="ED150" s="22">
        <f t="shared" si="126"/>
        <v>1.8702811591272159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188.61152573050066</v>
      </c>
      <c r="EP150" s="59">
        <f t="shared" si="154"/>
        <v>172.37050503841624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36.219988993046073</v>
      </c>
      <c r="EW150" s="21">
        <f>EXP(-LN(2)/25)*EW149+(1-EXP(-LN(2)/25))/(LN(2)/25)*Calculateur!ER150*Calculateur!ET150*VLOOKUP('Données projet'!$B$15,Paramètres!$A$1:$I$89,3,0)*0.475*44/12</f>
        <v>5.1830130295224199</v>
      </c>
      <c r="EX150" s="21">
        <f>EXP(-LN(2)/2)*EX149+(1-EXP(-LN(2)/2))/(LN(2)/2)*ER150*EU150*VLOOKUP('Données projet'!$B$15,Paramètres!$A$1:$I$89,3,0)*0.475*44/12</f>
        <v>8.1019893905893715E-11</v>
      </c>
      <c r="EY150" s="22">
        <f t="shared" si="129"/>
        <v>41.403002022649517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0</v>
      </c>
      <c r="FK150" s="59">
        <f t="shared" si="156"/>
        <v>0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0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197.78572767493569</v>
      </c>
      <c r="T151" s="59">
        <f t="shared" si="142"/>
        <v>288.66487031729008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266.99999999999983</v>
      </c>
      <c r="AJ151" s="13">
        <f>AI151*VLOOKUP('Données projet'!$B$10,Paramètres!$A$1:$I$89,3,0)*VLOOKUP('Données projet'!$B$10,Paramètres!$A$1:$I$89,5,0)</f>
        <v>212.42519999999985</v>
      </c>
      <c r="AK151" s="13">
        <f t="shared" si="143"/>
        <v>52.465198231787184</v>
      </c>
      <c r="AL151" s="20">
        <f t="shared" si="112"/>
        <v>461.35077692036231</v>
      </c>
      <c r="AM151" s="59">
        <f t="shared" si="113"/>
        <v>754.68411025369562</v>
      </c>
      <c r="AN151" s="59">
        <f ca="1">AVERAGE(OFFSET($AM$3,0,0,'Données projet'!$E$10+1,1))-AVERAGE(OFFSET($H$3,0,0,'Données projet'!$E$10+1,1))</f>
        <v>219.43439115440339</v>
      </c>
      <c r="AO151" s="59">
        <f t="shared" si="144"/>
        <v>217.8880462742099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7.4886465073503263</v>
      </c>
      <c r="AV151" s="21">
        <f>EXP(-LN(2)/25)*AV150+(1-EXP(-LN(2)/25))/(LN(2)/25)*Calculateur!AQ151*Calculateur!AS151*VLOOKUP('Données projet'!$B$10,Paramètres!$A$1:$I$89,3,0)*0.475*44/12</f>
        <v>1.2641165396761664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8.7527630470264928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190.99999999999997</v>
      </c>
      <c r="BE151" s="13">
        <f>BD151*VLOOKUP('Données projet'!$B$11,Paramètres!$A$1:$I$89,3,0)*VLOOKUP('Données projet'!$B$11,Paramètres!$A$1:$I$89,5,0)</f>
        <v>166.85759999999999</v>
      </c>
      <c r="BF151" s="13">
        <f t="shared" si="145"/>
        <v>42.385468111966098</v>
      </c>
      <c r="BG151" s="20">
        <f t="shared" si="115"/>
        <v>364.43167696167421</v>
      </c>
      <c r="BH151" s="59">
        <f t="shared" si="116"/>
        <v>657.76501029500753</v>
      </c>
      <c r="BI151" s="59">
        <f ca="1">AVERAGE(OFFSET($BH$3,0,0,'Données projet'!$E$11+1,1))-AVERAGE(OFFSET($H$3,0,0,'Données projet'!$E$11+1,1))</f>
        <v>175.73188403662408</v>
      </c>
      <c r="BJ151" s="59">
        <f t="shared" si="146"/>
        <v>152.02195399869032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3.6820579547187298</v>
      </c>
      <c r="BQ151" s="21">
        <f>EXP(-LN(2)/25)*BQ150+(1-EXP(-LN(2)/25))/(LN(2)/25)*Calculateur!BL151*Calculateur!BN151*VLOOKUP('Données projet'!$B$11,Paramètres!$A$1:$I$89,3,0)*0.475*44/12</f>
        <v>2.887465087787338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6.5695230425060682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5.1063034188034209</v>
      </c>
      <c r="BY151" s="12">
        <f>IF('Données projet'!$A$114&gt;35,BY150+BX151-CG150,IF(A151&lt;'Données projet'!$A$114,$BV$205^A151,IF(A151='Données projet'!$A$114,'Données projet'!$B$114,BY150+BX151-CG150)))</f>
        <v>298.07959401709354</v>
      </c>
      <c r="BZ151" s="13">
        <f>BY151*VLOOKUP('Données projet'!$B$12,Paramètres!$A$1:$I$89,3,0)*VLOOKUP('Données projet'!$B$12,Paramètres!$A$1:$I$89,5,0)</f>
        <v>269.70241666666624</v>
      </c>
      <c r="CA151" s="13">
        <f t="shared" si="147"/>
        <v>64.786110541238813</v>
      </c>
      <c r="CB151" s="20">
        <f t="shared" si="118"/>
        <v>582.56751822043464</v>
      </c>
      <c r="CC151" s="59">
        <f t="shared" si="119"/>
        <v>875.90085155376801</v>
      </c>
      <c r="CD151" s="59">
        <f ca="1">AVERAGE(OFFSET($CC$3,0,0,'Données projet'!$E$12+1,1))-AVERAGE(OFFSET($H$3,0,0,'Données projet'!$E$12+1,1))</f>
        <v>213.54857791046686</v>
      </c>
      <c r="CE151" s="59">
        <f t="shared" si="148"/>
        <v>138.46877538074244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39.433085279899196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39.433085279899196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213</v>
      </c>
      <c r="CU151" s="17">
        <f>CT151*VLOOKUP('Données projet'!$B$13,Paramètres!$A$1:$I$89,3,0)*VLOOKUP('Données projet'!$B$13,Paramètres!$A$1:$I$89,5,0)</f>
        <v>169.46279999999999</v>
      </c>
      <c r="CV151" s="13">
        <f t="shared" si="149"/>
        <v>42.969686502194378</v>
      </c>
      <c r="CW151" s="20">
        <f t="shared" si="121"/>
        <v>369.9865806579885</v>
      </c>
      <c r="CX151" s="59">
        <f t="shared" si="122"/>
        <v>663.31991399132176</v>
      </c>
      <c r="CY151" s="59">
        <f ca="1">AVERAGE(OFFSET($CX$3,0,0,'Données projet'!$E$13+1,1))-AVERAGE(OFFSET($H$3,0,0,'Données projet'!$E$13+1,1))</f>
        <v>161.87883827031436</v>
      </c>
      <c r="CZ151" s="59">
        <f t="shared" si="150"/>
        <v>163.02076389611869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2.9339129768909715</v>
      </c>
      <c r="DG151" s="21">
        <f>EXP(-LN(2)/25)*DG150+(1-EXP(-LN(2)/25))/(LN(2)/25)*Calculateur!DB151*Calculateur!DD151*VLOOKUP('Données projet'!$B$13,Paramètres!$A$1:$I$89,3,0)*0.475*44/12</f>
        <v>1.3261782497014147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4.2600912265923867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149.0000000000002</v>
      </c>
      <c r="DP151" s="17">
        <f>DO151*VLOOKUP('Données projet'!$B$14,Paramètres!$A$1:$I$89,3,0)*VLOOKUP('Données projet'!$B$14,Paramètres!$A$1:$I$89,5,0)</f>
        <v>120.86880000000016</v>
      </c>
      <c r="DQ151" s="13">
        <f t="shared" si="151"/>
        <v>31.877547472771326</v>
      </c>
      <c r="DR151" s="20">
        <f t="shared" si="124"/>
        <v>266.03322184841039</v>
      </c>
      <c r="DS151" s="59">
        <f t="shared" si="125"/>
        <v>559.36655518174371</v>
      </c>
      <c r="DT151" s="59">
        <f ca="1">AVERAGE(OFFSET($DS$3,0,0,'Données projet'!$E$14+1,1))-AVERAGE(OFFSET($H$3,0,0,'Données projet'!$E$14+1,1))</f>
        <v>96.611230241682733</v>
      </c>
      <c r="DU151" s="59">
        <f t="shared" si="152"/>
        <v>78.711045514042041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0.56707665467019475</v>
      </c>
      <c r="EB151" s="21">
        <f>EXP(-LN(2)/25)*EB150+(1-EXP(-LN(2)/25))/(LN(2)/25)*Calculateur!DW151*Calculateur!DY151*VLOOKUP('Données projet'!$B$14,Paramètres!$A$1:$I$89,3,0)*0.475*44/12</f>
        <v>1.2565360192884654</v>
      </c>
      <c r="EC151" s="21">
        <f>EXP(-LN(2)/2)*EC150+(1-EXP(-LN(2)/2))/(LN(2)/2)*DW151*DZ151*VLOOKUP('Données projet'!$B$14,Paramètres!$A$1:$I$89,3,0)*0.475*44/12</f>
        <v>2.5290257241605248E-9</v>
      </c>
      <c r="ED151" s="22">
        <f t="shared" si="126"/>
        <v>1.8236126764876859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188.61152573050066</v>
      </c>
      <c r="EP151" s="59">
        <f t="shared" si="154"/>
        <v>172.37050503841624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35.509737100904317</v>
      </c>
      <c r="EW151" s="21">
        <f>EXP(-LN(2)/25)*EW150+(1-EXP(-LN(2)/25))/(LN(2)/25)*Calculateur!ER151*Calculateur!ET151*VLOOKUP('Données projet'!$B$15,Paramètres!$A$1:$I$89,3,0)*0.475*44/12</f>
        <v>5.0412832656673201</v>
      </c>
      <c r="EX151" s="21">
        <f>EXP(-LN(2)/2)*EX150+(1-EXP(-LN(2)/2))/(LN(2)/2)*ER151*EU151*VLOOKUP('Données projet'!$B$15,Paramètres!$A$1:$I$89,3,0)*0.475*44/12</f>
        <v>5.7289716391872086E-11</v>
      </c>
      <c r="EY151" s="22">
        <f t="shared" si="129"/>
        <v>40.551020366628926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0</v>
      </c>
      <c r="FK151" s="59">
        <f t="shared" si="156"/>
        <v>0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0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197.78572767493569</v>
      </c>
      <c r="T152" s="59">
        <f t="shared" si="142"/>
        <v>288.66487031729008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266.99999999999983</v>
      </c>
      <c r="AJ152" s="13">
        <f>AI152*VLOOKUP('Données projet'!$B$10,Paramètres!$A$1:$I$89,3,0)*VLOOKUP('Données projet'!$B$10,Paramètres!$A$1:$I$89,5,0)</f>
        <v>212.42519999999985</v>
      </c>
      <c r="AK152" s="13">
        <f t="shared" si="143"/>
        <v>52.465198231787184</v>
      </c>
      <c r="AL152" s="20">
        <f t="shared" si="112"/>
        <v>461.35077692036231</v>
      </c>
      <c r="AM152" s="59">
        <f t="shared" si="113"/>
        <v>754.68411025369562</v>
      </c>
      <c r="AN152" s="59">
        <f ca="1">AVERAGE(OFFSET($AM$3,0,0,'Données projet'!$E$10+1,1))-AVERAGE(OFFSET($H$3,0,0,'Données projet'!$E$10+1,1))</f>
        <v>219.43439115440339</v>
      </c>
      <c r="AO152" s="59">
        <f t="shared" si="144"/>
        <v>217.8880462742099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7.3417987169645409</v>
      </c>
      <c r="AV152" s="21">
        <f>EXP(-LN(2)/25)*AV151+(1-EXP(-LN(2)/25))/(LN(2)/25)*Calculateur!AQ152*Calculateur!AS152*VLOOKUP('Données projet'!$B$10,Paramètres!$A$1:$I$89,3,0)*0.475*44/12</f>
        <v>1.2295492064217219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8.5713479233862628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190.99999999999997</v>
      </c>
      <c r="BE152" s="13">
        <f>BD152*VLOOKUP('Données projet'!$B$11,Paramètres!$A$1:$I$89,3,0)*VLOOKUP('Données projet'!$B$11,Paramètres!$A$1:$I$89,5,0)</f>
        <v>166.85759999999999</v>
      </c>
      <c r="BF152" s="13">
        <f t="shared" si="145"/>
        <v>42.385468111966098</v>
      </c>
      <c r="BG152" s="20">
        <f t="shared" si="115"/>
        <v>364.43167696167421</v>
      </c>
      <c r="BH152" s="59">
        <f t="shared" si="116"/>
        <v>657.76501029500753</v>
      </c>
      <c r="BI152" s="59">
        <f ca="1">AVERAGE(OFFSET($BH$3,0,0,'Données projet'!$E$11+1,1))-AVERAGE(OFFSET($H$3,0,0,'Données projet'!$E$11+1,1))</f>
        <v>175.73188403662408</v>
      </c>
      <c r="BJ152" s="59">
        <f t="shared" si="146"/>
        <v>152.02195399869032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3.6098550440602901</v>
      </c>
      <c r="BQ152" s="21">
        <f>EXP(-LN(2)/25)*BQ151+(1-EXP(-LN(2)/25))/(LN(2)/25)*Calculateur!BL152*Calculateur!BN152*VLOOKUP('Données projet'!$B$11,Paramètres!$A$1:$I$89,3,0)*0.475*44/12</f>
        <v>2.8085072031166036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6.4183622471768942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303.18589743589746</v>
      </c>
      <c r="BW152" s="12">
        <f>VLOOKUP(A152,'Données projet'!$A$113:$I$133,9,0)</f>
        <v>5.1063034188034209</v>
      </c>
      <c r="BX152" s="12">
        <f t="array" ref="BX152">INDEX(BW:BW,MIN(IF(ISNUMBER(BW152:BW348),ROW(BW152:BW348),"")))</f>
        <v>5.1063034188034209</v>
      </c>
      <c r="BY152" s="12">
        <f>IF('Données projet'!$A$114&gt;35,BY151+BX152-CG151,IF(A152&lt;'Données projet'!$A$114,$BV$205^A152,IF(A152='Données projet'!$A$114,'Données projet'!$B$114,BY151+BX152-CG151)))</f>
        <v>303.18589743589695</v>
      </c>
      <c r="BZ152" s="13">
        <f>BY152*VLOOKUP('Données projet'!$B$12,Paramètres!$A$1:$I$89,3,0)*VLOOKUP('Données projet'!$B$12,Paramètres!$A$1:$I$89,5,0)</f>
        <v>274.32259999999957</v>
      </c>
      <c r="CA152" s="13">
        <f t="shared" si="147"/>
        <v>65.765784388426695</v>
      </c>
      <c r="CB152" s="20">
        <f t="shared" si="118"/>
        <v>592.3206028098424</v>
      </c>
      <c r="CC152" s="59">
        <f t="shared" si="119"/>
        <v>885.65393614317577</v>
      </c>
      <c r="CD152" s="59">
        <f ca="1">AVERAGE(OFFSET($CC$3,0,0,'Données projet'!$E$12+1,1))-AVERAGE(OFFSET($H$3,0,0,'Données projet'!$E$12+1,1))</f>
        <v>213.54857791046686</v>
      </c>
      <c r="CE152" s="59">
        <f t="shared" si="148"/>
        <v>138.46877538074244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120.50641025641026</v>
      </c>
      <c r="CH152" s="16">
        <f>IF(ISNA(VLOOKUP(A152,'Données projet'!$A$113:$I$133,5,0)),0%,VLOOKUP(A152,'Données projet'!$A$113:$I$133,5,0)*VLOOKUP('Données projet'!$B$12,Paramètres!$A$1:$I$89,7,0))</f>
        <v>0.38700000000000001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85.306514891867181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85.306514891867181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213</v>
      </c>
      <c r="CU152" s="17">
        <f>CT152*VLOOKUP('Données projet'!$B$13,Paramètres!$A$1:$I$89,3,0)*VLOOKUP('Données projet'!$B$13,Paramètres!$A$1:$I$89,5,0)</f>
        <v>169.46279999999999</v>
      </c>
      <c r="CV152" s="13">
        <f t="shared" si="149"/>
        <v>42.969686502194378</v>
      </c>
      <c r="CW152" s="20">
        <f t="shared" si="121"/>
        <v>369.9865806579885</v>
      </c>
      <c r="CX152" s="59">
        <f t="shared" si="122"/>
        <v>663.31991399132176</v>
      </c>
      <c r="CY152" s="59">
        <f ca="1">AVERAGE(OFFSET($CX$3,0,0,'Données projet'!$E$13+1,1))-AVERAGE(OFFSET($H$3,0,0,'Données projet'!$E$13+1,1))</f>
        <v>161.87883827031436</v>
      </c>
      <c r="CZ152" s="59">
        <f t="shared" si="150"/>
        <v>163.02076389611869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2.876380732924356</v>
      </c>
      <c r="DG152" s="21">
        <f>EXP(-LN(2)/25)*DG151+(1-EXP(-LN(2)/25))/(LN(2)/25)*Calculateur!DB152*Calculateur!DD152*VLOOKUP('Données projet'!$B$13,Paramètres!$A$1:$I$89,3,0)*0.475*44/12</f>
        <v>1.2899138357226465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4.1662945686470021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149.0000000000002</v>
      </c>
      <c r="DP152" s="17">
        <f>DO152*VLOOKUP('Données projet'!$B$14,Paramètres!$A$1:$I$89,3,0)*VLOOKUP('Données projet'!$B$14,Paramètres!$A$1:$I$89,5,0)</f>
        <v>120.86880000000016</v>
      </c>
      <c r="DQ152" s="13">
        <f t="shared" si="151"/>
        <v>31.877547472771326</v>
      </c>
      <c r="DR152" s="20">
        <f t="shared" si="124"/>
        <v>266.03322184841039</v>
      </c>
      <c r="DS152" s="59">
        <f t="shared" si="125"/>
        <v>559.36655518174371</v>
      </c>
      <c r="DT152" s="59">
        <f ca="1">AVERAGE(OFFSET($DS$3,0,0,'Données projet'!$E$14+1,1))-AVERAGE(OFFSET($H$3,0,0,'Données projet'!$E$14+1,1))</f>
        <v>96.611230241682733</v>
      </c>
      <c r="DU152" s="59">
        <f t="shared" si="152"/>
        <v>78.711045514042041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0.55595662735471851</v>
      </c>
      <c r="EB152" s="21">
        <f>EXP(-LN(2)/25)*EB151+(1-EXP(-LN(2)/25))/(LN(2)/25)*Calculateur!DW152*Calculateur!DY152*VLOOKUP('Données projet'!$B$14,Paramètres!$A$1:$I$89,3,0)*0.475*44/12</f>
        <v>1.2221759757626649</v>
      </c>
      <c r="EC152" s="21">
        <f>EXP(-LN(2)/2)*EC151+(1-EXP(-LN(2)/2))/(LN(2)/2)*DW152*DZ152*VLOOKUP('Données projet'!$B$14,Paramètres!$A$1:$I$89,3,0)*0.475*44/12</f>
        <v>1.7882912393491263E-9</v>
      </c>
      <c r="ED152" s="22">
        <f t="shared" si="126"/>
        <v>1.7781326049056747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188.61152573050066</v>
      </c>
      <c r="EP152" s="59">
        <f t="shared" si="154"/>
        <v>172.37050503841624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34.813412815156589</v>
      </c>
      <c r="EW152" s="21">
        <f>EXP(-LN(2)/25)*EW151+(1-EXP(-LN(2)/25))/(LN(2)/25)*Calculateur!ER152*Calculateur!ET152*VLOOKUP('Données projet'!$B$15,Paramètres!$A$1:$I$89,3,0)*0.475*44/12</f>
        <v>4.9034291096580827</v>
      </c>
      <c r="EX152" s="21">
        <f>EXP(-LN(2)/2)*EX151+(1-EXP(-LN(2)/2))/(LN(2)/2)*ER152*EU152*VLOOKUP('Données projet'!$B$15,Paramètres!$A$1:$I$89,3,0)*0.475*44/12</f>
        <v>4.0509946952946864E-11</v>
      </c>
      <c r="EY152" s="22">
        <f t="shared" si="129"/>
        <v>39.716841924855181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0</v>
      </c>
      <c r="FK152" s="59">
        <f t="shared" si="156"/>
        <v>0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0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197.78572767493569</v>
      </c>
      <c r="T153" s="59">
        <f t="shared" si="142"/>
        <v>288.66487031729008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266.99999999999983</v>
      </c>
      <c r="AJ153" s="13">
        <f>AI153*VLOOKUP('Données projet'!$B$10,Paramètres!$A$1:$I$89,3,0)*VLOOKUP('Données projet'!$B$10,Paramètres!$A$1:$I$89,5,0)</f>
        <v>212.42519999999985</v>
      </c>
      <c r="AK153" s="13">
        <f t="shared" si="143"/>
        <v>52.465198231787184</v>
      </c>
      <c r="AL153" s="20">
        <f t="shared" si="112"/>
        <v>461.35077692036231</v>
      </c>
      <c r="AM153" s="59">
        <f t="shared" si="113"/>
        <v>754.68411025369562</v>
      </c>
      <c r="AN153" s="59">
        <f ca="1">AVERAGE(OFFSET($AM$3,0,0,'Données projet'!$E$10+1,1))-AVERAGE(OFFSET($H$3,0,0,'Données projet'!$E$10+1,1))</f>
        <v>219.43439115440339</v>
      </c>
      <c r="AO153" s="59">
        <f t="shared" si="144"/>
        <v>217.8880462742099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7.1978305221799124</v>
      </c>
      <c r="AV153" s="21">
        <f>EXP(-LN(2)/25)*AV152+(1-EXP(-LN(2)/25))/(LN(2)/25)*Calculateur!AQ153*Calculateur!AS153*VLOOKUP('Données projet'!$B$10,Paramètres!$A$1:$I$89,3,0)*0.475*44/12</f>
        <v>1.1959271187129374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8.3937576408928507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190.99999999999997</v>
      </c>
      <c r="BE153" s="13">
        <f>BD153*VLOOKUP('Données projet'!$B$11,Paramètres!$A$1:$I$89,3,0)*VLOOKUP('Données projet'!$B$11,Paramètres!$A$1:$I$89,5,0)</f>
        <v>166.85759999999999</v>
      </c>
      <c r="BF153" s="13">
        <f t="shared" si="145"/>
        <v>42.385468111966098</v>
      </c>
      <c r="BG153" s="20">
        <f t="shared" si="115"/>
        <v>364.43167696167421</v>
      </c>
      <c r="BH153" s="59">
        <f t="shared" si="116"/>
        <v>657.76501029500753</v>
      </c>
      <c r="BI153" s="59">
        <f ca="1">AVERAGE(OFFSET($BH$3,0,0,'Données projet'!$E$11+1,1))-AVERAGE(OFFSET($H$3,0,0,'Données projet'!$E$11+1,1))</f>
        <v>175.73188403662408</v>
      </c>
      <c r="BJ153" s="59">
        <f t="shared" si="146"/>
        <v>152.02195399869032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3.5390679884404355</v>
      </c>
      <c r="BQ153" s="21">
        <f>EXP(-LN(2)/25)*BQ152+(1-EXP(-LN(2)/25))/(LN(2)/25)*Calculateur!BL153*Calculateur!BN153*VLOOKUP('Données projet'!$B$11,Paramètres!$A$1:$I$89,3,0)*0.475*44/12</f>
        <v>2.7317084259544053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6.2707764143948408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3.0945512820512704</v>
      </c>
      <c r="BY153" s="12">
        <f>IF('Données projet'!$A$114&gt;35,BY152+BX153-CG152,IF(A153&lt;'Données projet'!$A$114,$BV$205^A153,IF(A153='Données projet'!$A$114,'Données projet'!$B$114,BY152+BX153-CG152)))</f>
        <v>185.77403846153794</v>
      </c>
      <c r="BZ153" s="13">
        <f>BY153*VLOOKUP('Données projet'!$B$12,Paramètres!$A$1:$I$89,3,0)*VLOOKUP('Données projet'!$B$12,Paramètres!$A$1:$I$89,5,0)</f>
        <v>168.08834999999954</v>
      </c>
      <c r="CA153" s="13">
        <f t="shared" si="147"/>
        <v>42.661596193999998</v>
      </c>
      <c r="CB153" s="20">
        <f t="shared" si="118"/>
        <v>367.05615628788252</v>
      </c>
      <c r="CC153" s="59">
        <f t="shared" si="119"/>
        <v>660.38948962121583</v>
      </c>
      <c r="CD153" s="59">
        <f ca="1">AVERAGE(OFFSET($CC$3,0,0,'Données projet'!$E$12+1,1))-AVERAGE(OFFSET($H$3,0,0,'Données projet'!$E$12+1,1))</f>
        <v>213.54857791046686</v>
      </c>
      <c r="CE153" s="59">
        <f t="shared" si="148"/>
        <v>138.46877538074244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83.633706166674031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83.633706166674031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213</v>
      </c>
      <c r="CU153" s="17">
        <f>CT153*VLOOKUP('Données projet'!$B$13,Paramètres!$A$1:$I$89,3,0)*VLOOKUP('Données projet'!$B$13,Paramètres!$A$1:$I$89,5,0)</f>
        <v>169.46279999999999</v>
      </c>
      <c r="CV153" s="13">
        <f t="shared" si="149"/>
        <v>42.969686502194378</v>
      </c>
      <c r="CW153" s="20">
        <f t="shared" si="121"/>
        <v>369.9865806579885</v>
      </c>
      <c r="CX153" s="59">
        <f t="shared" si="122"/>
        <v>663.31991399132176</v>
      </c>
      <c r="CY153" s="59">
        <f ca="1">AVERAGE(OFFSET($CX$3,0,0,'Données projet'!$E$13+1,1))-AVERAGE(OFFSET($H$3,0,0,'Données projet'!$E$13+1,1))</f>
        <v>161.87883827031436</v>
      </c>
      <c r="CZ153" s="59">
        <f t="shared" si="150"/>
        <v>163.02076389611869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2.8199766611707222</v>
      </c>
      <c r="DG153" s="21">
        <f>EXP(-LN(2)/25)*DG152+(1-EXP(-LN(2)/25))/(LN(2)/25)*Calculateur!DB153*Calculateur!DD153*VLOOKUP('Données projet'!$B$13,Paramètres!$A$1:$I$89,3,0)*0.475*44/12</f>
        <v>1.2546410740511902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4.0746177352219126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149.0000000000002</v>
      </c>
      <c r="DP153" s="17">
        <f>DO153*VLOOKUP('Données projet'!$B$14,Paramètres!$A$1:$I$89,3,0)*VLOOKUP('Données projet'!$B$14,Paramètres!$A$1:$I$89,5,0)</f>
        <v>120.86880000000016</v>
      </c>
      <c r="DQ153" s="13">
        <f t="shared" si="151"/>
        <v>31.877547472771326</v>
      </c>
      <c r="DR153" s="20">
        <f t="shared" si="124"/>
        <v>266.03322184841039</v>
      </c>
      <c r="DS153" s="59">
        <f t="shared" si="125"/>
        <v>559.36655518174371</v>
      </c>
      <c r="DT153" s="59">
        <f ca="1">AVERAGE(OFFSET($DS$3,0,0,'Données projet'!$E$14+1,1))-AVERAGE(OFFSET($H$3,0,0,'Données projet'!$E$14+1,1))</f>
        <v>96.611230241682733</v>
      </c>
      <c r="DU153" s="59">
        <f t="shared" si="152"/>
        <v>78.711045514042041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0.54505465699235178</v>
      </c>
      <c r="EB153" s="21">
        <f>EXP(-LN(2)/25)*EB152+(1-EXP(-LN(2)/25))/(LN(2)/25)*Calculateur!DW153*Calculateur!DY153*VLOOKUP('Données projet'!$B$14,Paramètres!$A$1:$I$89,3,0)*0.475*44/12</f>
        <v>1.1887555094339937</v>
      </c>
      <c r="EC153" s="21">
        <f>EXP(-LN(2)/2)*EC152+(1-EXP(-LN(2)/2))/(LN(2)/2)*DW153*DZ153*VLOOKUP('Données projet'!$B$14,Paramètres!$A$1:$I$89,3,0)*0.475*44/12</f>
        <v>1.2645128620802626E-9</v>
      </c>
      <c r="ED153" s="22">
        <f t="shared" si="126"/>
        <v>1.7338101676908584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188.61152573050066</v>
      </c>
      <c r="EP153" s="59">
        <f t="shared" si="154"/>
        <v>172.37050503841624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34.130743023936496</v>
      </c>
      <c r="EW153" s="21">
        <f>EXP(-LN(2)/25)*EW152+(1-EXP(-LN(2)/25))/(LN(2)/25)*Calculateur!ER153*Calculateur!ET153*VLOOKUP('Données projet'!$B$15,Paramètres!$A$1:$I$89,3,0)*0.475*44/12</f>
        <v>4.7693445827943526</v>
      </c>
      <c r="EX153" s="21">
        <f>EXP(-LN(2)/2)*EX152+(1-EXP(-LN(2)/2))/(LN(2)/2)*ER153*EU153*VLOOKUP('Données projet'!$B$15,Paramètres!$A$1:$I$89,3,0)*0.475*44/12</f>
        <v>2.8644858195936049E-11</v>
      </c>
      <c r="EY153" s="22">
        <f t="shared" si="129"/>
        <v>38.900087606759492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0</v>
      </c>
      <c r="FK153" s="59">
        <f t="shared" si="156"/>
        <v>0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0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197.78572767493569</v>
      </c>
      <c r="T154" s="59">
        <f t="shared" si="142"/>
        <v>288.66487031729008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266.99999999999983</v>
      </c>
      <c r="AJ154" s="13">
        <f>AI154*VLOOKUP('Données projet'!$B$10,Paramètres!$A$1:$I$89,3,0)*VLOOKUP('Données projet'!$B$10,Paramètres!$A$1:$I$89,5,0)</f>
        <v>212.42519999999985</v>
      </c>
      <c r="AK154" s="13">
        <f t="shared" ref="AK154:AK203" si="164">EXP(-1.0587+0.8836*LN(AJ154)+0.284)</f>
        <v>52.465198231787184</v>
      </c>
      <c r="AL154" s="20">
        <f t="shared" ref="AL154:AL203" si="165">(AJ154+AK154)*0.475*44/12</f>
        <v>461.35077692036231</v>
      </c>
      <c r="AM154" s="59">
        <f t="shared" si="113"/>
        <v>754.68411025369562</v>
      </c>
      <c r="AN154" s="59">
        <f ca="1">AVERAGE(OFFSET($AM$3,0,0,'Données projet'!$E$10+1,1))-AVERAGE(OFFSET($H$3,0,0,'Données projet'!$E$10+1,1))</f>
        <v>219.43439115440339</v>
      </c>
      <c r="AO154" s="59">
        <f t="shared" si="144"/>
        <v>217.8880462742099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7.0566854558830823</v>
      </c>
      <c r="AV154" s="21">
        <f>EXP(-LN(2)/25)*AV153+(1-EXP(-LN(2)/25))/(LN(2)/25)*Calculateur!AQ154*Calculateur!AS154*VLOOKUP('Données projet'!$B$10,Paramètres!$A$1:$I$89,3,0)*0.475*44/12</f>
        <v>1.1632244287606583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8.2199098846437408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190.99999999999997</v>
      </c>
      <c r="BE154" s="13">
        <f>BD154*VLOOKUP('Données projet'!$B$11,Paramètres!$A$1:$I$89,3,0)*VLOOKUP('Données projet'!$B$11,Paramètres!$A$1:$I$89,5,0)</f>
        <v>166.85759999999999</v>
      </c>
      <c r="BF154" s="13">
        <f t="shared" ref="BF154:BF203" si="167">EXP(-1.0587+0.8836*LN(BE154)+0.284)</f>
        <v>42.385468111966098</v>
      </c>
      <c r="BG154" s="20">
        <f t="shared" ref="BG154:BG203" si="168">(BE154+BF154)*0.475*44/12</f>
        <v>364.43167696167421</v>
      </c>
      <c r="BH154" s="59">
        <f t="shared" si="116"/>
        <v>657.76501029500753</v>
      </c>
      <c r="BI154" s="59">
        <f ca="1">AVERAGE(OFFSET($BH$3,0,0,'Données projet'!$E$11+1,1))-AVERAGE(OFFSET($H$3,0,0,'Données projet'!$E$11+1,1))</f>
        <v>175.73188403662408</v>
      </c>
      <c r="BJ154" s="59">
        <f t="shared" si="146"/>
        <v>152.02195399869032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3.4696690238054457</v>
      </c>
      <c r="BQ154" s="21">
        <f>EXP(-LN(2)/25)*BQ153+(1-EXP(-LN(2)/25))/(LN(2)/25)*Calculateur!BL154*Calculateur!BN154*VLOOKUP('Données projet'!$B$11,Paramètres!$A$1:$I$89,3,0)*0.475*44/12</f>
        <v>2.6570097153923795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6.1266787391978248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3.0945512820512704</v>
      </c>
      <c r="BY154" s="12">
        <f>IF('Données projet'!$A$114&gt;35,BY153+BX154-CG153,IF(A154&lt;'Données projet'!$A$114,$BV$205^A154,IF(A154='Données projet'!$A$114,'Données projet'!$B$114,BY153+BX154-CG153)))</f>
        <v>188.86858974358921</v>
      </c>
      <c r="BZ154" s="13">
        <f>BY154*VLOOKUP('Données projet'!$B$12,Paramètres!$A$1:$I$89,3,0)*VLOOKUP('Données projet'!$B$12,Paramètres!$A$1:$I$89,5,0)</f>
        <v>170.8882999999995</v>
      </c>
      <c r="CA154" s="13">
        <f t="shared" ref="CA154:CA203" si="170">EXP(-1.0587+0.8836*LN(BZ154)+0.284)</f>
        <v>43.288912849762468</v>
      </c>
      <c r="CB154" s="20">
        <f t="shared" ref="CB154:CB203" si="171">(BZ154+CA154)*0.475*44/12</f>
        <v>373.02531238000211</v>
      </c>
      <c r="CC154" s="59">
        <f t="shared" si="119"/>
        <v>666.35864571333536</v>
      </c>
      <c r="CD154" s="59">
        <f ca="1">AVERAGE(OFFSET($CC$3,0,0,'Données projet'!$E$12+1,1))-AVERAGE(OFFSET($H$3,0,0,'Données projet'!$E$12+1,1))</f>
        <v>213.54857791046686</v>
      </c>
      <c r="CE154" s="59">
        <f t="shared" si="148"/>
        <v>138.46877538074244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81.993700200269345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81.993700200269345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213</v>
      </c>
      <c r="CU154" s="17">
        <f>CT154*VLOOKUP('Données projet'!$B$13,Paramètres!$A$1:$I$89,3,0)*VLOOKUP('Données projet'!$B$13,Paramètres!$A$1:$I$89,5,0)</f>
        <v>169.46279999999999</v>
      </c>
      <c r="CV154" s="13">
        <f t="shared" ref="CV154:CV203" si="173">EXP(-1.0587+0.8836*LN(CU154)+0.284)</f>
        <v>42.969686502194378</v>
      </c>
      <c r="CW154" s="20">
        <f t="shared" ref="CW154:CW203" si="174">(CU154+CV154)*0.475*44/12</f>
        <v>369.9865806579885</v>
      </c>
      <c r="CX154" s="59">
        <f t="shared" si="122"/>
        <v>663.31991399132176</v>
      </c>
      <c r="CY154" s="59">
        <f ca="1">AVERAGE(OFFSET($CX$3,0,0,'Données projet'!$E$13+1,1))-AVERAGE(OFFSET($H$3,0,0,'Données projet'!$E$13+1,1))</f>
        <v>161.87883827031436</v>
      </c>
      <c r="CZ154" s="59">
        <f t="shared" si="150"/>
        <v>163.02076389611869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2.7646786388610902</v>
      </c>
      <c r="DG154" s="21">
        <f>EXP(-LN(2)/25)*DG153+(1-EXP(-LN(2)/25))/(LN(2)/25)*Calculateur!DB154*Calculateur!DD154*VLOOKUP('Données projet'!$B$13,Paramètres!$A$1:$I$89,3,0)*0.475*44/12</f>
        <v>1.2203328479025539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3.9850114867636441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149.0000000000002</v>
      </c>
      <c r="DP154" s="17">
        <f>DO154*VLOOKUP('Données projet'!$B$14,Paramètres!$A$1:$I$89,3,0)*VLOOKUP('Données projet'!$B$14,Paramètres!$A$1:$I$89,5,0)</f>
        <v>120.86880000000016</v>
      </c>
      <c r="DQ154" s="13">
        <f t="shared" ref="DQ154:DQ203" si="176">EXP(-1.0587+0.8836*LN(DP154)+0.284)</f>
        <v>31.877547472771326</v>
      </c>
      <c r="DR154" s="20">
        <f t="shared" ref="DR154:DR203" si="177">(DP154+DQ154)*0.475*44/12</f>
        <v>266.03322184841039</v>
      </c>
      <c r="DS154" s="59">
        <f t="shared" si="125"/>
        <v>559.36655518174371</v>
      </c>
      <c r="DT154" s="59">
        <f ca="1">AVERAGE(OFFSET($DS$3,0,0,'Données projet'!$E$14+1,1))-AVERAGE(OFFSET($H$3,0,0,'Données projet'!$E$14+1,1))</f>
        <v>96.611230241682733</v>
      </c>
      <c r="DU154" s="59">
        <f t="shared" si="152"/>
        <v>78.711045514042041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0.53436646761924578</v>
      </c>
      <c r="EB154" s="21">
        <f>EXP(-LN(2)/25)*EB153+(1-EXP(-LN(2)/25))/(LN(2)/25)*Calculateur!DW154*Calculateur!DY154*VLOOKUP('Données projet'!$B$14,Paramètres!$A$1:$I$89,3,0)*0.475*44/12</f>
        <v>1.1562489275145857</v>
      </c>
      <c r="EC154" s="21">
        <f>EXP(-LN(2)/2)*EC153+(1-EXP(-LN(2)/2))/(LN(2)/2)*DW154*DZ154*VLOOKUP('Données projet'!$B$14,Paramètres!$A$1:$I$89,3,0)*0.475*44/12</f>
        <v>8.9414561967456325E-10</v>
      </c>
      <c r="ED154" s="22">
        <f t="shared" ref="ED154:ED203" si="178">SUM(EA154:EC154)</f>
        <v>1.6906153960279773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188.61152573050066</v>
      </c>
      <c r="EP154" s="59">
        <f t="shared" si="154"/>
        <v>172.37050503841624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33.461459970934769</v>
      </c>
      <c r="EW154" s="21">
        <f>EXP(-LN(2)/25)*EW153+(1-EXP(-LN(2)/25))/(LN(2)/25)*Calculateur!ER154*Calculateur!ET154*VLOOKUP('Données projet'!$B$15,Paramètres!$A$1:$I$89,3,0)*0.475*44/12</f>
        <v>4.6389266043689101</v>
      </c>
      <c r="EX154" s="21">
        <f>EXP(-LN(2)/2)*EX153+(1-EXP(-LN(2)/2))/(LN(2)/2)*ER154*EU154*VLOOKUP('Données projet'!$B$15,Paramètres!$A$1:$I$89,3,0)*0.475*44/12</f>
        <v>2.0254973476473435E-11</v>
      </c>
      <c r="EY154" s="22">
        <f t="shared" ref="EY154:EY203" si="181">SUM(EV154:EX154)</f>
        <v>38.100386575323938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0</v>
      </c>
      <c r="FK154" s="59">
        <f t="shared" si="156"/>
        <v>0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0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197.78572767493569</v>
      </c>
      <c r="T155" s="59">
        <f t="shared" si="142"/>
        <v>288.66487031729008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266.99999999999983</v>
      </c>
      <c r="AJ155" s="13">
        <f>AI155*VLOOKUP('Données projet'!$B$10,Paramètres!$A$1:$I$89,3,0)*VLOOKUP('Données projet'!$B$10,Paramètres!$A$1:$I$89,5,0)</f>
        <v>212.42519999999985</v>
      </c>
      <c r="AK155" s="13">
        <f t="shared" si="164"/>
        <v>52.465198231787184</v>
      </c>
      <c r="AL155" s="20">
        <f t="shared" si="165"/>
        <v>461.35077692036231</v>
      </c>
      <c r="AM155" s="59">
        <f t="shared" si="113"/>
        <v>754.68411025369562</v>
      </c>
      <c r="AN155" s="59">
        <f ca="1">AVERAGE(OFFSET($AM$3,0,0,'Données projet'!$E$10+1,1))-AVERAGE(OFFSET($H$3,0,0,'Données projet'!$E$10+1,1))</f>
        <v>219.43439115440339</v>
      </c>
      <c r="AO155" s="59">
        <f t="shared" si="144"/>
        <v>217.8880462742099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6.9183081582463437</v>
      </c>
      <c r="AV155" s="21">
        <f>EXP(-LN(2)/25)*AV154+(1-EXP(-LN(2)/25))/(LN(2)/25)*Calculateur!AQ155*Calculateur!AS155*VLOOKUP('Données projet'!$B$10,Paramètres!$A$1:$I$89,3,0)*0.475*44/12</f>
        <v>1.1314159955848839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8.0497241538312281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190.99999999999997</v>
      </c>
      <c r="BE155" s="13">
        <f>BD155*VLOOKUP('Données projet'!$B$11,Paramètres!$A$1:$I$89,3,0)*VLOOKUP('Données projet'!$B$11,Paramètres!$A$1:$I$89,5,0)</f>
        <v>166.85759999999999</v>
      </c>
      <c r="BF155" s="13">
        <f t="shared" si="167"/>
        <v>42.385468111966098</v>
      </c>
      <c r="BG155" s="20">
        <f t="shared" si="168"/>
        <v>364.43167696167421</v>
      </c>
      <c r="BH155" s="59">
        <f t="shared" si="116"/>
        <v>657.76501029500753</v>
      </c>
      <c r="BI155" s="59">
        <f ca="1">AVERAGE(OFFSET($BH$3,0,0,'Données projet'!$E$11+1,1))-AVERAGE(OFFSET($H$3,0,0,'Données projet'!$E$11+1,1))</f>
        <v>175.73188403662408</v>
      </c>
      <c r="BJ155" s="59">
        <f t="shared" si="146"/>
        <v>152.02195399869032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3.4016309305377592</v>
      </c>
      <c r="BQ155" s="21">
        <f>EXP(-LN(2)/25)*BQ154+(1-EXP(-LN(2)/25))/(LN(2)/25)*Calculateur!BL155*Calculateur!BN155*VLOOKUP('Données projet'!$B$11,Paramètres!$A$1:$I$89,3,0)*0.475*44/12</f>
        <v>2.5843536449989069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5.9859845755366656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3.0945512820512704</v>
      </c>
      <c r="BY155" s="12">
        <f>IF('Données projet'!$A$114&gt;35,BY154+BX155-CG154,IF(A155&lt;'Données projet'!$A$114,$BV$205^A155,IF(A155='Données projet'!$A$114,'Données projet'!$B$114,BY154+BX155-CG154)))</f>
        <v>191.96314102564048</v>
      </c>
      <c r="BZ155" s="13">
        <f>BY155*VLOOKUP('Données projet'!$B$12,Paramètres!$A$1:$I$89,3,0)*VLOOKUP('Données projet'!$B$12,Paramètres!$A$1:$I$89,5,0)</f>
        <v>173.6882499999995</v>
      </c>
      <c r="CA155" s="13">
        <f t="shared" si="170"/>
        <v>43.915034185437626</v>
      </c>
      <c r="CB155" s="20">
        <f t="shared" si="171"/>
        <v>378.99238662296966</v>
      </c>
      <c r="CC155" s="59">
        <f t="shared" si="119"/>
        <v>672.32571995630292</v>
      </c>
      <c r="CD155" s="59">
        <f ca="1">AVERAGE(OFFSET($CC$3,0,0,'Données projet'!$E$12+1,1))-AVERAGE(OFFSET($H$3,0,0,'Données projet'!$E$12+1,1))</f>
        <v>213.54857791046686</v>
      </c>
      <c r="CE155" s="59">
        <f t="shared" si="148"/>
        <v>138.46877538074244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80.385853750560983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80.385853750560983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213</v>
      </c>
      <c r="CU155" s="17">
        <f>CT155*VLOOKUP('Données projet'!$B$13,Paramètres!$A$1:$I$89,3,0)*VLOOKUP('Données projet'!$B$13,Paramètres!$A$1:$I$89,5,0)</f>
        <v>169.46279999999999</v>
      </c>
      <c r="CV155" s="13">
        <f t="shared" si="173"/>
        <v>42.969686502194378</v>
      </c>
      <c r="CW155" s="20">
        <f t="shared" si="174"/>
        <v>369.9865806579885</v>
      </c>
      <c r="CX155" s="59">
        <f t="shared" si="122"/>
        <v>663.31991399132176</v>
      </c>
      <c r="CY155" s="59">
        <f ca="1">AVERAGE(OFFSET($CX$3,0,0,'Données projet'!$E$13+1,1))-AVERAGE(OFFSET($H$3,0,0,'Données projet'!$E$13+1,1))</f>
        <v>161.87883827031436</v>
      </c>
      <c r="CZ155" s="59">
        <f t="shared" si="150"/>
        <v>163.02076389611869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2.7104649770404867</v>
      </c>
      <c r="DG155" s="21">
        <f>EXP(-LN(2)/25)*DG154+(1-EXP(-LN(2)/25))/(LN(2)/25)*Calculateur!DB155*Calculateur!DD155*VLOOKUP('Données projet'!$B$13,Paramètres!$A$1:$I$89,3,0)*0.475*44/12</f>
        <v>1.1869627820021431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3.8974277590426301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149.0000000000002</v>
      </c>
      <c r="DP155" s="17">
        <f>DO155*VLOOKUP('Données projet'!$B$14,Paramètres!$A$1:$I$89,3,0)*VLOOKUP('Données projet'!$B$14,Paramètres!$A$1:$I$89,5,0)</f>
        <v>120.86880000000016</v>
      </c>
      <c r="DQ155" s="13">
        <f t="shared" si="176"/>
        <v>31.877547472771326</v>
      </c>
      <c r="DR155" s="20">
        <f t="shared" si="177"/>
        <v>266.03322184841039</v>
      </c>
      <c r="DS155" s="59">
        <f t="shared" si="125"/>
        <v>559.36655518174371</v>
      </c>
      <c r="DT155" s="59">
        <f ca="1">AVERAGE(OFFSET($DS$3,0,0,'Données projet'!$E$14+1,1))-AVERAGE(OFFSET($H$3,0,0,'Données projet'!$E$14+1,1))</f>
        <v>96.611230241682733</v>
      </c>
      <c r="DU155" s="59">
        <f t="shared" si="152"/>
        <v>78.711045514042041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0.52388786712059454</v>
      </c>
      <c r="EB155" s="21">
        <f>EXP(-LN(2)/25)*EB154+(1-EXP(-LN(2)/25))/(LN(2)/25)*Calculateur!DW155*Calculateur!DY155*VLOOKUP('Données projet'!$B$14,Paramètres!$A$1:$I$89,3,0)*0.475*44/12</f>
        <v>1.1246312397872109</v>
      </c>
      <c r="EC155" s="21">
        <f>EXP(-LN(2)/2)*EC154+(1-EXP(-LN(2)/2))/(LN(2)/2)*DW155*DZ155*VLOOKUP('Données projet'!$B$14,Paramètres!$A$1:$I$89,3,0)*0.475*44/12</f>
        <v>6.322564310401314E-10</v>
      </c>
      <c r="ED155" s="22">
        <f t="shared" si="178"/>
        <v>1.648519107540062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188.61152573050066</v>
      </c>
      <c r="EP155" s="59">
        <f t="shared" si="154"/>
        <v>172.37050503841624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32.805301150380053</v>
      </c>
      <c r="EW155" s="21">
        <f>EXP(-LN(2)/25)*EW154+(1-EXP(-LN(2)/25))/(LN(2)/25)*Calculateur!ER155*Calculateur!ET155*VLOOKUP('Données projet'!$B$15,Paramètres!$A$1:$I$89,3,0)*0.475*44/12</f>
        <v>4.5120749124218946</v>
      </c>
      <c r="EX155" s="21">
        <f>EXP(-LN(2)/2)*EX154+(1-EXP(-LN(2)/2))/(LN(2)/2)*ER155*EU155*VLOOKUP('Données projet'!$B$15,Paramètres!$A$1:$I$89,3,0)*0.475*44/12</f>
        <v>1.4322429097968026E-11</v>
      </c>
      <c r="EY155" s="22">
        <f t="shared" si="181"/>
        <v>37.317376062816273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0</v>
      </c>
      <c r="FK155" s="59">
        <f t="shared" si="156"/>
        <v>0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0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197.78572767493569</v>
      </c>
      <c r="T156" s="59">
        <f t="shared" si="142"/>
        <v>288.66487031729008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266.99999999999983</v>
      </c>
      <c r="AJ156" s="13">
        <f>AI156*VLOOKUP('Données projet'!$B$10,Paramètres!$A$1:$I$89,3,0)*VLOOKUP('Données projet'!$B$10,Paramètres!$A$1:$I$89,5,0)</f>
        <v>212.42519999999985</v>
      </c>
      <c r="AK156" s="13">
        <f t="shared" si="164"/>
        <v>52.465198231787184</v>
      </c>
      <c r="AL156" s="20">
        <f t="shared" si="165"/>
        <v>461.35077692036231</v>
      </c>
      <c r="AM156" s="59">
        <f t="shared" si="113"/>
        <v>754.68411025369562</v>
      </c>
      <c r="AN156" s="59">
        <f ca="1">AVERAGE(OFFSET($AM$3,0,0,'Données projet'!$E$10+1,1))-AVERAGE(OFFSET($H$3,0,0,'Données projet'!$E$10+1,1))</f>
        <v>219.43439115440339</v>
      </c>
      <c r="AO156" s="59">
        <f t="shared" si="144"/>
        <v>217.8880462742099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6.782644355014444</v>
      </c>
      <c r="AV156" s="21">
        <f>EXP(-LN(2)/25)*AV155+(1-EXP(-LN(2)/25))/(LN(2)/25)*Calculateur!AQ156*Calculateur!AS156*VLOOKUP('Données projet'!$B$10,Paramètres!$A$1:$I$89,3,0)*0.475*44/12</f>
        <v>1.1004773656870339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7.8831217207014781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190.99999999999997</v>
      </c>
      <c r="BE156" s="13">
        <f>BD156*VLOOKUP('Données projet'!$B$11,Paramètres!$A$1:$I$89,3,0)*VLOOKUP('Données projet'!$B$11,Paramètres!$A$1:$I$89,5,0)</f>
        <v>166.85759999999999</v>
      </c>
      <c r="BF156" s="13">
        <f t="shared" si="167"/>
        <v>42.385468111966098</v>
      </c>
      <c r="BG156" s="20">
        <f t="shared" si="168"/>
        <v>364.43167696167421</v>
      </c>
      <c r="BH156" s="59">
        <f t="shared" si="116"/>
        <v>657.76501029500753</v>
      </c>
      <c r="BI156" s="59">
        <f ca="1">AVERAGE(OFFSET($BH$3,0,0,'Données projet'!$E$11+1,1))-AVERAGE(OFFSET($H$3,0,0,'Données projet'!$E$11+1,1))</f>
        <v>175.73188403662408</v>
      </c>
      <c r="BJ156" s="59">
        <f t="shared" si="146"/>
        <v>152.02195399869032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3.334927022779913</v>
      </c>
      <c r="BQ156" s="21">
        <f>EXP(-LN(2)/25)*BQ155+(1-EXP(-LN(2)/25))/(LN(2)/25)*Calculateur!BL156*Calculateur!BN156*VLOOKUP('Données projet'!$B$11,Paramètres!$A$1:$I$89,3,0)*0.475*44/12</f>
        <v>2.5136843586711604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5.8486113814510734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195.05769230769226</v>
      </c>
      <c r="BW156" s="12">
        <f>VLOOKUP(A156,'Données projet'!$A$113:$I$133,9,0)</f>
        <v>3.0945512820512704</v>
      </c>
      <c r="BX156" s="12">
        <f t="array" ref="BX156">INDEX(BW:BW,MIN(IF(ISNUMBER(BW156:BW352),ROW(BW156:BW352),"")))</f>
        <v>3.0945512820512704</v>
      </c>
      <c r="BY156" s="12">
        <f>IF('Données projet'!$A$114&gt;35,BY155+BX156-CG155,IF(A156&lt;'Données projet'!$A$114,$BV$205^A156,IF(A156='Données projet'!$A$114,'Données projet'!$B$114,BY155+BX156-CG155)))</f>
        <v>195.05769230769175</v>
      </c>
      <c r="BZ156" s="13">
        <f>BY156*VLOOKUP('Données projet'!$B$12,Paramètres!$A$1:$I$89,3,0)*VLOOKUP('Données projet'!$B$12,Paramètres!$A$1:$I$89,5,0)</f>
        <v>176.48819999999949</v>
      </c>
      <c r="CA156" s="13">
        <f t="shared" si="170"/>
        <v>44.539981694883714</v>
      </c>
      <c r="CB156" s="20">
        <f t="shared" si="171"/>
        <v>384.95741645192157</v>
      </c>
      <c r="CC156" s="59">
        <f t="shared" si="119"/>
        <v>678.29074978525489</v>
      </c>
      <c r="CD156" s="59">
        <f ca="1">AVERAGE(OFFSET($CC$3,0,0,'Données projet'!$E$12+1,1))-AVERAGE(OFFSET($H$3,0,0,'Données projet'!$E$12+1,1))</f>
        <v>213.54857791046686</v>
      </c>
      <c r="CE156" s="59">
        <f t="shared" si="148"/>
        <v>138.46877538074244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70.115384615384613</v>
      </c>
      <c r="CH156" s="16">
        <f>IF(ISNA(VLOOKUP(A156,'Données projet'!$A$113:$I$133,5,0)),0%,VLOOKUP(A156,'Données projet'!$A$113:$I$133,5,0)*VLOOKUP('Données projet'!$B$12,Paramètres!$A$1:$I$89,7,0))</f>
        <v>0.38700000000000001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105.95042013547638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105.95042013547638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213</v>
      </c>
      <c r="CU156" s="17">
        <f>CT156*VLOOKUP('Données projet'!$B$13,Paramètres!$A$1:$I$89,3,0)*VLOOKUP('Données projet'!$B$13,Paramètres!$A$1:$I$89,5,0)</f>
        <v>169.46279999999999</v>
      </c>
      <c r="CV156" s="13">
        <f t="shared" si="173"/>
        <v>42.969686502194378</v>
      </c>
      <c r="CW156" s="20">
        <f t="shared" si="174"/>
        <v>369.9865806579885</v>
      </c>
      <c r="CX156" s="59">
        <f t="shared" si="122"/>
        <v>663.31991399132176</v>
      </c>
      <c r="CY156" s="59">
        <f ca="1">AVERAGE(OFFSET($CX$3,0,0,'Données projet'!$E$13+1,1))-AVERAGE(OFFSET($H$3,0,0,'Données projet'!$E$13+1,1))</f>
        <v>161.87883827031436</v>
      </c>
      <c r="CZ156" s="59">
        <f t="shared" si="150"/>
        <v>163.02076389611869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2.6573144120611167</v>
      </c>
      <c r="DG156" s="21">
        <f>EXP(-LN(2)/25)*DG155+(1-EXP(-LN(2)/25))/(LN(2)/25)*Calculateur!DB156*Calculateur!DD156*VLOOKUP('Données projet'!$B$13,Paramètres!$A$1:$I$89,3,0)*0.475*44/12</f>
        <v>1.1545052223086347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3.8118196343697512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149.0000000000002</v>
      </c>
      <c r="DP156" s="17">
        <f>DO156*VLOOKUP('Données projet'!$B$14,Paramètres!$A$1:$I$89,3,0)*VLOOKUP('Données projet'!$B$14,Paramètres!$A$1:$I$89,5,0)</f>
        <v>120.86880000000016</v>
      </c>
      <c r="DQ156" s="13">
        <f t="shared" si="176"/>
        <v>31.877547472771326</v>
      </c>
      <c r="DR156" s="20">
        <f t="shared" si="177"/>
        <v>266.03322184841039</v>
      </c>
      <c r="DS156" s="59">
        <f t="shared" si="125"/>
        <v>559.36655518174371</v>
      </c>
      <c r="DT156" s="59">
        <f ca="1">AVERAGE(OFFSET($DS$3,0,0,'Données projet'!$E$14+1,1))-AVERAGE(OFFSET($H$3,0,0,'Données projet'!$E$14+1,1))</f>
        <v>96.611230241682733</v>
      </c>
      <c r="DU156" s="59">
        <f t="shared" si="152"/>
        <v>78.711045514042041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0.51361474558640663</v>
      </c>
      <c r="EB156" s="21">
        <f>EXP(-LN(2)/25)*EB155+(1-EXP(-LN(2)/25))/(LN(2)/25)*Calculateur!DW156*Calculateur!DY156*VLOOKUP('Données projet'!$B$14,Paramètres!$A$1:$I$89,3,0)*0.475*44/12</f>
        <v>1.0938781393934431</v>
      </c>
      <c r="EC156" s="21">
        <f>EXP(-LN(2)/2)*EC155+(1-EXP(-LN(2)/2))/(LN(2)/2)*DW156*DZ156*VLOOKUP('Données projet'!$B$14,Paramètres!$A$1:$I$89,3,0)*0.475*44/12</f>
        <v>4.4707280983728168E-10</v>
      </c>
      <c r="ED156" s="22">
        <f t="shared" si="178"/>
        <v>1.6074928854269226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188.61152573050066</v>
      </c>
      <c r="EP156" s="59">
        <f t="shared" si="154"/>
        <v>172.37050503841624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32.162009204079055</v>
      </c>
      <c r="EW156" s="21">
        <f>EXP(-LN(2)/25)*EW155+(1-EXP(-LN(2)/25))/(LN(2)/25)*Calculateur!ER156*Calculateur!ET156*VLOOKUP('Données projet'!$B$15,Paramètres!$A$1:$I$89,3,0)*0.475*44/12</f>
        <v>4.3886919866620104</v>
      </c>
      <c r="EX156" s="21">
        <f>EXP(-LN(2)/2)*EX155+(1-EXP(-LN(2)/2))/(LN(2)/2)*ER156*EU156*VLOOKUP('Données projet'!$B$15,Paramètres!$A$1:$I$89,3,0)*0.475*44/12</f>
        <v>1.0127486738236719E-11</v>
      </c>
      <c r="EY156" s="22">
        <f t="shared" si="181"/>
        <v>36.550701190751191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0</v>
      </c>
      <c r="FK156" s="59">
        <f t="shared" si="156"/>
        <v>0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0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197.78572767493569</v>
      </c>
      <c r="T157" s="59">
        <f t="shared" si="142"/>
        <v>288.66487031729008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266.99999999999983</v>
      </c>
      <c r="AJ157" s="13">
        <f>AI157*VLOOKUP('Données projet'!$B$10,Paramètres!$A$1:$I$89,3,0)*VLOOKUP('Données projet'!$B$10,Paramètres!$A$1:$I$89,5,0)</f>
        <v>212.42519999999985</v>
      </c>
      <c r="AK157" s="13">
        <f t="shared" si="164"/>
        <v>52.465198231787184</v>
      </c>
      <c r="AL157" s="20">
        <f t="shared" si="165"/>
        <v>461.35077692036231</v>
      </c>
      <c r="AM157" s="59">
        <f t="shared" si="113"/>
        <v>754.68411025369562</v>
      </c>
      <c r="AN157" s="59">
        <f ca="1">AVERAGE(OFFSET($AM$3,0,0,'Données projet'!$E$10+1,1))-AVERAGE(OFFSET($H$3,0,0,'Données projet'!$E$10+1,1))</f>
        <v>219.43439115440339</v>
      </c>
      <c r="AO157" s="59">
        <f t="shared" si="144"/>
        <v>217.8880462742099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6.6496408362171717</v>
      </c>
      <c r="AV157" s="21">
        <f>EXP(-LN(2)/25)*AV156+(1-EXP(-LN(2)/25))/(LN(2)/25)*Calculateur!AQ157*Calculateur!AS157*VLOOKUP('Données projet'!$B$10,Paramètres!$A$1:$I$89,3,0)*0.475*44/12</f>
        <v>1.0703847542507325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7.7200255904679045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190.99999999999997</v>
      </c>
      <c r="BE157" s="13">
        <f>BD157*VLOOKUP('Données projet'!$B$11,Paramètres!$A$1:$I$89,3,0)*VLOOKUP('Données projet'!$B$11,Paramètres!$A$1:$I$89,5,0)</f>
        <v>166.85759999999999</v>
      </c>
      <c r="BF157" s="13">
        <f t="shared" si="167"/>
        <v>42.385468111966098</v>
      </c>
      <c r="BG157" s="20">
        <f t="shared" si="168"/>
        <v>364.43167696167421</v>
      </c>
      <c r="BH157" s="59">
        <f t="shared" si="116"/>
        <v>657.76501029500753</v>
      </c>
      <c r="BI157" s="59">
        <f ca="1">AVERAGE(OFFSET($BH$3,0,0,'Données projet'!$E$11+1,1))-AVERAGE(OFFSET($H$3,0,0,'Données projet'!$E$11+1,1))</f>
        <v>175.73188403662408</v>
      </c>
      <c r="BJ157" s="59">
        <f t="shared" si="146"/>
        <v>152.02195399869032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3.2695311379678316</v>
      </c>
      <c r="BQ157" s="21">
        <f>EXP(-LN(2)/25)*BQ156+(1-EXP(-LN(2)/25))/(LN(2)/25)*Calculateur!BL157*Calculateur!BN157*VLOOKUP('Données projet'!$B$11,Paramètres!$A$1:$I$89,3,0)*0.475*44/12</f>
        <v>2.444947527694382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5.7144786656622131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1.8717948717948829</v>
      </c>
      <c r="BY157" s="12">
        <f>IF('Données projet'!$A$114&gt;35,BY156+BX157-CG156,IF(A157&lt;'Données projet'!$A$114,$BV$205^A157,IF(A157='Données projet'!$A$114,'Données projet'!$B$114,BY156+BX157-CG156)))</f>
        <v>126.81410256410203</v>
      </c>
      <c r="BZ157" s="13">
        <f>BY157*VLOOKUP('Données projet'!$B$12,Paramètres!$A$1:$I$89,3,0)*VLOOKUP('Données projet'!$B$12,Paramètres!$A$1:$I$89,5,0)</f>
        <v>114.74139999999952</v>
      </c>
      <c r="CA157" s="13">
        <f t="shared" si="170"/>
        <v>30.445336927793726</v>
      </c>
      <c r="CB157" s="20">
        <f t="shared" si="171"/>
        <v>252.86690014923991</v>
      </c>
      <c r="CC157" s="59">
        <f t="shared" si="119"/>
        <v>546.20023348257325</v>
      </c>
      <c r="CD157" s="59">
        <f ca="1">AVERAGE(OFFSET($CC$3,0,0,'Données projet'!$E$12+1,1))-AVERAGE(OFFSET($H$3,0,0,'Données projet'!$E$12+1,1))</f>
        <v>213.54857791046686</v>
      </c>
      <c r="CE157" s="59">
        <f t="shared" si="148"/>
        <v>138.46877538074244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103.87279701999493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103.87279701999493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213</v>
      </c>
      <c r="CU157" s="17">
        <f>CT157*VLOOKUP('Données projet'!$B$13,Paramètres!$A$1:$I$89,3,0)*VLOOKUP('Données projet'!$B$13,Paramètres!$A$1:$I$89,5,0)</f>
        <v>169.46279999999999</v>
      </c>
      <c r="CV157" s="13">
        <f t="shared" si="173"/>
        <v>42.969686502194378</v>
      </c>
      <c r="CW157" s="20">
        <f t="shared" si="174"/>
        <v>369.9865806579885</v>
      </c>
      <c r="CX157" s="59">
        <f t="shared" si="122"/>
        <v>663.31991399132176</v>
      </c>
      <c r="CY157" s="59">
        <f ca="1">AVERAGE(OFFSET($CX$3,0,0,'Données projet'!$E$13+1,1))-AVERAGE(OFFSET($H$3,0,0,'Données projet'!$E$13+1,1))</f>
        <v>161.87883827031436</v>
      </c>
      <c r="CZ157" s="59">
        <f t="shared" si="150"/>
        <v>163.02076389611869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2.6052060972423488</v>
      </c>
      <c r="DG157" s="21">
        <f>EXP(-LN(2)/25)*DG156+(1-EXP(-LN(2)/25))/(LN(2)/25)*Calculateur!DB157*Calculateur!DD157*VLOOKUP('Données projet'!$B$13,Paramètres!$A$1:$I$89,3,0)*0.475*44/12</f>
        <v>1.122935216291814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3.728141313534163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149.0000000000002</v>
      </c>
      <c r="DP157" s="17">
        <f>DO157*VLOOKUP('Données projet'!$B$14,Paramètres!$A$1:$I$89,3,0)*VLOOKUP('Données projet'!$B$14,Paramètres!$A$1:$I$89,5,0)</f>
        <v>120.86880000000016</v>
      </c>
      <c r="DQ157" s="13">
        <f t="shared" si="176"/>
        <v>31.877547472771326</v>
      </c>
      <c r="DR157" s="20">
        <f t="shared" si="177"/>
        <v>266.03322184841039</v>
      </c>
      <c r="DS157" s="59">
        <f t="shared" si="125"/>
        <v>559.36655518174371</v>
      </c>
      <c r="DT157" s="59">
        <f ca="1">AVERAGE(OFFSET($DS$3,0,0,'Données projet'!$E$14+1,1))-AVERAGE(OFFSET($H$3,0,0,'Données projet'!$E$14+1,1))</f>
        <v>96.611230241682733</v>
      </c>
      <c r="DU157" s="59">
        <f t="shared" si="152"/>
        <v>78.711045514042041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0.50354307369951878</v>
      </c>
      <c r="EB157" s="21">
        <f>EXP(-LN(2)/25)*EB156+(1-EXP(-LN(2)/25))/(LN(2)/25)*Calculateur!DW157*Calculateur!DY157*VLOOKUP('Données projet'!$B$14,Paramètres!$A$1:$I$89,3,0)*0.475*44/12</f>
        <v>1.0639659841471782</v>
      </c>
      <c r="EC157" s="21">
        <f>EXP(-LN(2)/2)*EC156+(1-EXP(-LN(2)/2))/(LN(2)/2)*DW157*DZ157*VLOOKUP('Données projet'!$B$14,Paramètres!$A$1:$I$89,3,0)*0.475*44/12</f>
        <v>3.1612821552006575E-10</v>
      </c>
      <c r="ED157" s="22">
        <f t="shared" si="178"/>
        <v>1.5675090581628253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188.61152573050066</v>
      </c>
      <c r="EP157" s="59">
        <f t="shared" si="154"/>
        <v>172.37050503841624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31.531331820475671</v>
      </c>
      <c r="EW157" s="21">
        <f>EXP(-LN(2)/25)*EW156+(1-EXP(-LN(2)/25))/(LN(2)/25)*Calculateur!ER157*Calculateur!ET157*VLOOKUP('Données projet'!$B$15,Paramètres!$A$1:$I$89,3,0)*0.475*44/12</f>
        <v>4.2686829734954568</v>
      </c>
      <c r="EX157" s="21">
        <f>EXP(-LN(2)/2)*EX156+(1-EXP(-LN(2)/2))/(LN(2)/2)*ER157*EU157*VLOOKUP('Données projet'!$B$15,Paramètres!$A$1:$I$89,3,0)*0.475*44/12</f>
        <v>7.1612145489840139E-12</v>
      </c>
      <c r="EY157" s="22">
        <f t="shared" si="181"/>
        <v>35.800014793978292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0</v>
      </c>
      <c r="FK157" s="59">
        <f t="shared" si="156"/>
        <v>0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0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197.78572767493569</v>
      </c>
      <c r="T158" s="59">
        <f t="shared" si="142"/>
        <v>288.66487031729008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266.99999999999983</v>
      </c>
      <c r="AJ158" s="13">
        <f>AI158*VLOOKUP('Données projet'!$B$10,Paramètres!$A$1:$I$89,3,0)*VLOOKUP('Données projet'!$B$10,Paramètres!$A$1:$I$89,5,0)</f>
        <v>212.42519999999985</v>
      </c>
      <c r="AK158" s="13">
        <f t="shared" si="164"/>
        <v>52.465198231787184</v>
      </c>
      <c r="AL158" s="20">
        <f t="shared" si="165"/>
        <v>461.35077692036231</v>
      </c>
      <c r="AM158" s="59">
        <f t="shared" si="113"/>
        <v>754.68411025369562</v>
      </c>
      <c r="AN158" s="59">
        <f ca="1">AVERAGE(OFFSET($AM$3,0,0,'Données projet'!$E$10+1,1))-AVERAGE(OFFSET($H$3,0,0,'Données projet'!$E$10+1,1))</f>
        <v>219.43439115440339</v>
      </c>
      <c r="AO158" s="59">
        <f t="shared" si="144"/>
        <v>217.8880462742099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6.5192454352993785</v>
      </c>
      <c r="AV158" s="21">
        <f>EXP(-LN(2)/25)*AV157+(1-EXP(-LN(2)/25))/(LN(2)/25)*Calculateur!AQ158*Calculateur!AS158*VLOOKUP('Données projet'!$B$10,Paramètres!$A$1:$I$89,3,0)*0.475*44/12</f>
        <v>1.0411150268566585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7.5603604621560372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190.99999999999997</v>
      </c>
      <c r="BE158" s="13">
        <f>BD158*VLOOKUP('Données projet'!$B$11,Paramètres!$A$1:$I$89,3,0)*VLOOKUP('Données projet'!$B$11,Paramètres!$A$1:$I$89,5,0)</f>
        <v>166.85759999999999</v>
      </c>
      <c r="BF158" s="13">
        <f t="shared" si="167"/>
        <v>42.385468111966098</v>
      </c>
      <c r="BG158" s="20">
        <f t="shared" si="168"/>
        <v>364.43167696167421</v>
      </c>
      <c r="BH158" s="59">
        <f t="shared" si="116"/>
        <v>657.76501029500753</v>
      </c>
      <c r="BI158" s="59">
        <f ca="1">AVERAGE(OFFSET($BH$3,0,0,'Données projet'!$E$11+1,1))-AVERAGE(OFFSET($H$3,0,0,'Données projet'!$E$11+1,1))</f>
        <v>175.73188403662408</v>
      </c>
      <c r="BJ158" s="59">
        <f t="shared" si="146"/>
        <v>152.02195399869032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3.2054176265693641</v>
      </c>
      <c r="BQ158" s="21">
        <f>EXP(-LN(2)/25)*BQ157+(1-EXP(-LN(2)/25))/(LN(2)/25)*Calculateur!BL158*Calculateur!BN158*VLOOKUP('Données projet'!$B$11,Paramètres!$A$1:$I$89,3,0)*0.475*44/12</f>
        <v>2.3780903089753767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5.5835079355447412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1.8717948717948829</v>
      </c>
      <c r="BY158" s="12">
        <f>IF('Données projet'!$A$114&gt;35,BY157+BX158-CG157,IF(A158&lt;'Données projet'!$A$114,$BV$205^A158,IF(A158='Données projet'!$A$114,'Données projet'!$B$114,BY157+BX158-CG157)))</f>
        <v>128.68589743589692</v>
      </c>
      <c r="BZ158" s="13">
        <f>BY158*VLOOKUP('Données projet'!$B$12,Paramètres!$A$1:$I$89,3,0)*VLOOKUP('Données projet'!$B$12,Paramètres!$A$1:$I$89,5,0)</f>
        <v>116.43499999999953</v>
      </c>
      <c r="CA158" s="13">
        <f t="shared" si="170"/>
        <v>30.842067793939304</v>
      </c>
      <c r="CB158" s="20">
        <f t="shared" si="171"/>
        <v>256.50755974111013</v>
      </c>
      <c r="CC158" s="59">
        <f t="shared" si="119"/>
        <v>549.84089307444344</v>
      </c>
      <c r="CD158" s="59">
        <f ca="1">AVERAGE(OFFSET($CC$3,0,0,'Données projet'!$E$12+1,1))-AVERAGE(OFFSET($H$3,0,0,'Données projet'!$E$12+1,1))</f>
        <v>213.54857791046686</v>
      </c>
      <c r="CE158" s="59">
        <f t="shared" si="148"/>
        <v>138.46877538074244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101.83591482658312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101.83591482658312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213</v>
      </c>
      <c r="CU158" s="17">
        <f>CT158*VLOOKUP('Données projet'!$B$13,Paramètres!$A$1:$I$89,3,0)*VLOOKUP('Données projet'!$B$13,Paramètres!$A$1:$I$89,5,0)</f>
        <v>169.46279999999999</v>
      </c>
      <c r="CV158" s="13">
        <f t="shared" si="173"/>
        <v>42.969686502194378</v>
      </c>
      <c r="CW158" s="20">
        <f t="shared" si="174"/>
        <v>369.9865806579885</v>
      </c>
      <c r="CX158" s="59">
        <f t="shared" si="122"/>
        <v>663.31991399132176</v>
      </c>
      <c r="CY158" s="59">
        <f ca="1">AVERAGE(OFFSET($CX$3,0,0,'Données projet'!$E$13+1,1))-AVERAGE(OFFSET($H$3,0,0,'Données projet'!$E$13+1,1))</f>
        <v>161.87883827031436</v>
      </c>
      <c r="CZ158" s="59">
        <f t="shared" si="150"/>
        <v>163.02076389611869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2.5541195946942432</v>
      </c>
      <c r="DG158" s="21">
        <f>EXP(-LN(2)/25)*DG157+(1-EXP(-LN(2)/25))/(LN(2)/25)*Calculateur!DB158*Calculateur!DD158*VLOOKUP('Données projet'!$B$13,Paramètres!$A$1:$I$89,3,0)*0.475*44/12</f>
        <v>1.0922284937497178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3.6463480884439612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149.0000000000002</v>
      </c>
      <c r="DP158" s="17">
        <f>DO158*VLOOKUP('Données projet'!$B$14,Paramètres!$A$1:$I$89,3,0)*VLOOKUP('Données projet'!$B$14,Paramètres!$A$1:$I$89,5,0)</f>
        <v>120.86880000000016</v>
      </c>
      <c r="DQ158" s="13">
        <f t="shared" si="176"/>
        <v>31.877547472771326</v>
      </c>
      <c r="DR158" s="20">
        <f t="shared" si="177"/>
        <v>266.03322184841039</v>
      </c>
      <c r="DS158" s="59">
        <f t="shared" si="125"/>
        <v>559.36655518174371</v>
      </c>
      <c r="DT158" s="59">
        <f ca="1">AVERAGE(OFFSET($DS$3,0,0,'Données projet'!$E$14+1,1))-AVERAGE(OFFSET($H$3,0,0,'Données projet'!$E$14+1,1))</f>
        <v>96.611230241682733</v>
      </c>
      <c r="DU158" s="59">
        <f t="shared" si="152"/>
        <v>78.711045514042041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0.4936689011552195</v>
      </c>
      <c r="EB158" s="21">
        <f>EXP(-LN(2)/25)*EB157+(1-EXP(-LN(2)/25))/(LN(2)/25)*Calculateur!DW158*Calculateur!DY158*VLOOKUP('Données projet'!$B$14,Paramètres!$A$1:$I$89,3,0)*0.475*44/12</f>
        <v>1.0348717783591344</v>
      </c>
      <c r="EC158" s="21">
        <f>EXP(-LN(2)/2)*EC157+(1-EXP(-LN(2)/2))/(LN(2)/2)*DW158*DZ158*VLOOKUP('Données projet'!$B$14,Paramètres!$A$1:$I$89,3,0)*0.475*44/12</f>
        <v>2.2353640491864089E-10</v>
      </c>
      <c r="ED158" s="22">
        <f t="shared" si="178"/>
        <v>1.5285406797378902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188.61152573050066</v>
      </c>
      <c r="EP158" s="59">
        <f t="shared" si="154"/>
        <v>172.37050503841624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30.913021635689532</v>
      </c>
      <c r="EW158" s="21">
        <f>EXP(-LN(2)/25)*EW157+(1-EXP(-LN(2)/25))/(LN(2)/25)*Calculateur!ER158*Calculateur!ET158*VLOOKUP('Données projet'!$B$15,Paramètres!$A$1:$I$89,3,0)*0.475*44/12</f>
        <v>4.151955613104942</v>
      </c>
      <c r="EX158" s="21">
        <f>EXP(-LN(2)/2)*EX157+(1-EXP(-LN(2)/2))/(LN(2)/2)*ER158*EU158*VLOOKUP('Données projet'!$B$15,Paramètres!$A$1:$I$89,3,0)*0.475*44/12</f>
        <v>5.0637433691183604E-12</v>
      </c>
      <c r="EY158" s="22">
        <f t="shared" si="181"/>
        <v>35.064977248799543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0</v>
      </c>
      <c r="FK158" s="59">
        <f t="shared" si="156"/>
        <v>0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0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197.78572767493569</v>
      </c>
      <c r="T159" s="59">
        <f t="shared" si="142"/>
        <v>288.66487031729008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266.99999999999983</v>
      </c>
      <c r="AJ159" s="13">
        <f>AI159*VLOOKUP('Données projet'!$B$10,Paramètres!$A$1:$I$89,3,0)*VLOOKUP('Données projet'!$B$10,Paramètres!$A$1:$I$89,5,0)</f>
        <v>212.42519999999985</v>
      </c>
      <c r="AK159" s="13">
        <f t="shared" si="164"/>
        <v>52.465198231787184</v>
      </c>
      <c r="AL159" s="20">
        <f t="shared" si="165"/>
        <v>461.35077692036231</v>
      </c>
      <c r="AM159" s="59">
        <f t="shared" si="113"/>
        <v>754.68411025369562</v>
      </c>
      <c r="AN159" s="59">
        <f ca="1">AVERAGE(OFFSET($AM$3,0,0,'Données projet'!$E$10+1,1))-AVERAGE(OFFSET($H$3,0,0,'Données projet'!$E$10+1,1))</f>
        <v>219.43439115440339</v>
      </c>
      <c r="AO159" s="59">
        <f t="shared" si="144"/>
        <v>217.8880462742099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6.3914070086602415</v>
      </c>
      <c r="AV159" s="21">
        <f>EXP(-LN(2)/25)*AV158+(1-EXP(-LN(2)/25))/(LN(2)/25)*Calculateur!AQ159*Calculateur!AS159*VLOOKUP('Données projet'!$B$10,Paramètres!$A$1:$I$89,3,0)*0.475*44/12</f>
        <v>1.0126456816974034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7.4040526903576449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190.99999999999997</v>
      </c>
      <c r="BE159" s="13">
        <f>BD159*VLOOKUP('Données projet'!$B$11,Paramètres!$A$1:$I$89,3,0)*VLOOKUP('Données projet'!$B$11,Paramètres!$A$1:$I$89,5,0)</f>
        <v>166.85759999999999</v>
      </c>
      <c r="BF159" s="13">
        <f t="shared" si="167"/>
        <v>42.385468111966098</v>
      </c>
      <c r="BG159" s="20">
        <f t="shared" si="168"/>
        <v>364.43167696167421</v>
      </c>
      <c r="BH159" s="59">
        <f t="shared" si="116"/>
        <v>657.76501029500753</v>
      </c>
      <c r="BI159" s="59">
        <f ca="1">AVERAGE(OFFSET($BH$3,0,0,'Données projet'!$E$11+1,1))-AVERAGE(OFFSET($H$3,0,0,'Données projet'!$E$11+1,1))</f>
        <v>175.73188403662408</v>
      </c>
      <c r="BJ159" s="59">
        <f t="shared" si="146"/>
        <v>152.02195399869032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3.1425613420240399</v>
      </c>
      <c r="BQ159" s="21">
        <f>EXP(-LN(2)/25)*BQ158+(1-EXP(-LN(2)/25))/(LN(2)/25)*Calculateur!BL159*Calculateur!BN159*VLOOKUP('Données projet'!$B$11,Paramètres!$A$1:$I$89,3,0)*0.475*44/12</f>
        <v>2.313061304418111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5.4556226464421513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1.8717948717948829</v>
      </c>
      <c r="BY159" s="12">
        <f>IF('Données projet'!$A$114&gt;35,BY158+BX159-CG158,IF(A159&lt;'Données projet'!$A$114,$BV$205^A159,IF(A159='Données projet'!$A$114,'Données projet'!$B$114,BY158+BX159-CG158)))</f>
        <v>130.55769230769181</v>
      </c>
      <c r="BZ159" s="13">
        <f>BY159*VLOOKUP('Données projet'!$B$12,Paramètres!$A$1:$I$89,3,0)*VLOOKUP('Données projet'!$B$12,Paramètres!$A$1:$I$89,5,0)</f>
        <v>118.12859999999955</v>
      </c>
      <c r="CA159" s="13">
        <f t="shared" si="170"/>
        <v>31.238127501943364</v>
      </c>
      <c r="CB159" s="20">
        <f t="shared" si="171"/>
        <v>260.14705039921722</v>
      </c>
      <c r="CC159" s="59">
        <f t="shared" si="119"/>
        <v>553.48038373255054</v>
      </c>
      <c r="CD159" s="59">
        <f ca="1">AVERAGE(OFFSET($CC$3,0,0,'Données projet'!$E$12+1,1))-AVERAGE(OFFSET($H$3,0,0,'Données projet'!$E$12+1,1))</f>
        <v>213.54857791046686</v>
      </c>
      <c r="CE159" s="59">
        <f t="shared" si="148"/>
        <v>138.46877538074244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99.838974650608648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99.838974650608648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213</v>
      </c>
      <c r="CU159" s="17">
        <f>CT159*VLOOKUP('Données projet'!$B$13,Paramètres!$A$1:$I$89,3,0)*VLOOKUP('Données projet'!$B$13,Paramètres!$A$1:$I$89,5,0)</f>
        <v>169.46279999999999</v>
      </c>
      <c r="CV159" s="13">
        <f t="shared" si="173"/>
        <v>42.969686502194378</v>
      </c>
      <c r="CW159" s="20">
        <f t="shared" si="174"/>
        <v>369.9865806579885</v>
      </c>
      <c r="CX159" s="59">
        <f t="shared" si="122"/>
        <v>663.31991399132176</v>
      </c>
      <c r="CY159" s="59">
        <f ca="1">AVERAGE(OFFSET($CX$3,0,0,'Données projet'!$E$13+1,1))-AVERAGE(OFFSET($H$3,0,0,'Données projet'!$E$13+1,1))</f>
        <v>161.87883827031436</v>
      </c>
      <c r="CZ159" s="59">
        <f t="shared" si="150"/>
        <v>163.02076389611869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2.5040348673014159</v>
      </c>
      <c r="DG159" s="21">
        <f>EXP(-LN(2)/25)*DG158+(1-EXP(-LN(2)/25))/(LN(2)/25)*Calculateur!DB159*Calculateur!DD159*VLOOKUP('Données projet'!$B$13,Paramètres!$A$1:$I$89,3,0)*0.475*44/12</f>
        <v>1.0623614481503316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3.5663963154517475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149.0000000000002</v>
      </c>
      <c r="DP159" s="17">
        <f>DO159*VLOOKUP('Données projet'!$B$14,Paramètres!$A$1:$I$89,3,0)*VLOOKUP('Données projet'!$B$14,Paramètres!$A$1:$I$89,5,0)</f>
        <v>120.86880000000016</v>
      </c>
      <c r="DQ159" s="13">
        <f t="shared" si="176"/>
        <v>31.877547472771326</v>
      </c>
      <c r="DR159" s="20">
        <f t="shared" si="177"/>
        <v>266.03322184841039</v>
      </c>
      <c r="DS159" s="59">
        <f t="shared" si="125"/>
        <v>559.36655518174371</v>
      </c>
      <c r="DT159" s="59">
        <f ca="1">AVERAGE(OFFSET($DS$3,0,0,'Données projet'!$E$14+1,1))-AVERAGE(OFFSET($H$3,0,0,'Données projet'!$E$14+1,1))</f>
        <v>96.611230241682733</v>
      </c>
      <c r="DU159" s="59">
        <f t="shared" si="152"/>
        <v>78.711045514042041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0.48398835511186339</v>
      </c>
      <c r="EB159" s="21">
        <f>EXP(-LN(2)/25)*EB158+(1-EXP(-LN(2)/25))/(LN(2)/25)*Calculateur!DW159*Calculateur!DY159*VLOOKUP('Données projet'!$B$14,Paramètres!$A$1:$I$89,3,0)*0.475*44/12</f>
        <v>1.0065731551583623</v>
      </c>
      <c r="EC159" s="21">
        <f>EXP(-LN(2)/2)*EC158+(1-EXP(-LN(2)/2))/(LN(2)/2)*DW159*DZ159*VLOOKUP('Données projet'!$B$14,Paramètres!$A$1:$I$89,3,0)*0.475*44/12</f>
        <v>1.580641077600329E-10</v>
      </c>
      <c r="ED159" s="22">
        <f t="shared" si="178"/>
        <v>1.4905615104282897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188.61152573050066</v>
      </c>
      <c r="EP159" s="59">
        <f t="shared" si="154"/>
        <v>172.37050503841624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30.306836136495072</v>
      </c>
      <c r="EW159" s="21">
        <f>EXP(-LN(2)/25)*EW158+(1-EXP(-LN(2)/25))/(LN(2)/25)*Calculateur!ER159*Calculateur!ET159*VLOOKUP('Données projet'!$B$15,Paramètres!$A$1:$I$89,3,0)*0.475*44/12</f>
        <v>4.0384201685227312</v>
      </c>
      <c r="EX159" s="21">
        <f>EXP(-LN(2)/2)*EX158+(1-EXP(-LN(2)/2))/(LN(2)/2)*ER159*EU159*VLOOKUP('Données projet'!$B$15,Paramètres!$A$1:$I$89,3,0)*0.475*44/12</f>
        <v>3.5806072744920078E-12</v>
      </c>
      <c r="EY159" s="22">
        <f t="shared" si="181"/>
        <v>34.345256305021387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0</v>
      </c>
      <c r="FK159" s="59">
        <f t="shared" si="156"/>
        <v>0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0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197.78572767493569</v>
      </c>
      <c r="T160" s="59">
        <f t="shared" si="142"/>
        <v>288.66487031729008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266.99999999999983</v>
      </c>
      <c r="AJ160" s="13">
        <f>AI160*VLOOKUP('Données projet'!$B$10,Paramètres!$A$1:$I$89,3,0)*VLOOKUP('Données projet'!$B$10,Paramètres!$A$1:$I$89,5,0)</f>
        <v>212.42519999999985</v>
      </c>
      <c r="AK160" s="13">
        <f t="shared" si="164"/>
        <v>52.465198231787184</v>
      </c>
      <c r="AL160" s="20">
        <f t="shared" si="165"/>
        <v>461.35077692036231</v>
      </c>
      <c r="AM160" s="59">
        <f t="shared" si="113"/>
        <v>754.68411025369562</v>
      </c>
      <c r="AN160" s="59">
        <f ca="1">AVERAGE(OFFSET($AM$3,0,0,'Données projet'!$E$10+1,1))-AVERAGE(OFFSET($H$3,0,0,'Données projet'!$E$10+1,1))</f>
        <v>219.43439115440339</v>
      </c>
      <c r="AO160" s="59">
        <f t="shared" si="144"/>
        <v>217.8880462742099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6.2660754155937575</v>
      </c>
      <c r="AV160" s="21">
        <f>EXP(-LN(2)/25)*AV159+(1-EXP(-LN(2)/25))/(LN(2)/25)*Calculateur!AQ160*Calculateur!AS160*VLOOKUP('Données projet'!$B$10,Paramètres!$A$1:$I$89,3,0)*0.475*44/12</f>
        <v>0.98495483227866598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7.2510302478724231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190.99999999999997</v>
      </c>
      <c r="BE160" s="13">
        <f>BD160*VLOOKUP('Données projet'!$B$11,Paramètres!$A$1:$I$89,3,0)*VLOOKUP('Données projet'!$B$11,Paramètres!$A$1:$I$89,5,0)</f>
        <v>166.85759999999999</v>
      </c>
      <c r="BF160" s="13">
        <f t="shared" si="167"/>
        <v>42.385468111966098</v>
      </c>
      <c r="BG160" s="20">
        <f t="shared" si="168"/>
        <v>364.43167696167421</v>
      </c>
      <c r="BH160" s="59">
        <f t="shared" si="116"/>
        <v>657.76501029500753</v>
      </c>
      <c r="BI160" s="59">
        <f ca="1">AVERAGE(OFFSET($BH$3,0,0,'Données projet'!$E$11+1,1))-AVERAGE(OFFSET($H$3,0,0,'Données projet'!$E$11+1,1))</f>
        <v>175.73188403662408</v>
      </c>
      <c r="BJ160" s="59">
        <f t="shared" si="146"/>
        <v>152.02195399869032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3.0809376308801015</v>
      </c>
      <c r="BQ160" s="21">
        <f>EXP(-LN(2)/25)*BQ159+(1-EXP(-LN(2)/25))/(LN(2)/25)*Calculateur!BL160*Calculateur!BN160*VLOOKUP('Données projet'!$B$11,Paramètres!$A$1:$I$89,3,0)*0.475*44/12</f>
        <v>2.2498105214101902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5.3307481522902922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132.42948717948718</v>
      </c>
      <c r="BW160" s="12">
        <f>VLOOKUP(A160,'Données projet'!$A$113:$I$133,9,0)</f>
        <v>1.8717948717948829</v>
      </c>
      <c r="BX160" s="12">
        <f t="array" ref="BX160">INDEX(BW:BW,MIN(IF(ISNUMBER(BW160:BW356),ROW(BW160:BW356),"")))</f>
        <v>1.8717948717948829</v>
      </c>
      <c r="BY160" s="12">
        <f>IF('Données projet'!$A$114&gt;35,BY159+BX160-CG159,IF(A160&lt;'Données projet'!$A$114,$BV$205^A160,IF(A160='Données projet'!$A$114,'Données projet'!$B$114,BY159+BX160-CG159)))</f>
        <v>132.4294871794867</v>
      </c>
      <c r="BZ160" s="13">
        <f>BY160*VLOOKUP('Données projet'!$B$12,Paramètres!$A$1:$I$89,3,0)*VLOOKUP('Données projet'!$B$12,Paramètres!$A$1:$I$89,5,0)</f>
        <v>119.82219999999955</v>
      </c>
      <c r="CA160" s="13">
        <f t="shared" si="170"/>
        <v>31.633526785966875</v>
      </c>
      <c r="CB160" s="20">
        <f t="shared" si="171"/>
        <v>263.78539081889153</v>
      </c>
      <c r="CC160" s="59">
        <f t="shared" si="119"/>
        <v>557.11872415222479</v>
      </c>
      <c r="CD160" s="59">
        <f ca="1">AVERAGE(OFFSET($CC$3,0,0,'Données projet'!$E$12+1,1))-AVERAGE(OFFSET($H$3,0,0,'Données projet'!$E$12+1,1))</f>
        <v>213.54857791046686</v>
      </c>
      <c r="CE160" s="59">
        <f t="shared" si="148"/>
        <v>138.46877538074244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45.71153846153846</v>
      </c>
      <c r="CH160" s="16">
        <f>IF(ISNA(VLOOKUP(A160,'Données projet'!$A$113:$I$133,5,0)),0%,VLOOKUP(A160,'Données projet'!$A$113:$I$133,5,0)*VLOOKUP('Données projet'!$B$12,Paramètres!$A$1:$I$89,7,0))</f>
        <v>0.38700000000000001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115.57562033539027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115.57562033539027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213</v>
      </c>
      <c r="CU160" s="17">
        <f>CT160*VLOOKUP('Données projet'!$B$13,Paramètres!$A$1:$I$89,3,0)*VLOOKUP('Données projet'!$B$13,Paramètres!$A$1:$I$89,5,0)</f>
        <v>169.46279999999999</v>
      </c>
      <c r="CV160" s="13">
        <f t="shared" si="173"/>
        <v>42.969686502194378</v>
      </c>
      <c r="CW160" s="20">
        <f t="shared" si="174"/>
        <v>369.9865806579885</v>
      </c>
      <c r="CX160" s="59">
        <f t="shared" si="122"/>
        <v>663.31991399132176</v>
      </c>
      <c r="CY160" s="59">
        <f ca="1">AVERAGE(OFFSET($CX$3,0,0,'Données projet'!$E$13+1,1))-AVERAGE(OFFSET($H$3,0,0,'Données projet'!$E$13+1,1))</f>
        <v>161.87883827031436</v>
      </c>
      <c r="CZ160" s="59">
        <f t="shared" si="150"/>
        <v>163.02076389611869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2.4549322708640946</v>
      </c>
      <c r="DG160" s="21">
        <f>EXP(-LN(2)/25)*DG159+(1-EXP(-LN(2)/25))/(LN(2)/25)*Calculateur!DB160*Calculateur!DD160*VLOOKUP('Données projet'!$B$13,Paramètres!$A$1:$I$89,3,0)*0.475*44/12</f>
        <v>1.0333111184835002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3.4882433893475948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149.0000000000002</v>
      </c>
      <c r="DP160" s="17">
        <f>DO160*VLOOKUP('Données projet'!$B$14,Paramètres!$A$1:$I$89,3,0)*VLOOKUP('Données projet'!$B$14,Paramètres!$A$1:$I$89,5,0)</f>
        <v>120.86880000000016</v>
      </c>
      <c r="DQ160" s="13">
        <f t="shared" si="176"/>
        <v>31.877547472771326</v>
      </c>
      <c r="DR160" s="20">
        <f t="shared" si="177"/>
        <v>266.03322184841039</v>
      </c>
      <c r="DS160" s="59">
        <f t="shared" si="125"/>
        <v>559.36655518174371</v>
      </c>
      <c r="DT160" s="59">
        <f ca="1">AVERAGE(OFFSET($DS$3,0,0,'Données projet'!$E$14+1,1))-AVERAGE(OFFSET($H$3,0,0,'Données projet'!$E$14+1,1))</f>
        <v>96.611230241682733</v>
      </c>
      <c r="DU160" s="59">
        <f t="shared" si="152"/>
        <v>78.711045514042041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0.47449763867186739</v>
      </c>
      <c r="EB160" s="21">
        <f>EXP(-LN(2)/25)*EB159+(1-EXP(-LN(2)/25))/(LN(2)/25)*Calculateur!DW160*Calculateur!DY160*VLOOKUP('Données projet'!$B$14,Paramètres!$A$1:$I$89,3,0)*0.475*44/12</f>
        <v>0.97904835929717526</v>
      </c>
      <c r="EC160" s="21">
        <f>EXP(-LN(2)/2)*EC159+(1-EXP(-LN(2)/2))/(LN(2)/2)*DW160*DZ160*VLOOKUP('Données projet'!$B$14,Paramètres!$A$1:$I$89,3,0)*0.475*44/12</f>
        <v>1.1176820245932046E-10</v>
      </c>
      <c r="ED160" s="22">
        <f t="shared" si="178"/>
        <v>1.4535459980808108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188.61152573050066</v>
      </c>
      <c r="EP160" s="59">
        <f t="shared" si="154"/>
        <v>172.37050503841624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29.712537565203171</v>
      </c>
      <c r="EW160" s="21">
        <f>EXP(-LN(2)/25)*EW159+(1-EXP(-LN(2)/25))/(LN(2)/25)*Calculateur!ER160*Calculateur!ET160*VLOOKUP('Données projet'!$B$15,Paramètres!$A$1:$I$89,3,0)*0.475*44/12</f>
        <v>3.9279893566431903</v>
      </c>
      <c r="EX160" s="21">
        <f>EXP(-LN(2)/2)*EX159+(1-EXP(-LN(2)/2))/(LN(2)/2)*ER160*EU160*VLOOKUP('Données projet'!$B$15,Paramètres!$A$1:$I$89,3,0)*0.475*44/12</f>
        <v>2.5318716845591806E-12</v>
      </c>
      <c r="EY160" s="22">
        <f t="shared" si="181"/>
        <v>33.640526921848888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0</v>
      </c>
      <c r="FK160" s="59">
        <f t="shared" si="156"/>
        <v>0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0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197.78572767493569</v>
      </c>
      <c r="T161" s="59">
        <f t="shared" si="142"/>
        <v>288.66487031729008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266.99999999999983</v>
      </c>
      <c r="AJ161" s="13">
        <f>AI161*VLOOKUP('Données projet'!$B$10,Paramètres!$A$1:$I$89,3,0)*VLOOKUP('Données projet'!$B$10,Paramètres!$A$1:$I$89,5,0)</f>
        <v>212.42519999999985</v>
      </c>
      <c r="AK161" s="13">
        <f t="shared" si="164"/>
        <v>52.465198231787184</v>
      </c>
      <c r="AL161" s="20">
        <f t="shared" si="165"/>
        <v>461.35077692036231</v>
      </c>
      <c r="AM161" s="59">
        <f t="shared" si="113"/>
        <v>754.68411025369562</v>
      </c>
      <c r="AN161" s="59">
        <f ca="1">AVERAGE(OFFSET($AM$3,0,0,'Données projet'!$E$10+1,1))-AVERAGE(OFFSET($H$3,0,0,'Données projet'!$E$10+1,1))</f>
        <v>219.43439115440339</v>
      </c>
      <c r="AO161" s="59">
        <f t="shared" si="144"/>
        <v>217.8880462742099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6.1432014986225836</v>
      </c>
      <c r="AV161" s="21">
        <f>EXP(-LN(2)/25)*AV160+(1-EXP(-LN(2)/25))/(LN(2)/25)*Calculateur!AQ161*Calculateur!AS161*VLOOKUP('Données projet'!$B$10,Paramètres!$A$1:$I$89,3,0)*0.475*44/12</f>
        <v>0.95802119059348234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7.1012226892160655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190.99999999999997</v>
      </c>
      <c r="BE161" s="13">
        <f>BD161*VLOOKUP('Données projet'!$B$11,Paramètres!$A$1:$I$89,3,0)*VLOOKUP('Données projet'!$B$11,Paramètres!$A$1:$I$89,5,0)</f>
        <v>166.85759999999999</v>
      </c>
      <c r="BF161" s="13">
        <f t="shared" si="167"/>
        <v>42.385468111966098</v>
      </c>
      <c r="BG161" s="20">
        <f t="shared" si="168"/>
        <v>364.43167696167421</v>
      </c>
      <c r="BH161" s="59">
        <f t="shared" si="116"/>
        <v>657.76501029500753</v>
      </c>
      <c r="BI161" s="59">
        <f ca="1">AVERAGE(OFFSET($BH$3,0,0,'Données projet'!$E$11+1,1))-AVERAGE(OFFSET($H$3,0,0,'Données projet'!$E$11+1,1))</f>
        <v>175.73188403662408</v>
      </c>
      <c r="BJ161" s="59">
        <f t="shared" si="146"/>
        <v>152.02195399869032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3.0205223231249434</v>
      </c>
      <c r="BQ161" s="21">
        <f>EXP(-LN(2)/25)*BQ160+(1-EXP(-LN(2)/25))/(LN(2)/25)*Calculateur!BL161*Calculateur!BN161*VLOOKUP('Données projet'!$B$11,Paramètres!$A$1:$I$89,3,0)*0.475*44/12</f>
        <v>2.1882893343898351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5.2088116575147785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1.1618589743589709</v>
      </c>
      <c r="BY161" s="12">
        <f>IF('Données projet'!$A$114&gt;35,BY160+BX161-CG160,IF(A161&lt;'Données projet'!$A$114,$BV$205^A161,IF(A161='Données projet'!$A$114,'Données projet'!$B$114,BY160+BX161-CG160)))</f>
        <v>87.879807692307224</v>
      </c>
      <c r="BZ161" s="13">
        <f>BY161*VLOOKUP('Données projet'!$B$12,Paramètres!$A$1:$I$89,3,0)*VLOOKUP('Données projet'!$B$12,Paramètres!$A$1:$I$89,5,0)</f>
        <v>79.513649999999572</v>
      </c>
      <c r="CA161" s="13">
        <f t="shared" si="170"/>
        <v>22.018226855281608</v>
      </c>
      <c r="CB161" s="20">
        <f t="shared" si="171"/>
        <v>176.83468552294804</v>
      </c>
      <c r="CC161" s="59">
        <f t="shared" si="119"/>
        <v>470.16801885628138</v>
      </c>
      <c r="CD161" s="59">
        <f ca="1">AVERAGE(OFFSET($CC$3,0,0,'Données projet'!$E$12+1,1))-AVERAGE(OFFSET($H$3,0,0,'Données projet'!$E$12+1,1))</f>
        <v>213.54857791046686</v>
      </c>
      <c r="CE161" s="59">
        <f t="shared" si="148"/>
        <v>138.46877538074244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113.30925291478096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113.30925291478096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213</v>
      </c>
      <c r="CU161" s="17">
        <f>CT161*VLOOKUP('Données projet'!$B$13,Paramètres!$A$1:$I$89,3,0)*VLOOKUP('Données projet'!$B$13,Paramètres!$A$1:$I$89,5,0)</f>
        <v>169.46279999999999</v>
      </c>
      <c r="CV161" s="13">
        <f t="shared" si="173"/>
        <v>42.969686502194378</v>
      </c>
      <c r="CW161" s="20">
        <f t="shared" si="174"/>
        <v>369.9865806579885</v>
      </c>
      <c r="CX161" s="59">
        <f t="shared" si="122"/>
        <v>663.31991399132176</v>
      </c>
      <c r="CY161" s="59">
        <f ca="1">AVERAGE(OFFSET($CX$3,0,0,'Données projet'!$E$13+1,1))-AVERAGE(OFFSET($H$3,0,0,'Données projet'!$E$13+1,1))</f>
        <v>161.87883827031436</v>
      </c>
      <c r="CZ161" s="59">
        <f t="shared" si="150"/>
        <v>163.02076389611869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2.4067925463932829</v>
      </c>
      <c r="DG161" s="21">
        <f>EXP(-LN(2)/25)*DG160+(1-EXP(-LN(2)/25))/(LN(2)/25)*Calculateur!DB161*Calculateur!DD161*VLOOKUP('Données projet'!$B$13,Paramètres!$A$1:$I$89,3,0)*0.475*44/12</f>
        <v>1.0050551716090987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3.4118477180023818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149.0000000000002</v>
      </c>
      <c r="DP161" s="17">
        <f>DO161*VLOOKUP('Données projet'!$B$14,Paramètres!$A$1:$I$89,3,0)*VLOOKUP('Données projet'!$B$14,Paramètres!$A$1:$I$89,5,0)</f>
        <v>120.86880000000016</v>
      </c>
      <c r="DQ161" s="13">
        <f t="shared" si="176"/>
        <v>31.877547472771326</v>
      </c>
      <c r="DR161" s="20">
        <f t="shared" si="177"/>
        <v>266.03322184841039</v>
      </c>
      <c r="DS161" s="59">
        <f t="shared" si="125"/>
        <v>559.36655518174371</v>
      </c>
      <c r="DT161" s="59">
        <f ca="1">AVERAGE(OFFSET($DS$3,0,0,'Données projet'!$E$14+1,1))-AVERAGE(OFFSET($H$3,0,0,'Données projet'!$E$14+1,1))</f>
        <v>96.611230241682733</v>
      </c>
      <c r="DU161" s="59">
        <f t="shared" si="152"/>
        <v>78.711045514042041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0.46519302939249429</v>
      </c>
      <c r="EB161" s="21">
        <f>EXP(-LN(2)/25)*EB160+(1-EXP(-LN(2)/25))/(LN(2)/25)*Calculateur!DW161*Calculateur!DY161*VLOOKUP('Données projet'!$B$14,Paramètres!$A$1:$I$89,3,0)*0.475*44/12</f>
        <v>0.9522762304262784</v>
      </c>
      <c r="EC161" s="21">
        <f>EXP(-LN(2)/2)*EC160+(1-EXP(-LN(2)/2))/(LN(2)/2)*DW161*DZ161*VLOOKUP('Données projet'!$B$14,Paramètres!$A$1:$I$89,3,0)*0.475*44/12</f>
        <v>7.9032053880016464E-11</v>
      </c>
      <c r="ED161" s="22">
        <f t="shared" si="178"/>
        <v>1.4174692598978049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188.61152573050066</v>
      </c>
      <c r="EP161" s="59">
        <f t="shared" si="154"/>
        <v>172.37050503841624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29.129892826407968</v>
      </c>
      <c r="EW161" s="21">
        <f>EXP(-LN(2)/25)*EW160+(1-EXP(-LN(2)/25))/(LN(2)/25)*Calculateur!ER161*Calculateur!ET161*VLOOKUP('Données projet'!$B$15,Paramètres!$A$1:$I$89,3,0)*0.475*44/12</f>
        <v>3.8205782811217994</v>
      </c>
      <c r="EX161" s="21">
        <f>EXP(-LN(2)/2)*EX160+(1-EXP(-LN(2)/2))/(LN(2)/2)*ER161*EU161*VLOOKUP('Données projet'!$B$15,Paramètres!$A$1:$I$89,3,0)*0.475*44/12</f>
        <v>1.7903036372460041E-12</v>
      </c>
      <c r="EY161" s="22">
        <f t="shared" si="181"/>
        <v>32.950471107531556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0</v>
      </c>
      <c r="FK161" s="59">
        <f t="shared" si="156"/>
        <v>0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0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197.78572767493569</v>
      </c>
      <c r="T162" s="59">
        <f t="shared" si="142"/>
        <v>288.66487031729008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266.99999999999983</v>
      </c>
      <c r="AJ162" s="13">
        <f>AI162*VLOOKUP('Données projet'!$B$10,Paramètres!$A$1:$I$89,3,0)*VLOOKUP('Données projet'!$B$10,Paramètres!$A$1:$I$89,5,0)</f>
        <v>212.42519999999985</v>
      </c>
      <c r="AK162" s="13">
        <f t="shared" si="164"/>
        <v>52.465198231787184</v>
      </c>
      <c r="AL162" s="20">
        <f t="shared" si="165"/>
        <v>461.35077692036231</v>
      </c>
      <c r="AM162" s="59">
        <f t="shared" si="113"/>
        <v>754.68411025369562</v>
      </c>
      <c r="AN162" s="59">
        <f ca="1">AVERAGE(OFFSET($AM$3,0,0,'Données projet'!$E$10+1,1))-AVERAGE(OFFSET($H$3,0,0,'Données projet'!$E$10+1,1))</f>
        <v>219.43439115440339</v>
      </c>
      <c r="AO162" s="59">
        <f t="shared" si="144"/>
        <v>217.8880462742099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6.0227370642175249</v>
      </c>
      <c r="AV162" s="21">
        <f>EXP(-LN(2)/25)*AV161+(1-EXP(-LN(2)/25))/(LN(2)/25)*Calculateur!AQ162*Calculateur!AS162*VLOOKUP('Données projet'!$B$10,Paramètres!$A$1:$I$89,3,0)*0.475*44/12</f>
        <v>0.93182405075655872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6.9545611149740836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190.99999999999997</v>
      </c>
      <c r="BE162" s="13">
        <f>BD162*VLOOKUP('Données projet'!$B$11,Paramètres!$A$1:$I$89,3,0)*VLOOKUP('Données projet'!$B$11,Paramètres!$A$1:$I$89,5,0)</f>
        <v>166.85759999999999</v>
      </c>
      <c r="BF162" s="13">
        <f t="shared" si="167"/>
        <v>42.385468111966098</v>
      </c>
      <c r="BG162" s="20">
        <f t="shared" si="168"/>
        <v>364.43167696167421</v>
      </c>
      <c r="BH162" s="59">
        <f t="shared" si="116"/>
        <v>657.76501029500753</v>
      </c>
      <c r="BI162" s="59">
        <f ca="1">AVERAGE(OFFSET($BH$3,0,0,'Données projet'!$E$11+1,1))-AVERAGE(OFFSET($H$3,0,0,'Données projet'!$E$11+1,1))</f>
        <v>175.73188403662408</v>
      </c>
      <c r="BJ162" s="59">
        <f t="shared" si="146"/>
        <v>152.02195399869032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2.9612917227051647</v>
      </c>
      <c r="BQ162" s="21">
        <f>EXP(-LN(2)/25)*BQ161+(1-EXP(-LN(2)/25))/(LN(2)/25)*Calculateur!BL162*Calculateur!BN162*VLOOKUP('Données projet'!$B$11,Paramètres!$A$1:$I$89,3,0)*0.475*44/12</f>
        <v>2.1284504474638104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5.0897421701689751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1.1618589743589709</v>
      </c>
      <c r="BY162" s="12">
        <f>IF('Données projet'!$A$114&gt;35,BY161+BX162-CG161,IF(A162&lt;'Données projet'!$A$114,$BV$205^A162,IF(A162='Données projet'!$A$114,'Données projet'!$B$114,BY161+BX162-CG161)))</f>
        <v>89.041666666666202</v>
      </c>
      <c r="BZ162" s="13">
        <f>BY162*VLOOKUP('Données projet'!$B$12,Paramètres!$A$1:$I$89,3,0)*VLOOKUP('Données projet'!$B$12,Paramètres!$A$1:$I$89,5,0)</f>
        <v>80.564899999999582</v>
      </c>
      <c r="CA162" s="13">
        <f t="shared" si="170"/>
        <v>22.275248501153126</v>
      </c>
      <c r="CB162" s="20">
        <f t="shared" si="171"/>
        <v>179.11325863950762</v>
      </c>
      <c r="CC162" s="59">
        <f t="shared" si="119"/>
        <v>472.44659197284091</v>
      </c>
      <c r="CD162" s="59">
        <f ca="1">AVERAGE(OFFSET($CC$3,0,0,'Données projet'!$E$12+1,1))-AVERAGE(OFFSET($H$3,0,0,'Données projet'!$E$12+1,1))</f>
        <v>213.54857791046686</v>
      </c>
      <c r="CE162" s="59">
        <f t="shared" si="148"/>
        <v>138.46877538074244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111.08732757694216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111.08732757694216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213</v>
      </c>
      <c r="CU162" s="17">
        <f>CT162*VLOOKUP('Données projet'!$B$13,Paramètres!$A$1:$I$89,3,0)*VLOOKUP('Données projet'!$B$13,Paramètres!$A$1:$I$89,5,0)</f>
        <v>169.46279999999999</v>
      </c>
      <c r="CV162" s="13">
        <f t="shared" si="173"/>
        <v>42.969686502194378</v>
      </c>
      <c r="CW162" s="20">
        <f t="shared" si="174"/>
        <v>369.9865806579885</v>
      </c>
      <c r="CX162" s="59">
        <f t="shared" si="122"/>
        <v>663.31991399132176</v>
      </c>
      <c r="CY162" s="59">
        <f ca="1">AVERAGE(OFFSET($CX$3,0,0,'Données projet'!$E$13+1,1))-AVERAGE(OFFSET($H$3,0,0,'Données projet'!$E$13+1,1))</f>
        <v>161.87883827031436</v>
      </c>
      <c r="CZ162" s="59">
        <f t="shared" si="150"/>
        <v>163.02076389611869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2.3595968125570113</v>
      </c>
      <c r="DG162" s="21">
        <f>EXP(-LN(2)/25)*DG161+(1-EXP(-LN(2)/25))/(LN(2)/25)*Calculateur!DB162*Calculateur!DD162*VLOOKUP('Données projet'!$B$13,Paramètres!$A$1:$I$89,3,0)*0.475*44/12</f>
        <v>0.9775718850878935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3.3371686976449046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149.0000000000002</v>
      </c>
      <c r="DP162" s="17">
        <f>DO162*VLOOKUP('Données projet'!$B$14,Paramètres!$A$1:$I$89,3,0)*VLOOKUP('Données projet'!$B$14,Paramètres!$A$1:$I$89,5,0)</f>
        <v>120.86880000000016</v>
      </c>
      <c r="DQ162" s="13">
        <f t="shared" si="176"/>
        <v>31.877547472771326</v>
      </c>
      <c r="DR162" s="20">
        <f t="shared" si="177"/>
        <v>266.03322184841039</v>
      </c>
      <c r="DS162" s="59">
        <f t="shared" si="125"/>
        <v>559.36655518174371</v>
      </c>
      <c r="DT162" s="59">
        <f ca="1">AVERAGE(OFFSET($DS$3,0,0,'Données projet'!$E$14+1,1))-AVERAGE(OFFSET($H$3,0,0,'Données projet'!$E$14+1,1))</f>
        <v>96.611230241682733</v>
      </c>
      <c r="DU162" s="59">
        <f t="shared" si="152"/>
        <v>78.711045514042041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0.45607087782583844</v>
      </c>
      <c r="EB162" s="21">
        <f>EXP(-LN(2)/25)*EB161+(1-EXP(-LN(2)/25))/(LN(2)/25)*Calculateur!DW162*Calculateur!DY162*VLOOKUP('Données projet'!$B$14,Paramètres!$A$1:$I$89,3,0)*0.475*44/12</f>
        <v>0.92623618682724129</v>
      </c>
      <c r="EC162" s="21">
        <f>EXP(-LN(2)/2)*EC161+(1-EXP(-LN(2)/2))/(LN(2)/2)*DW162*DZ162*VLOOKUP('Données projet'!$B$14,Paramètres!$A$1:$I$89,3,0)*0.475*44/12</f>
        <v>5.5884101229660242E-11</v>
      </c>
      <c r="ED162" s="22">
        <f t="shared" si="178"/>
        <v>1.3823070647089639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188.61152573050066</v>
      </c>
      <c r="EP162" s="59">
        <f t="shared" si="154"/>
        <v>172.37050503841624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28.558673395562337</v>
      </c>
      <c r="EW162" s="21">
        <f>EXP(-LN(2)/25)*EW161+(1-EXP(-LN(2)/25))/(LN(2)/25)*Calculateur!ER162*Calculateur!ET162*VLOOKUP('Données projet'!$B$15,Paramètres!$A$1:$I$89,3,0)*0.475*44/12</f>
        <v>3.7161043671090441</v>
      </c>
      <c r="EX162" s="21">
        <f>EXP(-LN(2)/2)*EX161+(1-EXP(-LN(2)/2))/(LN(2)/2)*ER162*EU162*VLOOKUP('Données projet'!$B$15,Paramètres!$A$1:$I$89,3,0)*0.475*44/12</f>
        <v>1.2659358422795905E-12</v>
      </c>
      <c r="EY162" s="22">
        <f t="shared" si="181"/>
        <v>32.274777762672649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0</v>
      </c>
      <c r="FK162" s="59">
        <f t="shared" si="156"/>
        <v>0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0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197.78572767493569</v>
      </c>
      <c r="T163" s="59">
        <f t="shared" si="142"/>
        <v>288.66487031729008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266.99999999999983</v>
      </c>
      <c r="AJ163" s="13">
        <f>AI163*VLOOKUP('Données projet'!$B$10,Paramètres!$A$1:$I$89,3,0)*VLOOKUP('Données projet'!$B$10,Paramètres!$A$1:$I$89,5,0)</f>
        <v>212.42519999999985</v>
      </c>
      <c r="AK163" s="13">
        <f t="shared" si="164"/>
        <v>52.465198231787184</v>
      </c>
      <c r="AL163" s="20">
        <f t="shared" si="165"/>
        <v>461.35077692036231</v>
      </c>
      <c r="AM163" s="59">
        <f t="shared" si="113"/>
        <v>754.68411025369562</v>
      </c>
      <c r="AN163" s="59">
        <f ca="1">AVERAGE(OFFSET($AM$3,0,0,'Données projet'!$E$10+1,1))-AVERAGE(OFFSET($H$3,0,0,'Données projet'!$E$10+1,1))</f>
        <v>219.43439115440339</v>
      </c>
      <c r="AO163" s="59">
        <f t="shared" si="144"/>
        <v>217.8880462742099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5.9046348638951001</v>
      </c>
      <c r="AV163" s="21">
        <f>EXP(-LN(2)/25)*AV162+(1-EXP(-LN(2)/25))/(LN(2)/25)*Calculateur!AQ163*Calculateur!AS163*VLOOKUP('Données projet'!$B$10,Paramètres!$A$1:$I$89,3,0)*0.475*44/12</f>
        <v>0.9063432730861235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6.8109781369812232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190.99999999999997</v>
      </c>
      <c r="BE163" s="13">
        <f>BD163*VLOOKUP('Données projet'!$B$11,Paramètres!$A$1:$I$89,3,0)*VLOOKUP('Données projet'!$B$11,Paramètres!$A$1:$I$89,5,0)</f>
        <v>166.85759999999999</v>
      </c>
      <c r="BF163" s="13">
        <f t="shared" si="167"/>
        <v>42.385468111966098</v>
      </c>
      <c r="BG163" s="20">
        <f t="shared" si="168"/>
        <v>364.43167696167421</v>
      </c>
      <c r="BH163" s="59">
        <f t="shared" si="116"/>
        <v>657.76501029500753</v>
      </c>
      <c r="BI163" s="59">
        <f ca="1">AVERAGE(OFFSET($BH$3,0,0,'Données projet'!$E$11+1,1))-AVERAGE(OFFSET($H$3,0,0,'Données projet'!$E$11+1,1))</f>
        <v>175.73188403662408</v>
      </c>
      <c r="BJ163" s="59">
        <f t="shared" si="146"/>
        <v>152.02195399869032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2.903222598232519</v>
      </c>
      <c r="BQ163" s="21">
        <f>EXP(-LN(2)/25)*BQ162+(1-EXP(-LN(2)/25))/(LN(2)/25)*Calculateur!BL163*Calculateur!BN163*VLOOKUP('Données projet'!$B$11,Paramètres!$A$1:$I$89,3,0)*0.475*44/12</f>
        <v>2.0702478580475683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4.9734704562800873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1.1618589743589709</v>
      </c>
      <c r="BY163" s="12">
        <f>IF('Données projet'!$A$114&gt;35,BY162+BX163-CG162,IF(A163&lt;'Données projet'!$A$114,$BV$205^A163,IF(A163='Données projet'!$A$114,'Données projet'!$B$114,BY162+BX163-CG162)))</f>
        <v>90.20352564102518</v>
      </c>
      <c r="BZ163" s="13">
        <f>BY163*VLOOKUP('Données projet'!$B$12,Paramètres!$A$1:$I$89,3,0)*VLOOKUP('Données projet'!$B$12,Paramètres!$A$1:$I$89,5,0)</f>
        <v>81.616149999999578</v>
      </c>
      <c r="CA163" s="13">
        <f t="shared" si="170"/>
        <v>22.531880055892035</v>
      </c>
      <c r="CB163" s="20">
        <f t="shared" si="171"/>
        <v>181.39115234734456</v>
      </c>
      <c r="CC163" s="59">
        <f t="shared" si="119"/>
        <v>474.72448568067784</v>
      </c>
      <c r="CD163" s="59">
        <f ca="1">AVERAGE(OFFSET($CC$3,0,0,'Données projet'!$E$12+1,1))-AVERAGE(OFFSET($H$3,0,0,'Données projet'!$E$12+1,1))</f>
        <v>213.54857791046686</v>
      </c>
      <c r="CE163" s="59">
        <f t="shared" si="148"/>
        <v>138.46877538074244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108.90897283973774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108.90897283973774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213</v>
      </c>
      <c r="CU163" s="17">
        <f>CT163*VLOOKUP('Données projet'!$B$13,Paramètres!$A$1:$I$89,3,0)*VLOOKUP('Données projet'!$B$13,Paramètres!$A$1:$I$89,5,0)</f>
        <v>169.46279999999999</v>
      </c>
      <c r="CV163" s="13">
        <f t="shared" si="173"/>
        <v>42.969686502194378</v>
      </c>
      <c r="CW163" s="20">
        <f t="shared" si="174"/>
        <v>369.9865806579885</v>
      </c>
      <c r="CX163" s="59">
        <f t="shared" si="122"/>
        <v>663.31991399132176</v>
      </c>
      <c r="CY163" s="59">
        <f ca="1">AVERAGE(OFFSET($CX$3,0,0,'Données projet'!$E$13+1,1))-AVERAGE(OFFSET($H$3,0,0,'Données projet'!$E$13+1,1))</f>
        <v>161.87883827031436</v>
      </c>
      <c r="CZ163" s="59">
        <f t="shared" si="150"/>
        <v>163.02076389611869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2.3133265582747136</v>
      </c>
      <c r="DG163" s="21">
        <f>EXP(-LN(2)/25)*DG162+(1-EXP(-LN(2)/25))/(LN(2)/25)*Calculateur!DB163*Calculateur!DD163*VLOOKUP('Données projet'!$B$13,Paramètres!$A$1:$I$89,3,0)*0.475*44/12</f>
        <v>0.95084013048189386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3.2641666887566076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149.0000000000002</v>
      </c>
      <c r="DP163" s="17">
        <f>DO163*VLOOKUP('Données projet'!$B$14,Paramètres!$A$1:$I$89,3,0)*VLOOKUP('Données projet'!$B$14,Paramètres!$A$1:$I$89,5,0)</f>
        <v>120.86880000000016</v>
      </c>
      <c r="DQ163" s="13">
        <f t="shared" si="176"/>
        <v>31.877547472771326</v>
      </c>
      <c r="DR163" s="20">
        <f t="shared" si="177"/>
        <v>266.03322184841039</v>
      </c>
      <c r="DS163" s="59">
        <f t="shared" si="125"/>
        <v>559.36655518174371</v>
      </c>
      <c r="DT163" s="59">
        <f ca="1">AVERAGE(OFFSET($DS$3,0,0,'Données projet'!$E$14+1,1))-AVERAGE(OFFSET($H$3,0,0,'Données projet'!$E$14+1,1))</f>
        <v>96.611230241682733</v>
      </c>
      <c r="DU163" s="59">
        <f t="shared" si="152"/>
        <v>78.711045514042041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0.44712760608744162</v>
      </c>
      <c r="EB163" s="21">
        <f>EXP(-LN(2)/25)*EB162+(1-EXP(-LN(2)/25))/(LN(2)/25)*Calculateur!DW163*Calculateur!DY163*VLOOKUP('Données projet'!$B$14,Paramètres!$A$1:$I$89,3,0)*0.475*44/12</f>
        <v>0.90090820958980622</v>
      </c>
      <c r="EC163" s="21">
        <f>EXP(-LN(2)/2)*EC162+(1-EXP(-LN(2)/2))/(LN(2)/2)*DW163*DZ163*VLOOKUP('Données projet'!$B$14,Paramètres!$A$1:$I$89,3,0)*0.475*44/12</f>
        <v>3.9516026940008238E-11</v>
      </c>
      <c r="ED163" s="22">
        <f t="shared" si="178"/>
        <v>1.3480358157167638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188.61152573050066</v>
      </c>
      <c r="EP163" s="59">
        <f t="shared" si="154"/>
        <v>172.37050503841624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27.998655229346141</v>
      </c>
      <c r="EW163" s="21">
        <f>EXP(-LN(2)/25)*EW162+(1-EXP(-LN(2)/25))/(LN(2)/25)*Calculateur!ER163*Calculateur!ET163*VLOOKUP('Données projet'!$B$15,Paramètres!$A$1:$I$89,3,0)*0.475*44/12</f>
        <v>3.6144872977690121</v>
      </c>
      <c r="EX163" s="21">
        <f>EXP(-LN(2)/2)*EX162+(1-EXP(-LN(2)/2))/(LN(2)/2)*ER163*EU163*VLOOKUP('Données projet'!$B$15,Paramètres!$A$1:$I$89,3,0)*0.475*44/12</f>
        <v>8.9515181862300225E-13</v>
      </c>
      <c r="EY163" s="22">
        <f t="shared" si="181"/>
        <v>31.61314252711605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0</v>
      </c>
      <c r="FK163" s="59">
        <f t="shared" si="156"/>
        <v>0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0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197.78572767493569</v>
      </c>
      <c r="T164" s="59">
        <f t="shared" si="142"/>
        <v>288.66487031729008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266.99999999999983</v>
      </c>
      <c r="AJ164" s="13">
        <f>AI164*VLOOKUP('Données projet'!$B$10,Paramètres!$A$1:$I$89,3,0)*VLOOKUP('Données projet'!$B$10,Paramètres!$A$1:$I$89,5,0)</f>
        <v>212.42519999999985</v>
      </c>
      <c r="AK164" s="13">
        <f t="shared" si="164"/>
        <v>52.465198231787184</v>
      </c>
      <c r="AL164" s="20">
        <f t="shared" si="165"/>
        <v>461.35077692036231</v>
      </c>
      <c r="AM164" s="59">
        <f t="shared" si="113"/>
        <v>754.68411025369562</v>
      </c>
      <c r="AN164" s="59">
        <f ca="1">AVERAGE(OFFSET($AM$3,0,0,'Données projet'!$E$10+1,1))-AVERAGE(OFFSET($H$3,0,0,'Données projet'!$E$10+1,1))</f>
        <v>219.43439115440339</v>
      </c>
      <c r="AO164" s="59">
        <f t="shared" si="144"/>
        <v>217.8880462742099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5.7888485756857682</v>
      </c>
      <c r="AV164" s="21">
        <f>EXP(-LN(2)/25)*AV163+(1-EXP(-LN(2)/25))/(LN(2)/25)*Calculateur!AQ164*Calculateur!AS164*VLOOKUP('Données projet'!$B$10,Paramètres!$A$1:$I$89,3,0)*0.475*44/12</f>
        <v>0.88155926862106215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6.6704078443068306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190.99999999999997</v>
      </c>
      <c r="BE164" s="13">
        <f>BD164*VLOOKUP('Données projet'!$B$11,Paramètres!$A$1:$I$89,3,0)*VLOOKUP('Données projet'!$B$11,Paramètres!$A$1:$I$89,5,0)</f>
        <v>166.85759999999999</v>
      </c>
      <c r="BF164" s="13">
        <f t="shared" si="167"/>
        <v>42.385468111966098</v>
      </c>
      <c r="BG164" s="20">
        <f t="shared" si="168"/>
        <v>364.43167696167421</v>
      </c>
      <c r="BH164" s="59">
        <f t="shared" si="116"/>
        <v>657.76501029500753</v>
      </c>
      <c r="BI164" s="59">
        <f ca="1">AVERAGE(OFFSET($BH$3,0,0,'Données projet'!$E$11+1,1))-AVERAGE(OFFSET($H$3,0,0,'Données projet'!$E$11+1,1))</f>
        <v>175.73188403662408</v>
      </c>
      <c r="BJ164" s="59">
        <f t="shared" si="146"/>
        <v>152.02195399869032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2.8462921738721132</v>
      </c>
      <c r="BQ164" s="21">
        <f>EXP(-LN(2)/25)*BQ163+(1-EXP(-LN(2)/25))/(LN(2)/25)*Calculateur!BL164*Calculateur!BN164*VLOOKUP('Données projet'!$B$11,Paramètres!$A$1:$I$89,3,0)*0.475*44/12</f>
        <v>2.0136368214996545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4.8599289953717673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91.365384615384613</v>
      </c>
      <c r="BW164" s="12">
        <f>VLOOKUP(A164,'Données projet'!$A$113:$I$133,9,0)</f>
        <v>1.1618589743589709</v>
      </c>
      <c r="BX164" s="12">
        <f t="array" ref="BX164">INDEX(BW:BW,MIN(IF(ISNUMBER(BW164:BW360),ROW(BW164:BW360),"")))</f>
        <v>1.1618589743589709</v>
      </c>
      <c r="BY164" s="12">
        <f>IF('Données projet'!$A$114&gt;35,BY163+BX164-CG163,IF(A164&lt;'Données projet'!$A$114,$BV$205^A164,IF(A164='Données projet'!$A$114,'Données projet'!$B$114,BY163+BX164-CG163)))</f>
        <v>91.365384615384158</v>
      </c>
      <c r="BZ164" s="13">
        <f>BY164*VLOOKUP('Données projet'!$B$12,Paramètres!$A$1:$I$89,3,0)*VLOOKUP('Données projet'!$B$12,Paramètres!$A$1:$I$89,5,0)</f>
        <v>82.667399999999589</v>
      </c>
      <c r="CA164" s="13">
        <f t="shared" si="170"/>
        <v>22.788127124999455</v>
      </c>
      <c r="CB164" s="20">
        <f t="shared" si="171"/>
        <v>183.66837640937331</v>
      </c>
      <c r="CC164" s="59">
        <f t="shared" si="119"/>
        <v>477.00170974270662</v>
      </c>
      <c r="CD164" s="59">
        <f ca="1">AVERAGE(OFFSET($CC$3,0,0,'Données projet'!$E$12+1,1))-AVERAGE(OFFSET($H$3,0,0,'Données projet'!$E$12+1,1))</f>
        <v>213.54857791046686</v>
      </c>
      <c r="CE164" s="59">
        <f t="shared" si="148"/>
        <v>138.46877538074244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91.365384615384613</v>
      </c>
      <c r="CH164" s="16">
        <f>IF(ISNA(VLOOKUP(A164,'Données projet'!$A$113:$I$133,5,0)),0%,VLOOKUP(A164,'Données projet'!$A$113:$I$133,5,0)*VLOOKUP('Données projet'!$B$12,Paramètres!$A$1:$I$89,7,0))</f>
        <v>0.38700000000000001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142.13985642477655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142.13985642477655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213</v>
      </c>
      <c r="CU164" s="17">
        <f>CT164*VLOOKUP('Données projet'!$B$13,Paramètres!$A$1:$I$89,3,0)*VLOOKUP('Données projet'!$B$13,Paramètres!$A$1:$I$89,5,0)</f>
        <v>169.46279999999999</v>
      </c>
      <c r="CV164" s="13">
        <f t="shared" si="173"/>
        <v>42.969686502194378</v>
      </c>
      <c r="CW164" s="20">
        <f t="shared" si="174"/>
        <v>369.9865806579885</v>
      </c>
      <c r="CX164" s="59">
        <f t="shared" si="122"/>
        <v>663.31991399132176</v>
      </c>
      <c r="CY164" s="59">
        <f ca="1">AVERAGE(OFFSET($CX$3,0,0,'Données projet'!$E$13+1,1))-AVERAGE(OFFSET($H$3,0,0,'Données projet'!$E$13+1,1))</f>
        <v>161.87883827031436</v>
      </c>
      <c r="CZ164" s="59">
        <f t="shared" si="150"/>
        <v>163.02076389611869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2.2679636354568231</v>
      </c>
      <c r="DG164" s="21">
        <f>EXP(-LN(2)/25)*DG163+(1-EXP(-LN(2)/25))/(LN(2)/25)*Calculateur!DB164*Calculateur!DD164*VLOOKUP('Données projet'!$B$13,Paramètres!$A$1:$I$89,3,0)*0.475*44/12</f>
        <v>0.92483935711135723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3.1928029925681805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149.0000000000002</v>
      </c>
      <c r="DP164" s="17">
        <f>DO164*VLOOKUP('Données projet'!$B$14,Paramètres!$A$1:$I$89,3,0)*VLOOKUP('Données projet'!$B$14,Paramètres!$A$1:$I$89,5,0)</f>
        <v>120.86880000000016</v>
      </c>
      <c r="DQ164" s="13">
        <f t="shared" si="176"/>
        <v>31.877547472771326</v>
      </c>
      <c r="DR164" s="20">
        <f t="shared" si="177"/>
        <v>266.03322184841039</v>
      </c>
      <c r="DS164" s="59">
        <f t="shared" si="125"/>
        <v>559.36655518174371</v>
      </c>
      <c r="DT164" s="59">
        <f ca="1">AVERAGE(OFFSET($DS$3,0,0,'Données projet'!$E$14+1,1))-AVERAGE(OFFSET($H$3,0,0,'Données projet'!$E$14+1,1))</f>
        <v>96.611230241682733</v>
      </c>
      <c r="DU164" s="59">
        <f t="shared" si="152"/>
        <v>78.711045514042041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0.43835970645297767</v>
      </c>
      <c r="EB164" s="21">
        <f>EXP(-LN(2)/25)*EB163+(1-EXP(-LN(2)/25))/(LN(2)/25)*Calculateur!DW164*Calculateur!DY164*VLOOKUP('Données projet'!$B$14,Paramètres!$A$1:$I$89,3,0)*0.475*44/12</f>
        <v>0.87627282722186928</v>
      </c>
      <c r="EC164" s="21">
        <f>EXP(-LN(2)/2)*EC163+(1-EXP(-LN(2)/2))/(LN(2)/2)*DW164*DZ164*VLOOKUP('Données projet'!$B$14,Paramètres!$A$1:$I$89,3,0)*0.475*44/12</f>
        <v>2.7942050614830124E-11</v>
      </c>
      <c r="ED164" s="22">
        <f t="shared" si="178"/>
        <v>1.3146325337027891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188.61152573050066</v>
      </c>
      <c r="EP164" s="59">
        <f t="shared" si="154"/>
        <v>172.37050503841624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27.449618677792092</v>
      </c>
      <c r="EW164" s="21">
        <f>EXP(-LN(2)/25)*EW163+(1-EXP(-LN(2)/25))/(LN(2)/25)*Calculateur!ER164*Calculateur!ET164*VLOOKUP('Données projet'!$B$15,Paramètres!$A$1:$I$89,3,0)*0.475*44/12</f>
        <v>3.5156489525338923</v>
      </c>
      <c r="EX164" s="21">
        <f>EXP(-LN(2)/2)*EX163+(1-EXP(-LN(2)/2))/(LN(2)/2)*ER164*EU164*VLOOKUP('Données projet'!$B$15,Paramètres!$A$1:$I$89,3,0)*0.475*44/12</f>
        <v>6.3296792113979536E-13</v>
      </c>
      <c r="EY164" s="22">
        <f t="shared" si="181"/>
        <v>30.965267630326615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0</v>
      </c>
      <c r="FK164" s="59">
        <f t="shared" si="156"/>
        <v>0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0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197.78572767493569</v>
      </c>
      <c r="T165" s="59">
        <f t="shared" si="142"/>
        <v>288.66487031729008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266.99999999999983</v>
      </c>
      <c r="AJ165" s="13">
        <f>AI165*VLOOKUP('Données projet'!$B$10,Paramètres!$A$1:$I$89,3,0)*VLOOKUP('Données projet'!$B$10,Paramètres!$A$1:$I$89,5,0)</f>
        <v>212.42519999999985</v>
      </c>
      <c r="AK165" s="13">
        <f t="shared" si="164"/>
        <v>52.465198231787184</v>
      </c>
      <c r="AL165" s="20">
        <f t="shared" si="165"/>
        <v>461.35077692036231</v>
      </c>
      <c r="AM165" s="59">
        <f t="shared" si="113"/>
        <v>754.68411025369562</v>
      </c>
      <c r="AN165" s="59">
        <f ca="1">AVERAGE(OFFSET($AM$3,0,0,'Données projet'!$E$10+1,1))-AVERAGE(OFFSET($H$3,0,0,'Données projet'!$E$10+1,1))</f>
        <v>219.43439115440339</v>
      </c>
      <c r="AO165" s="59">
        <f t="shared" si="144"/>
        <v>217.8880462742099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5.6753327859655593</v>
      </c>
      <c r="AV165" s="21">
        <f>EXP(-LN(2)/25)*AV164+(1-EXP(-LN(2)/25))/(LN(2)/25)*Calculateur!AQ165*Calculateur!AS165*VLOOKUP('Données projet'!$B$10,Paramètres!$A$1:$I$89,3,0)*0.475*44/12</f>
        <v>0.85745298406143211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6.5327857700269911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190.99999999999997</v>
      </c>
      <c r="BE165" s="13">
        <f>BD165*VLOOKUP('Données projet'!$B$11,Paramètres!$A$1:$I$89,3,0)*VLOOKUP('Données projet'!$B$11,Paramètres!$A$1:$I$89,5,0)</f>
        <v>166.85759999999999</v>
      </c>
      <c r="BF165" s="13">
        <f t="shared" si="167"/>
        <v>42.385468111966098</v>
      </c>
      <c r="BG165" s="20">
        <f t="shared" si="168"/>
        <v>364.43167696167421</v>
      </c>
      <c r="BH165" s="59">
        <f t="shared" si="116"/>
        <v>657.76501029500753</v>
      </c>
      <c r="BI165" s="59">
        <f ca="1">AVERAGE(OFFSET($BH$3,0,0,'Données projet'!$E$11+1,1))-AVERAGE(OFFSET($H$3,0,0,'Données projet'!$E$11+1,1))</f>
        <v>175.73188403662408</v>
      </c>
      <c r="BJ165" s="59">
        <f t="shared" si="146"/>
        <v>152.02195399869032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2.7904781204092846</v>
      </c>
      <c r="BQ165" s="21">
        <f>EXP(-LN(2)/25)*BQ164+(1-EXP(-LN(2)/25))/(LN(2)/25)*Calculateur!BL165*Calculateur!BN165*VLOOKUP('Données projet'!$B$11,Paramètres!$A$1:$I$89,3,0)*0.475*44/12</f>
        <v>1.9585738167231883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4.7490519371324726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-4.5474735088646412E-13</v>
      </c>
      <c r="BZ165" s="13">
        <f>BY165*VLOOKUP('Données projet'!$B$12,Paramètres!$A$1:$I$89,3,0)*VLOOKUP('Données projet'!$B$12,Paramètres!$A$1:$I$89,5,0)</f>
        <v>-4.1145540308207271E-13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213.54857791046686</v>
      </c>
      <c r="CE165" s="59">
        <f t="shared" si="148"/>
        <v>138.46877538074244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139.35258053703851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139.35258053703851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213</v>
      </c>
      <c r="CU165" s="17">
        <f>CT165*VLOOKUP('Données projet'!$B$13,Paramètres!$A$1:$I$89,3,0)*VLOOKUP('Données projet'!$B$13,Paramètres!$A$1:$I$89,5,0)</f>
        <v>169.46279999999999</v>
      </c>
      <c r="CV165" s="13">
        <f t="shared" si="173"/>
        <v>42.969686502194378</v>
      </c>
      <c r="CW165" s="20">
        <f t="shared" si="174"/>
        <v>369.9865806579885</v>
      </c>
      <c r="CX165" s="59">
        <f t="shared" si="122"/>
        <v>663.31991399132176</v>
      </c>
      <c r="CY165" s="59">
        <f ca="1">AVERAGE(OFFSET($CX$3,0,0,'Données projet'!$E$13+1,1))-AVERAGE(OFFSET($H$3,0,0,'Données projet'!$E$13+1,1))</f>
        <v>161.87883827031436</v>
      </c>
      <c r="CZ165" s="59">
        <f t="shared" si="150"/>
        <v>163.02076389611869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2.2234902518867408</v>
      </c>
      <c r="DG165" s="21">
        <f>EXP(-LN(2)/25)*DG164+(1-EXP(-LN(2)/25))/(LN(2)/25)*Calculateur!DB165*Calculateur!DD165*VLOOKUP('Données projet'!$B$13,Paramètres!$A$1:$I$89,3,0)*0.475*44/12</f>
        <v>0.8995495762559591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3.1230398281426996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149.0000000000002</v>
      </c>
      <c r="DP165" s="17">
        <f>DO165*VLOOKUP('Données projet'!$B$14,Paramètres!$A$1:$I$89,3,0)*VLOOKUP('Données projet'!$B$14,Paramètres!$A$1:$I$89,5,0)</f>
        <v>120.86880000000016</v>
      </c>
      <c r="DQ165" s="13">
        <f t="shared" si="176"/>
        <v>31.877547472771326</v>
      </c>
      <c r="DR165" s="20">
        <f t="shared" si="177"/>
        <v>266.03322184841039</v>
      </c>
      <c r="DS165" s="59">
        <f t="shared" si="125"/>
        <v>559.36655518174371</v>
      </c>
      <c r="DT165" s="59">
        <f ca="1">AVERAGE(OFFSET($DS$3,0,0,'Données projet'!$E$14+1,1))-AVERAGE(OFFSET($H$3,0,0,'Données projet'!$E$14+1,1))</f>
        <v>96.611230241682733</v>
      </c>
      <c r="DU165" s="59">
        <f t="shared" si="152"/>
        <v>78.711045514042041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0.42976373998245482</v>
      </c>
      <c r="EB165" s="21">
        <f>EXP(-LN(2)/25)*EB164+(1-EXP(-LN(2)/25))/(LN(2)/25)*Calculateur!DW165*Calculateur!DY165*VLOOKUP('Données projet'!$B$14,Paramètres!$A$1:$I$89,3,0)*0.475*44/12</f>
        <v>0.85231110068030203</v>
      </c>
      <c r="EC165" s="21">
        <f>EXP(-LN(2)/2)*EC164+(1-EXP(-LN(2)/2))/(LN(2)/2)*DW165*DZ165*VLOOKUP('Données projet'!$B$14,Paramètres!$A$1:$I$89,3,0)*0.475*44/12</f>
        <v>1.9758013470004122E-11</v>
      </c>
      <c r="ED165" s="22">
        <f t="shared" si="178"/>
        <v>1.2820748406825149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188.61152573050066</v>
      </c>
      <c r="EP165" s="59">
        <f t="shared" si="154"/>
        <v>172.37050503841624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26.911348398134788</v>
      </c>
      <c r="EW165" s="21">
        <f>EXP(-LN(2)/25)*EW164+(1-EXP(-LN(2)/25))/(LN(2)/25)*Calculateur!ER165*Calculateur!ET165*VLOOKUP('Données projet'!$B$15,Paramètres!$A$1:$I$89,3,0)*0.475*44/12</f>
        <v>3.4195133470469097</v>
      </c>
      <c r="EX165" s="21">
        <f>EXP(-LN(2)/2)*EX164+(1-EXP(-LN(2)/2))/(LN(2)/2)*ER165*EU165*VLOOKUP('Données projet'!$B$15,Paramètres!$A$1:$I$89,3,0)*0.475*44/12</f>
        <v>4.4757590931150117E-13</v>
      </c>
      <c r="EY165" s="22">
        <f t="shared" si="181"/>
        <v>30.330861745182144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0</v>
      </c>
      <c r="FK165" s="59">
        <f t="shared" si="156"/>
        <v>0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0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197.78572767493569</v>
      </c>
      <c r="T166" s="59">
        <f t="shared" si="142"/>
        <v>288.66487031729008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266.99999999999983</v>
      </c>
      <c r="AJ166" s="13">
        <f>AI166*VLOOKUP('Données projet'!$B$10,Paramètres!$A$1:$I$89,3,0)*VLOOKUP('Données projet'!$B$10,Paramètres!$A$1:$I$89,5,0)</f>
        <v>212.42519999999985</v>
      </c>
      <c r="AK166" s="13">
        <f t="shared" si="164"/>
        <v>52.465198231787184</v>
      </c>
      <c r="AL166" s="20">
        <f t="shared" si="165"/>
        <v>461.35077692036231</v>
      </c>
      <c r="AM166" s="59">
        <f t="shared" si="113"/>
        <v>754.68411025369562</v>
      </c>
      <c r="AN166" s="59">
        <f ca="1">AVERAGE(OFFSET($AM$3,0,0,'Données projet'!$E$10+1,1))-AVERAGE(OFFSET($H$3,0,0,'Données projet'!$E$10+1,1))</f>
        <v>219.43439115440339</v>
      </c>
      <c r="AO166" s="59">
        <f t="shared" si="144"/>
        <v>217.8880462742099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5.5640429716439685</v>
      </c>
      <c r="AV166" s="21">
        <f>EXP(-LN(2)/25)*AV165+(1-EXP(-LN(2)/25))/(LN(2)/25)*Calculateur!AQ166*Calculateur!AS166*VLOOKUP('Données projet'!$B$10,Paramètres!$A$1:$I$89,3,0)*0.475*44/12</f>
        <v>0.8340058871207795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6.3980488587647484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190.99999999999997</v>
      </c>
      <c r="BE166" s="13">
        <f>BD166*VLOOKUP('Données projet'!$B$11,Paramètres!$A$1:$I$89,3,0)*VLOOKUP('Données projet'!$B$11,Paramètres!$A$1:$I$89,5,0)</f>
        <v>166.85759999999999</v>
      </c>
      <c r="BF166" s="13">
        <f t="shared" si="167"/>
        <v>42.385468111966098</v>
      </c>
      <c r="BG166" s="20">
        <f t="shared" si="168"/>
        <v>364.43167696167421</v>
      </c>
      <c r="BH166" s="59">
        <f t="shared" si="116"/>
        <v>657.76501029500753</v>
      </c>
      <c r="BI166" s="59">
        <f ca="1">AVERAGE(OFFSET($BH$3,0,0,'Données projet'!$E$11+1,1))-AVERAGE(OFFSET($H$3,0,0,'Données projet'!$E$11+1,1))</f>
        <v>175.73188403662408</v>
      </c>
      <c r="BJ166" s="59">
        <f t="shared" si="146"/>
        <v>152.02195399869032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2.7357585464916512</v>
      </c>
      <c r="BQ166" s="21">
        <f>EXP(-LN(2)/25)*BQ165+(1-EXP(-LN(2)/25))/(LN(2)/25)*Calculateur!BL166*Calculateur!BN166*VLOOKUP('Données projet'!$B$11,Paramètres!$A$1:$I$89,3,0)*0.475*44/12</f>
        <v>1.9050165127079721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4.6407750591996235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-4.5474735088646412E-13</v>
      </c>
      <c r="BZ166" s="13">
        <f>BY166*VLOOKUP('Données projet'!$B$12,Paramètres!$A$1:$I$89,3,0)*VLOOKUP('Données projet'!$B$12,Paramètres!$A$1:$I$89,5,0)</f>
        <v>-4.1145540308207271E-13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213.54857791046686</v>
      </c>
      <c r="CE166" s="59">
        <f t="shared" si="148"/>
        <v>138.46877538074244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136.61996142938858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136.61996142938858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213</v>
      </c>
      <c r="CU166" s="17">
        <f>CT166*VLOOKUP('Données projet'!$B$13,Paramètres!$A$1:$I$89,3,0)*VLOOKUP('Données projet'!$B$13,Paramètres!$A$1:$I$89,5,0)</f>
        <v>169.46279999999999</v>
      </c>
      <c r="CV166" s="13">
        <f t="shared" si="173"/>
        <v>42.969686502194378</v>
      </c>
      <c r="CW166" s="20">
        <f t="shared" si="174"/>
        <v>369.9865806579885</v>
      </c>
      <c r="CX166" s="59">
        <f t="shared" si="122"/>
        <v>663.31991399132176</v>
      </c>
      <c r="CY166" s="59">
        <f ca="1">AVERAGE(OFFSET($CX$3,0,0,'Données projet'!$E$13+1,1))-AVERAGE(OFFSET($H$3,0,0,'Données projet'!$E$13+1,1))</f>
        <v>161.87883827031436</v>
      </c>
      <c r="CZ166" s="59">
        <f t="shared" si="150"/>
        <v>163.02076389611869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2.1798889642423824</v>
      </c>
      <c r="DG166" s="21">
        <f>EXP(-LN(2)/25)*DG165+(1-EXP(-LN(2)/25))/(LN(2)/25)*Calculateur!DB166*Calculateur!DD166*VLOOKUP('Données projet'!$B$13,Paramètres!$A$1:$I$89,3,0)*0.475*44/12</f>
        <v>0.87495134578798361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3.0548403100303663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149.0000000000002</v>
      </c>
      <c r="DP166" s="17">
        <f>DO166*VLOOKUP('Données projet'!$B$14,Paramètres!$A$1:$I$89,3,0)*VLOOKUP('Données projet'!$B$14,Paramètres!$A$1:$I$89,5,0)</f>
        <v>120.86880000000016</v>
      </c>
      <c r="DQ166" s="13">
        <f t="shared" si="176"/>
        <v>31.877547472771326</v>
      </c>
      <c r="DR166" s="20">
        <f t="shared" si="177"/>
        <v>266.03322184841039</v>
      </c>
      <c r="DS166" s="59">
        <f t="shared" si="125"/>
        <v>559.36655518174371</v>
      </c>
      <c r="DT166" s="59">
        <f ca="1">AVERAGE(OFFSET($DS$3,0,0,'Données projet'!$E$14+1,1))-AVERAGE(OFFSET($H$3,0,0,'Données projet'!$E$14+1,1))</f>
        <v>96.611230241682733</v>
      </c>
      <c r="DU166" s="59">
        <f t="shared" si="152"/>
        <v>78.711045514042041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0.42133633517139707</v>
      </c>
      <c r="EB166" s="21">
        <f>EXP(-LN(2)/25)*EB165+(1-EXP(-LN(2)/25))/(LN(2)/25)*Calculateur!DW166*Calculateur!DY166*VLOOKUP('Données projet'!$B$14,Paramètres!$A$1:$I$89,3,0)*0.475*44/12</f>
        <v>0.82900460881110638</v>
      </c>
      <c r="EC166" s="21">
        <f>EXP(-LN(2)/2)*EC165+(1-EXP(-LN(2)/2))/(LN(2)/2)*DW166*DZ166*VLOOKUP('Données projet'!$B$14,Paramètres!$A$1:$I$89,3,0)*0.475*44/12</f>
        <v>1.3971025307415065E-11</v>
      </c>
      <c r="ED166" s="22">
        <f t="shared" si="178"/>
        <v>1.2503409439964746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188.61152573050066</v>
      </c>
      <c r="EP166" s="59">
        <f t="shared" si="154"/>
        <v>172.37050503841624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26.383633270349108</v>
      </c>
      <c r="EW166" s="21">
        <f>EXP(-LN(2)/25)*EW165+(1-EXP(-LN(2)/25))/(LN(2)/25)*Calculateur!ER166*Calculateur!ET166*VLOOKUP('Données projet'!$B$15,Paramètres!$A$1:$I$89,3,0)*0.475*44/12</f>
        <v>3.3260065747475203</v>
      </c>
      <c r="EX166" s="21">
        <f>EXP(-LN(2)/2)*EX165+(1-EXP(-LN(2)/2))/(LN(2)/2)*ER166*EU166*VLOOKUP('Données projet'!$B$15,Paramètres!$A$1:$I$89,3,0)*0.475*44/12</f>
        <v>3.1648396056989773E-13</v>
      </c>
      <c r="EY166" s="22">
        <f t="shared" si="181"/>
        <v>29.709639845096945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0</v>
      </c>
      <c r="FK166" s="59">
        <f t="shared" si="156"/>
        <v>0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0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197.78572767493569</v>
      </c>
      <c r="T167" s="59">
        <f t="shared" si="142"/>
        <v>288.66487031729008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266.99999999999983</v>
      </c>
      <c r="AJ167" s="13">
        <f>AI167*VLOOKUP('Données projet'!$B$10,Paramètres!$A$1:$I$89,3,0)*VLOOKUP('Données projet'!$B$10,Paramètres!$A$1:$I$89,5,0)</f>
        <v>212.42519999999985</v>
      </c>
      <c r="AK167" s="13">
        <f t="shared" si="164"/>
        <v>52.465198231787184</v>
      </c>
      <c r="AL167" s="20">
        <f t="shared" si="165"/>
        <v>461.35077692036231</v>
      </c>
      <c r="AM167" s="59">
        <f t="shared" si="113"/>
        <v>754.68411025369562</v>
      </c>
      <c r="AN167" s="59">
        <f ca="1">AVERAGE(OFFSET($AM$3,0,0,'Données projet'!$E$10+1,1))-AVERAGE(OFFSET($H$3,0,0,'Données projet'!$E$10+1,1))</f>
        <v>219.43439115440339</v>
      </c>
      <c r="AO167" s="59">
        <f t="shared" si="144"/>
        <v>217.8880462742099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5.4549354827011403</v>
      </c>
      <c r="AV167" s="21">
        <f>EXP(-LN(2)/25)*AV166+(1-EXP(-LN(2)/25))/(LN(2)/25)*Calculateur!AQ167*Calculateur!AS167*VLOOKUP('Données projet'!$B$10,Paramètres!$A$1:$I$89,3,0)*0.475*44/12</f>
        <v>0.81119995227899833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6.2661354349801384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190.99999999999997</v>
      </c>
      <c r="BE167" s="13">
        <f>BD167*VLOOKUP('Données projet'!$B$11,Paramètres!$A$1:$I$89,3,0)*VLOOKUP('Données projet'!$B$11,Paramètres!$A$1:$I$89,5,0)</f>
        <v>166.85759999999999</v>
      </c>
      <c r="BF167" s="13">
        <f t="shared" si="167"/>
        <v>42.385468111966098</v>
      </c>
      <c r="BG167" s="20">
        <f t="shared" si="168"/>
        <v>364.43167696167421</v>
      </c>
      <c r="BH167" s="59">
        <f t="shared" si="116"/>
        <v>657.76501029500753</v>
      </c>
      <c r="BI167" s="59">
        <f ca="1">AVERAGE(OFFSET($BH$3,0,0,'Données projet'!$E$11+1,1))-AVERAGE(OFFSET($H$3,0,0,'Données projet'!$E$11+1,1))</f>
        <v>175.73188403662408</v>
      </c>
      <c r="BJ167" s="59">
        <f t="shared" si="146"/>
        <v>152.02195399869032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2.6821119900428978</v>
      </c>
      <c r="BQ167" s="21">
        <f>EXP(-LN(2)/25)*BQ166+(1-EXP(-LN(2)/25))/(LN(2)/25)*Calculateur!BL167*Calculateur!BN167*VLOOKUP('Données projet'!$B$11,Paramètres!$A$1:$I$89,3,0)*0.475*44/12</f>
        <v>1.8529237359875081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4.5350357260304062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-4.5474735088646412E-13</v>
      </c>
      <c r="BZ167" s="13">
        <f>BY167*VLOOKUP('Données projet'!$B$12,Paramètres!$A$1:$I$89,3,0)*VLOOKUP('Données projet'!$B$12,Paramètres!$A$1:$I$89,5,0)</f>
        <v>-4.1145540308207271E-13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213.54857791046686</v>
      </c>
      <c r="CE167" s="59">
        <f t="shared" si="148"/>
        <v>138.46877538074244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133.9409273157066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133.9409273157066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213</v>
      </c>
      <c r="CU167" s="17">
        <f>CT167*VLOOKUP('Données projet'!$B$13,Paramètres!$A$1:$I$89,3,0)*VLOOKUP('Données projet'!$B$13,Paramètres!$A$1:$I$89,5,0)</f>
        <v>169.46279999999999</v>
      </c>
      <c r="CV167" s="13">
        <f t="shared" si="173"/>
        <v>42.969686502194378</v>
      </c>
      <c r="CW167" s="20">
        <f t="shared" si="174"/>
        <v>369.9865806579885</v>
      </c>
      <c r="CX167" s="59">
        <f t="shared" si="122"/>
        <v>663.31991399132176</v>
      </c>
      <c r="CY167" s="59">
        <f ca="1">AVERAGE(OFFSET($CX$3,0,0,'Données projet'!$E$13+1,1))-AVERAGE(OFFSET($H$3,0,0,'Données projet'!$E$13+1,1))</f>
        <v>161.87883827031436</v>
      </c>
      <c r="CZ167" s="59">
        <f t="shared" si="150"/>
        <v>163.02076389611869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2.1371426712545705</v>
      </c>
      <c r="DG167" s="21">
        <f>EXP(-LN(2)/25)*DG166+(1-EXP(-LN(2)/25))/(LN(2)/25)*Calculateur!DB167*Calculateur!DD167*VLOOKUP('Données projet'!$B$13,Paramètres!$A$1:$I$89,3,0)*0.475*44/12</f>
        <v>0.85102575522571966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2.9881684264802901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149.0000000000002</v>
      </c>
      <c r="DP167" s="17">
        <f>DO167*VLOOKUP('Données projet'!$B$14,Paramètres!$A$1:$I$89,3,0)*VLOOKUP('Données projet'!$B$14,Paramètres!$A$1:$I$89,5,0)</f>
        <v>120.86880000000016</v>
      </c>
      <c r="DQ167" s="13">
        <f t="shared" si="176"/>
        <v>31.877547472771326</v>
      </c>
      <c r="DR167" s="20">
        <f t="shared" si="177"/>
        <v>266.03322184841039</v>
      </c>
      <c r="DS167" s="59">
        <f t="shared" si="125"/>
        <v>559.36655518174371</v>
      </c>
      <c r="DT167" s="59">
        <f ca="1">AVERAGE(OFFSET($DS$3,0,0,'Données projet'!$E$14+1,1))-AVERAGE(OFFSET($H$3,0,0,'Données projet'!$E$14+1,1))</f>
        <v>96.611230241682733</v>
      </c>
      <c r="DU167" s="59">
        <f t="shared" si="152"/>
        <v>78.711045514042041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0.41307418662847478</v>
      </c>
      <c r="EB167" s="21">
        <f>EXP(-LN(2)/25)*EB166+(1-EXP(-LN(2)/25))/(LN(2)/25)*Calculateur!DW167*Calculateur!DY167*VLOOKUP('Données projet'!$B$14,Paramètres!$A$1:$I$89,3,0)*0.475*44/12</f>
        <v>0.80633543418770903</v>
      </c>
      <c r="EC167" s="21">
        <f>EXP(-LN(2)/2)*EC166+(1-EXP(-LN(2)/2))/(LN(2)/2)*DW167*DZ167*VLOOKUP('Données projet'!$B$14,Paramètres!$A$1:$I$89,3,0)*0.475*44/12</f>
        <v>9.8790067350020628E-12</v>
      </c>
      <c r="ED167" s="22">
        <f t="shared" si="178"/>
        <v>1.2194096208260627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188.61152573050066</v>
      </c>
      <c r="EP167" s="59">
        <f t="shared" si="154"/>
        <v>172.37050503841624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25.866266314344863</v>
      </c>
      <c r="EW167" s="21">
        <f>EXP(-LN(2)/25)*EW166+(1-EXP(-LN(2)/25))/(LN(2)/25)*Calculateur!ER167*Calculateur!ET167*VLOOKUP('Données projet'!$B$15,Paramètres!$A$1:$I$89,3,0)*0.475*44/12</f>
        <v>3.2350567500539653</v>
      </c>
      <c r="EX167" s="21">
        <f>EXP(-LN(2)/2)*EX166+(1-EXP(-LN(2)/2))/(LN(2)/2)*ER167*EU167*VLOOKUP('Données projet'!$B$15,Paramètres!$A$1:$I$89,3,0)*0.475*44/12</f>
        <v>2.2378795465575061E-13</v>
      </c>
      <c r="EY167" s="22">
        <f t="shared" si="181"/>
        <v>29.10132306439905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0</v>
      </c>
      <c r="FK167" s="59">
        <f t="shared" si="156"/>
        <v>0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0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197.78572767493569</v>
      </c>
      <c r="T168" s="59">
        <f t="shared" si="142"/>
        <v>288.66487031729008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266.99999999999983</v>
      </c>
      <c r="AJ168" s="13">
        <f>AI168*VLOOKUP('Données projet'!$B$10,Paramètres!$A$1:$I$89,3,0)*VLOOKUP('Données projet'!$B$10,Paramètres!$A$1:$I$89,5,0)</f>
        <v>212.42519999999985</v>
      </c>
      <c r="AK168" s="13">
        <f t="shared" si="164"/>
        <v>52.465198231787184</v>
      </c>
      <c r="AL168" s="20">
        <f t="shared" si="165"/>
        <v>461.35077692036231</v>
      </c>
      <c r="AM168" s="59">
        <f t="shared" si="113"/>
        <v>754.68411025369562</v>
      </c>
      <c r="AN168" s="59">
        <f ca="1">AVERAGE(OFFSET($AM$3,0,0,'Données projet'!$E$10+1,1))-AVERAGE(OFFSET($H$3,0,0,'Données projet'!$E$10+1,1))</f>
        <v>219.43439115440339</v>
      </c>
      <c r="AO168" s="59">
        <f t="shared" si="144"/>
        <v>217.8880462742099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5.3479675250674834</v>
      </c>
      <c r="AV168" s="21">
        <f>EXP(-LN(2)/25)*AV167+(1-EXP(-LN(2)/25))/(LN(2)/25)*Calculateur!AQ168*Calculateur!AS168*VLOOKUP('Données projet'!$B$10,Paramètres!$A$1:$I$89,3,0)*0.475*44/12</f>
        <v>0.7890176469247776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6.1369851719922615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190.99999999999997</v>
      </c>
      <c r="BE168" s="13">
        <f>BD168*VLOOKUP('Données projet'!$B$11,Paramètres!$A$1:$I$89,3,0)*VLOOKUP('Données projet'!$B$11,Paramètres!$A$1:$I$89,5,0)</f>
        <v>166.85759999999999</v>
      </c>
      <c r="BF168" s="13">
        <f t="shared" si="167"/>
        <v>42.385468111966098</v>
      </c>
      <c r="BG168" s="20">
        <f t="shared" si="168"/>
        <v>364.43167696167421</v>
      </c>
      <c r="BH168" s="59">
        <f t="shared" si="116"/>
        <v>657.76501029500753</v>
      </c>
      <c r="BI168" s="59">
        <f ca="1">AVERAGE(OFFSET($BH$3,0,0,'Données projet'!$E$11+1,1))-AVERAGE(OFFSET($H$3,0,0,'Données projet'!$E$11+1,1))</f>
        <v>175.73188403662408</v>
      </c>
      <c r="BJ168" s="59">
        <f t="shared" si="146"/>
        <v>152.02195399869032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2.6295174098449361</v>
      </c>
      <c r="BQ168" s="21">
        <f>EXP(-LN(2)/25)*BQ167+(1-EXP(-LN(2)/25))/(LN(2)/25)*Calculateur!BL168*Calculateur!BN168*VLOOKUP('Données projet'!$B$11,Paramètres!$A$1:$I$89,3,0)*0.475*44/12</f>
        <v>1.8022554389859053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4.4317728488308417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-4.5474735088646412E-13</v>
      </c>
      <c r="BZ168" s="13">
        <f>BY168*VLOOKUP('Données projet'!$B$12,Paramètres!$A$1:$I$89,3,0)*VLOOKUP('Données projet'!$B$12,Paramètres!$A$1:$I$89,5,0)</f>
        <v>-4.1145540308207271E-13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213.54857791046686</v>
      </c>
      <c r="CE168" s="59">
        <f t="shared" si="148"/>
        <v>138.46877538074244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131.31442742694446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131.31442742694446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213</v>
      </c>
      <c r="CU168" s="17">
        <f>CT168*VLOOKUP('Données projet'!$B$13,Paramètres!$A$1:$I$89,3,0)*VLOOKUP('Données projet'!$B$13,Paramètres!$A$1:$I$89,5,0)</f>
        <v>169.46279999999999</v>
      </c>
      <c r="CV168" s="13">
        <f t="shared" si="173"/>
        <v>42.969686502194378</v>
      </c>
      <c r="CW168" s="20">
        <f t="shared" si="174"/>
        <v>369.9865806579885</v>
      </c>
      <c r="CX168" s="59">
        <f t="shared" si="122"/>
        <v>663.31991399132176</v>
      </c>
      <c r="CY168" s="59">
        <f ca="1">AVERAGE(OFFSET($CX$3,0,0,'Données projet'!$E$13+1,1))-AVERAGE(OFFSET($H$3,0,0,'Données projet'!$E$13+1,1))</f>
        <v>161.87883827031436</v>
      </c>
      <c r="CZ168" s="59">
        <f t="shared" si="150"/>
        <v>163.02076389611869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2.0952346069995849</v>
      </c>
      <c r="DG168" s="21">
        <f>EXP(-LN(2)/25)*DG167+(1-EXP(-LN(2)/25))/(LN(2)/25)*Calculateur!DB168*Calculateur!DD168*VLOOKUP('Données projet'!$B$13,Paramètres!$A$1:$I$89,3,0)*0.475*44/12</f>
        <v>0.82775441119557291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2.9229890181951577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149.0000000000002</v>
      </c>
      <c r="DP168" s="17">
        <f>DO168*VLOOKUP('Données projet'!$B$14,Paramètres!$A$1:$I$89,3,0)*VLOOKUP('Données projet'!$B$14,Paramètres!$A$1:$I$89,5,0)</f>
        <v>120.86880000000016</v>
      </c>
      <c r="DQ168" s="13">
        <f t="shared" si="176"/>
        <v>31.877547472771326</v>
      </c>
      <c r="DR168" s="20">
        <f t="shared" si="177"/>
        <v>266.03322184841039</v>
      </c>
      <c r="DS168" s="59">
        <f t="shared" si="125"/>
        <v>559.36655518174371</v>
      </c>
      <c r="DT168" s="59">
        <f ca="1">AVERAGE(OFFSET($DS$3,0,0,'Données projet'!$E$14+1,1))-AVERAGE(OFFSET($H$3,0,0,'Données projet'!$E$14+1,1))</f>
        <v>96.611230241682733</v>
      </c>
      <c r="DU168" s="59">
        <f t="shared" si="152"/>
        <v>78.711045514042041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0.4049740537790662</v>
      </c>
      <c r="EB168" s="21">
        <f>EXP(-LN(2)/25)*EB167+(1-EXP(-LN(2)/25))/(LN(2)/25)*Calculateur!DW168*Calculateur!DY168*VLOOKUP('Données projet'!$B$14,Paramètres!$A$1:$I$89,3,0)*0.475*44/12</f>
        <v>0.78428614933650853</v>
      </c>
      <c r="EC168" s="21">
        <f>EXP(-LN(2)/2)*EC167+(1-EXP(-LN(2)/2))/(LN(2)/2)*DW168*DZ168*VLOOKUP('Données projet'!$B$14,Paramètres!$A$1:$I$89,3,0)*0.475*44/12</f>
        <v>6.9855126537075335E-12</v>
      </c>
      <c r="ED168" s="22">
        <f t="shared" si="178"/>
        <v>1.1892602031225603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188.61152573050066</v>
      </c>
      <c r="EP168" s="59">
        <f t="shared" si="154"/>
        <v>172.37050503841624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25.359044608785176</v>
      </c>
      <c r="EW168" s="21">
        <f>EXP(-LN(2)/25)*EW167+(1-EXP(-LN(2)/25))/(LN(2)/25)*Calculateur!ER168*Calculateur!ET168*VLOOKUP('Données projet'!$B$15,Paramètres!$A$1:$I$89,3,0)*0.475*44/12</f>
        <v>3.1465939530994991</v>
      </c>
      <c r="EX168" s="21">
        <f>EXP(-LN(2)/2)*EX167+(1-EXP(-LN(2)/2))/(LN(2)/2)*ER168*EU168*VLOOKUP('Données projet'!$B$15,Paramètres!$A$1:$I$89,3,0)*0.475*44/12</f>
        <v>1.5824198028494889E-13</v>
      </c>
      <c r="EY168" s="22">
        <f t="shared" si="181"/>
        <v>28.505638561884833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0</v>
      </c>
      <c r="FK168" s="59">
        <f t="shared" si="156"/>
        <v>0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0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197.78572767493569</v>
      </c>
      <c r="T169" s="59">
        <f t="shared" si="142"/>
        <v>288.66487031729008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266.99999999999983</v>
      </c>
      <c r="AJ169" s="13">
        <f>AI169*VLOOKUP('Données projet'!$B$10,Paramètres!$A$1:$I$89,3,0)*VLOOKUP('Données projet'!$B$10,Paramètres!$A$1:$I$89,5,0)</f>
        <v>212.42519999999985</v>
      </c>
      <c r="AK169" s="13">
        <f t="shared" si="164"/>
        <v>52.465198231787184</v>
      </c>
      <c r="AL169" s="20">
        <f t="shared" si="165"/>
        <v>461.35077692036231</v>
      </c>
      <c r="AM169" s="59">
        <f t="shared" si="113"/>
        <v>754.68411025369562</v>
      </c>
      <c r="AN169" s="59">
        <f ca="1">AVERAGE(OFFSET($AM$3,0,0,'Données projet'!$E$10+1,1))-AVERAGE(OFFSET($H$3,0,0,'Données projet'!$E$10+1,1))</f>
        <v>219.43439115440339</v>
      </c>
      <c r="AO169" s="59">
        <f t="shared" si="144"/>
        <v>217.8880462742099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5.2430971438390106</v>
      </c>
      <c r="AV169" s="21">
        <f>EXP(-LN(2)/25)*AV168+(1-EXP(-LN(2)/25))/(LN(2)/25)*Calculateur!AQ169*Calculateur!AS169*VLOOKUP('Données projet'!$B$10,Paramètres!$A$1:$I$89,3,0)*0.475*44/12</f>
        <v>0.76744191787698479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6.0105390617159955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190.99999999999997</v>
      </c>
      <c r="BE169" s="13">
        <f>BD169*VLOOKUP('Données projet'!$B$11,Paramètres!$A$1:$I$89,3,0)*VLOOKUP('Données projet'!$B$11,Paramètres!$A$1:$I$89,5,0)</f>
        <v>166.85759999999999</v>
      </c>
      <c r="BF169" s="13">
        <f t="shared" si="167"/>
        <v>42.385468111966098</v>
      </c>
      <c r="BG169" s="20">
        <f t="shared" si="168"/>
        <v>364.43167696167421</v>
      </c>
      <c r="BH169" s="59">
        <f t="shared" si="116"/>
        <v>657.76501029500753</v>
      </c>
      <c r="BI169" s="59">
        <f ca="1">AVERAGE(OFFSET($BH$3,0,0,'Données projet'!$E$11+1,1))-AVERAGE(OFFSET($H$3,0,0,'Données projet'!$E$11+1,1))</f>
        <v>175.73188403662408</v>
      </c>
      <c r="BJ169" s="59">
        <f t="shared" si="146"/>
        <v>152.02195399869032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2.5779541772851302</v>
      </c>
      <c r="BQ169" s="21">
        <f>EXP(-LN(2)/25)*BQ168+(1-EXP(-LN(2)/25))/(LN(2)/25)*Calculateur!BL169*Calculateur!BN169*VLOOKUP('Données projet'!$B$11,Paramètres!$A$1:$I$89,3,0)*0.475*44/12</f>
        <v>1.7529726692303413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4.3309268465154718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-4.5474735088646412E-13</v>
      </c>
      <c r="BZ169" s="13">
        <f>BY169*VLOOKUP('Données projet'!$B$12,Paramètres!$A$1:$I$89,3,0)*VLOOKUP('Données projet'!$B$12,Paramètres!$A$1:$I$89,5,0)</f>
        <v>-4.1145540308207271E-13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213.54857791046686</v>
      </c>
      <c r="CE169" s="59">
        <f t="shared" si="148"/>
        <v>138.46877538074244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128.7394315989942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128.7394315989942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213</v>
      </c>
      <c r="CU169" s="17">
        <f>CT169*VLOOKUP('Données projet'!$B$13,Paramètres!$A$1:$I$89,3,0)*VLOOKUP('Données projet'!$B$13,Paramètres!$A$1:$I$89,5,0)</f>
        <v>169.46279999999999</v>
      </c>
      <c r="CV169" s="13">
        <f t="shared" si="173"/>
        <v>42.969686502194378</v>
      </c>
      <c r="CW169" s="20">
        <f t="shared" si="174"/>
        <v>369.9865806579885</v>
      </c>
      <c r="CX169" s="59">
        <f t="shared" si="122"/>
        <v>663.31991399132176</v>
      </c>
      <c r="CY169" s="59">
        <f ca="1">AVERAGE(OFFSET($CX$3,0,0,'Données projet'!$E$13+1,1))-AVERAGE(OFFSET($H$3,0,0,'Données projet'!$E$13+1,1))</f>
        <v>161.87883827031436</v>
      </c>
      <c r="CZ169" s="59">
        <f t="shared" si="150"/>
        <v>163.02076389611869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2.0541483343232447</v>
      </c>
      <c r="DG169" s="21">
        <f>EXP(-LN(2)/25)*DG168+(1-EXP(-LN(2)/25))/(LN(2)/25)*Calculateur!DB169*Calculateur!DD169*VLOOKUP('Données projet'!$B$13,Paramètres!$A$1:$I$89,3,0)*0.475*44/12</f>
        <v>0.80511942329171737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2.8592677576149619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149.0000000000002</v>
      </c>
      <c r="DP169" s="17">
        <f>DO169*VLOOKUP('Données projet'!$B$14,Paramètres!$A$1:$I$89,3,0)*VLOOKUP('Données projet'!$B$14,Paramètres!$A$1:$I$89,5,0)</f>
        <v>120.86880000000016</v>
      </c>
      <c r="DQ169" s="13">
        <f t="shared" si="176"/>
        <v>31.877547472771326</v>
      </c>
      <c r="DR169" s="20">
        <f t="shared" si="177"/>
        <v>266.03322184841039</v>
      </c>
      <c r="DS169" s="59">
        <f t="shared" si="125"/>
        <v>559.36655518174371</v>
      </c>
      <c r="DT169" s="59">
        <f ca="1">AVERAGE(OFFSET($DS$3,0,0,'Données projet'!$E$14+1,1))-AVERAGE(OFFSET($H$3,0,0,'Données projet'!$E$14+1,1))</f>
        <v>96.611230241682733</v>
      </c>
      <c r="DU169" s="59">
        <f t="shared" si="152"/>
        <v>78.711045514042041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0.39703275959424134</v>
      </c>
      <c r="EB169" s="21">
        <f>EXP(-LN(2)/25)*EB168+(1-EXP(-LN(2)/25))/(LN(2)/25)*Calculateur!DW169*Calculateur!DY169*VLOOKUP('Données projet'!$B$14,Paramètres!$A$1:$I$89,3,0)*0.475*44/12</f>
        <v>0.76283980333908563</v>
      </c>
      <c r="EC169" s="21">
        <f>EXP(-LN(2)/2)*EC168+(1-EXP(-LN(2)/2))/(LN(2)/2)*DW169*DZ169*VLOOKUP('Données projet'!$B$14,Paramètres!$A$1:$I$89,3,0)*0.475*44/12</f>
        <v>4.9395033675010322E-12</v>
      </c>
      <c r="ED169" s="22">
        <f t="shared" si="178"/>
        <v>1.1598725629382667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188.61152573050066</v>
      </c>
      <c r="EP169" s="59">
        <f t="shared" si="154"/>
        <v>172.37050503841624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24.861769211496821</v>
      </c>
      <c r="EW169" s="21">
        <f>EXP(-LN(2)/25)*EW168+(1-EXP(-LN(2)/25))/(LN(2)/25)*Calculateur!ER169*Calculateur!ET169*VLOOKUP('Données projet'!$B$15,Paramètres!$A$1:$I$89,3,0)*0.475*44/12</f>
        <v>3.0605501759798091</v>
      </c>
      <c r="EX169" s="21">
        <f>EXP(-LN(2)/2)*EX168+(1-EXP(-LN(2)/2))/(LN(2)/2)*ER169*EU169*VLOOKUP('Données projet'!$B$15,Paramètres!$A$1:$I$89,3,0)*0.475*44/12</f>
        <v>1.1189397732787533E-13</v>
      </c>
      <c r="EY169" s="22">
        <f t="shared" si="181"/>
        <v>27.92231938747674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0</v>
      </c>
      <c r="FK169" s="59">
        <f t="shared" si="156"/>
        <v>0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0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197.78572767493569</v>
      </c>
      <c r="T170" s="59">
        <f t="shared" si="142"/>
        <v>288.66487031729008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266.99999999999983</v>
      </c>
      <c r="AJ170" s="13">
        <f>AI170*VLOOKUP('Données projet'!$B$10,Paramètres!$A$1:$I$89,3,0)*VLOOKUP('Données projet'!$B$10,Paramètres!$A$1:$I$89,5,0)</f>
        <v>212.42519999999985</v>
      </c>
      <c r="AK170" s="13">
        <f t="shared" si="164"/>
        <v>52.465198231787184</v>
      </c>
      <c r="AL170" s="20">
        <f t="shared" si="165"/>
        <v>461.35077692036231</v>
      </c>
      <c r="AM170" s="59">
        <f t="shared" si="113"/>
        <v>754.68411025369562</v>
      </c>
      <c r="AN170" s="59">
        <f ca="1">AVERAGE(OFFSET($AM$3,0,0,'Données projet'!$E$10+1,1))-AVERAGE(OFFSET($H$3,0,0,'Données projet'!$E$10+1,1))</f>
        <v>219.43439115440339</v>
      </c>
      <c r="AO170" s="59">
        <f t="shared" si="144"/>
        <v>217.8880462742099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5.1402832068218114</v>
      </c>
      <c r="AV170" s="21">
        <f>EXP(-LN(2)/25)*AV169+(1-EXP(-LN(2)/25))/(LN(2)/25)*Calculateur!AQ170*Calculateur!AS170*VLOOKUP('Données projet'!$B$10,Paramètres!$A$1:$I$89,3,0)*0.475*44/12</f>
        <v>0.74645617827462218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5.8867393850964334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190.99999999999997</v>
      </c>
      <c r="BE170" s="13">
        <f>BD170*VLOOKUP('Données projet'!$B$11,Paramètres!$A$1:$I$89,3,0)*VLOOKUP('Données projet'!$B$11,Paramètres!$A$1:$I$89,5,0)</f>
        <v>166.85759999999999</v>
      </c>
      <c r="BF170" s="13">
        <f t="shared" si="167"/>
        <v>42.385468111966098</v>
      </c>
      <c r="BG170" s="20">
        <f t="shared" si="168"/>
        <v>364.43167696167421</v>
      </c>
      <c r="BH170" s="59">
        <f t="shared" si="116"/>
        <v>657.76501029500753</v>
      </c>
      <c r="BI170" s="59">
        <f ca="1">AVERAGE(OFFSET($BH$3,0,0,'Données projet'!$E$11+1,1))-AVERAGE(OFFSET($H$3,0,0,'Données projet'!$E$11+1,1))</f>
        <v>175.73188403662408</v>
      </c>
      <c r="BJ170" s="59">
        <f t="shared" si="146"/>
        <v>152.02195399869032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2.5274020682653555</v>
      </c>
      <c r="BQ170" s="21">
        <f>EXP(-LN(2)/25)*BQ169+(1-EXP(-LN(2)/25))/(LN(2)/25)*Calculateur!BL170*Calculateur!BN170*VLOOKUP('Données projet'!$B$11,Paramètres!$A$1:$I$89,3,0)*0.475*44/12</f>
        <v>1.7050375394054114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4.2324396076707664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-4.5474735088646412E-13</v>
      </c>
      <c r="BZ170" s="13">
        <f>BY170*VLOOKUP('Données projet'!$B$12,Paramètres!$A$1:$I$89,3,0)*VLOOKUP('Données projet'!$B$12,Paramètres!$A$1:$I$89,5,0)</f>
        <v>-4.1145540308207271E-13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213.54857791046686</v>
      </c>
      <c r="CE170" s="59">
        <f t="shared" si="148"/>
        <v>138.46877538074244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126.21492986863767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126.21492986863767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213</v>
      </c>
      <c r="CU170" s="17">
        <f>CT170*VLOOKUP('Données projet'!$B$13,Paramètres!$A$1:$I$89,3,0)*VLOOKUP('Données projet'!$B$13,Paramètres!$A$1:$I$89,5,0)</f>
        <v>169.46279999999999</v>
      </c>
      <c r="CV170" s="13">
        <f t="shared" si="173"/>
        <v>42.969686502194378</v>
      </c>
      <c r="CW170" s="20">
        <f t="shared" si="174"/>
        <v>369.9865806579885</v>
      </c>
      <c r="CX170" s="59">
        <f t="shared" si="122"/>
        <v>663.31991399132176</v>
      </c>
      <c r="CY170" s="59">
        <f ca="1">AVERAGE(OFFSET($CX$3,0,0,'Données projet'!$E$13+1,1))-AVERAGE(OFFSET($H$3,0,0,'Données projet'!$E$13+1,1))</f>
        <v>161.87883827031436</v>
      </c>
      <c r="CZ170" s="59">
        <f t="shared" si="150"/>
        <v>163.02076389611869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2.0138677383939356</v>
      </c>
      <c r="DG170" s="21">
        <f>EXP(-LN(2)/25)*DG169+(1-EXP(-LN(2)/25))/(LN(2)/25)*Calculateur!DB170*Calculateur!DD170*VLOOKUP('Données projet'!$B$13,Paramètres!$A$1:$I$89,3,0)*0.475*44/12</f>
        <v>0.78310339032241505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2.7969711287163506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149.0000000000002</v>
      </c>
      <c r="DP170" s="17">
        <f>DO170*VLOOKUP('Données projet'!$B$14,Paramètres!$A$1:$I$89,3,0)*VLOOKUP('Données projet'!$B$14,Paramètres!$A$1:$I$89,5,0)</f>
        <v>120.86880000000016</v>
      </c>
      <c r="DQ170" s="13">
        <f t="shared" si="176"/>
        <v>31.877547472771326</v>
      </c>
      <c r="DR170" s="20">
        <f t="shared" si="177"/>
        <v>266.03322184841039</v>
      </c>
      <c r="DS170" s="59">
        <f t="shared" si="125"/>
        <v>559.36655518174371</v>
      </c>
      <c r="DT170" s="59">
        <f ca="1">AVERAGE(OFFSET($DS$3,0,0,'Données projet'!$E$14+1,1))-AVERAGE(OFFSET($H$3,0,0,'Données projet'!$E$14+1,1))</f>
        <v>96.611230241682733</v>
      </c>
      <c r="DU170" s="59">
        <f t="shared" si="152"/>
        <v>78.711045514042041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0.38924718934466968</v>
      </c>
      <c r="EB170" s="21">
        <f>EXP(-LN(2)/25)*EB169+(1-EXP(-LN(2)/25))/(LN(2)/25)*Calculateur!DW170*Calculateur!DY170*VLOOKUP('Données projet'!$B$14,Paramètres!$A$1:$I$89,3,0)*0.475*44/12</f>
        <v>0.74197990880077658</v>
      </c>
      <c r="EC170" s="21">
        <f>EXP(-LN(2)/2)*EC169+(1-EXP(-LN(2)/2))/(LN(2)/2)*DW170*DZ170*VLOOKUP('Données projet'!$B$14,Paramètres!$A$1:$I$89,3,0)*0.475*44/12</f>
        <v>3.4927563268537671E-12</v>
      </c>
      <c r="ED170" s="22">
        <f t="shared" si="178"/>
        <v>1.131227098148939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188.61152573050066</v>
      </c>
      <c r="EP170" s="59">
        <f t="shared" si="154"/>
        <v>172.37050503841624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24.374245081441249</v>
      </c>
      <c r="EW170" s="21">
        <f>EXP(-LN(2)/25)*EW169+(1-EXP(-LN(2)/25))/(LN(2)/25)*Calculateur!ER170*Calculateur!ET170*VLOOKUP('Données projet'!$B$15,Paramètres!$A$1:$I$89,3,0)*0.475*44/12</f>
        <v>2.9768592704703023</v>
      </c>
      <c r="EX170" s="21">
        <f>EXP(-LN(2)/2)*EX169+(1-EXP(-LN(2)/2))/(LN(2)/2)*ER170*EU170*VLOOKUP('Données projet'!$B$15,Paramètres!$A$1:$I$89,3,0)*0.475*44/12</f>
        <v>7.9120990142474458E-14</v>
      </c>
      <c r="EY170" s="22">
        <f t="shared" si="181"/>
        <v>27.35110435191163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0</v>
      </c>
      <c r="FK170" s="59">
        <f t="shared" si="156"/>
        <v>0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0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197.78572767493569</v>
      </c>
      <c r="T171" s="59">
        <f t="shared" si="142"/>
        <v>288.66487031729008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266.99999999999983</v>
      </c>
      <c r="AJ171" s="13">
        <f>AI171*VLOOKUP('Données projet'!$B$10,Paramètres!$A$1:$I$89,3,0)*VLOOKUP('Données projet'!$B$10,Paramètres!$A$1:$I$89,5,0)</f>
        <v>212.42519999999985</v>
      </c>
      <c r="AK171" s="13">
        <f t="shared" si="164"/>
        <v>52.465198231787184</v>
      </c>
      <c r="AL171" s="20">
        <f t="shared" si="165"/>
        <v>461.35077692036231</v>
      </c>
      <c r="AM171" s="59">
        <f t="shared" si="113"/>
        <v>754.68411025369562</v>
      </c>
      <c r="AN171" s="59">
        <f ca="1">AVERAGE(OFFSET($AM$3,0,0,'Données projet'!$E$10+1,1))-AVERAGE(OFFSET($H$3,0,0,'Données projet'!$E$10+1,1))</f>
        <v>219.43439115440339</v>
      </c>
      <c r="AO171" s="59">
        <f t="shared" si="144"/>
        <v>217.8880462742099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5.0394853883992106</v>
      </c>
      <c r="AV171" s="21">
        <f>EXP(-LN(2)/25)*AV170+(1-EXP(-LN(2)/25))/(LN(2)/25)*Calculateur!AQ171*Calculateur!AS171*VLOOKUP('Données projet'!$B$10,Paramètres!$A$1:$I$89,3,0)*0.475*44/12</f>
        <v>0.72604429482527832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5.7655296832244893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190.99999999999997</v>
      </c>
      <c r="BE171" s="13">
        <f>BD171*VLOOKUP('Données projet'!$B$11,Paramètres!$A$1:$I$89,3,0)*VLOOKUP('Données projet'!$B$11,Paramètres!$A$1:$I$89,5,0)</f>
        <v>166.85759999999999</v>
      </c>
      <c r="BF171" s="13">
        <f t="shared" si="167"/>
        <v>42.385468111966098</v>
      </c>
      <c r="BG171" s="20">
        <f t="shared" si="168"/>
        <v>364.43167696167421</v>
      </c>
      <c r="BH171" s="59">
        <f t="shared" si="116"/>
        <v>657.76501029500753</v>
      </c>
      <c r="BI171" s="59">
        <f ca="1">AVERAGE(OFFSET($BH$3,0,0,'Données projet'!$E$11+1,1))-AVERAGE(OFFSET($H$3,0,0,'Données projet'!$E$11+1,1))</f>
        <v>175.73188403662408</v>
      </c>
      <c r="BJ171" s="59">
        <f t="shared" si="146"/>
        <v>152.02195399869032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2.4778412552697167</v>
      </c>
      <c r="BQ171" s="21">
        <f>EXP(-LN(2)/25)*BQ170+(1-EXP(-LN(2)/25))/(LN(2)/25)*Calculateur!BL171*Calculateur!BN171*VLOOKUP('Données projet'!$B$11,Paramètres!$A$1:$I$89,3,0)*0.475*44/12</f>
        <v>1.658413198226343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4.1362544534960595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-4.5474735088646412E-13</v>
      </c>
      <c r="BZ171" s="13">
        <f>BY171*VLOOKUP('Données projet'!$B$12,Paramètres!$A$1:$I$89,3,0)*VLOOKUP('Données projet'!$B$12,Paramètres!$A$1:$I$89,5,0)</f>
        <v>-4.1145540308207271E-13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213.54857791046686</v>
      </c>
      <c r="CE171" s="59">
        <f t="shared" si="148"/>
        <v>138.46877538074244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123.73993207741941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123.73993207741941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213</v>
      </c>
      <c r="CU171" s="17">
        <f>CT171*VLOOKUP('Données projet'!$B$13,Paramètres!$A$1:$I$89,3,0)*VLOOKUP('Données projet'!$B$13,Paramètres!$A$1:$I$89,5,0)</f>
        <v>169.46279999999999</v>
      </c>
      <c r="CV171" s="13">
        <f t="shared" si="173"/>
        <v>42.969686502194378</v>
      </c>
      <c r="CW171" s="20">
        <f t="shared" si="174"/>
        <v>369.9865806579885</v>
      </c>
      <c r="CX171" s="59">
        <f t="shared" si="122"/>
        <v>663.31991399132176</v>
      </c>
      <c r="CY171" s="59">
        <f ca="1">AVERAGE(OFFSET($CX$3,0,0,'Données projet'!$E$13+1,1))-AVERAGE(OFFSET($H$3,0,0,'Données projet'!$E$13+1,1))</f>
        <v>161.87883827031436</v>
      </c>
      <c r="CZ171" s="59">
        <f t="shared" si="150"/>
        <v>163.02076389611869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1.9743770203820628</v>
      </c>
      <c r="DG171" s="21">
        <f>EXP(-LN(2)/25)*DG170+(1-EXP(-LN(2)/25))/(LN(2)/25)*Calculateur!DB171*Calculateur!DD171*VLOOKUP('Données projet'!$B$13,Paramètres!$A$1:$I$89,3,0)*0.475*44/12</f>
        <v>0.76168938693243116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2.7360664073144938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149.0000000000002</v>
      </c>
      <c r="DP171" s="17">
        <f>DO171*VLOOKUP('Données projet'!$B$14,Paramètres!$A$1:$I$89,3,0)*VLOOKUP('Données projet'!$B$14,Paramètres!$A$1:$I$89,5,0)</f>
        <v>120.86880000000016</v>
      </c>
      <c r="DQ171" s="13">
        <f t="shared" si="176"/>
        <v>31.877547472771326</v>
      </c>
      <c r="DR171" s="20">
        <f t="shared" si="177"/>
        <v>266.03322184841039</v>
      </c>
      <c r="DS171" s="59">
        <f t="shared" si="125"/>
        <v>559.36655518174371</v>
      </c>
      <c r="DT171" s="59">
        <f ca="1">AVERAGE(OFFSET($DS$3,0,0,'Données projet'!$E$14+1,1))-AVERAGE(OFFSET($H$3,0,0,'Données projet'!$E$14+1,1))</f>
        <v>96.611230241682733</v>
      </c>
      <c r="DU171" s="59">
        <f t="shared" si="152"/>
        <v>78.711045514042041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0.38161428937896319</v>
      </c>
      <c r="EB171" s="21">
        <f>EXP(-LN(2)/25)*EB170+(1-EXP(-LN(2)/25))/(LN(2)/25)*Calculateur!DW171*Calculateur!DY171*VLOOKUP('Données projet'!$B$14,Paramètres!$A$1:$I$89,3,0)*0.475*44/12</f>
        <v>0.72169042917559179</v>
      </c>
      <c r="EC171" s="21">
        <f>EXP(-LN(2)/2)*EC170+(1-EXP(-LN(2)/2))/(LN(2)/2)*DW171*DZ171*VLOOKUP('Données projet'!$B$14,Paramètres!$A$1:$I$89,3,0)*0.475*44/12</f>
        <v>2.4697516837505165E-12</v>
      </c>
      <c r="ED171" s="22">
        <f t="shared" si="178"/>
        <v>1.1033047185570248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188.61152573050066</v>
      </c>
      <c r="EP171" s="59">
        <f t="shared" si="154"/>
        <v>172.37050503841624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23.896281002215709</v>
      </c>
      <c r="EW171" s="21">
        <f>EXP(-LN(2)/25)*EW170+(1-EXP(-LN(2)/25))/(LN(2)/25)*Calculateur!ER171*Calculateur!ET171*VLOOKUP('Données projet'!$B$15,Paramètres!$A$1:$I$89,3,0)*0.475*44/12</f>
        <v>2.8954568971730668</v>
      </c>
      <c r="EX171" s="21">
        <f>EXP(-LN(2)/2)*EX170+(1-EXP(-LN(2)/2))/(LN(2)/2)*ER171*EU171*VLOOKUP('Données projet'!$B$15,Paramètres!$A$1:$I$89,3,0)*0.475*44/12</f>
        <v>5.5946988663937672E-14</v>
      </c>
      <c r="EY171" s="22">
        <f t="shared" si="181"/>
        <v>26.791737899388831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0</v>
      </c>
      <c r="FK171" s="59">
        <f t="shared" si="156"/>
        <v>0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0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197.78572767493569</v>
      </c>
      <c r="T172" s="59">
        <f t="shared" si="142"/>
        <v>288.66487031729008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266.99999999999983</v>
      </c>
      <c r="AJ172" s="13">
        <f>AI172*VLOOKUP('Données projet'!$B$10,Paramètres!$A$1:$I$89,3,0)*VLOOKUP('Données projet'!$B$10,Paramètres!$A$1:$I$89,5,0)</f>
        <v>212.42519999999985</v>
      </c>
      <c r="AK172" s="13">
        <f t="shared" si="164"/>
        <v>52.465198231787184</v>
      </c>
      <c r="AL172" s="20">
        <f t="shared" si="165"/>
        <v>461.35077692036231</v>
      </c>
      <c r="AM172" s="59">
        <f t="shared" si="113"/>
        <v>754.68411025369562</v>
      </c>
      <c r="AN172" s="59">
        <f ca="1">AVERAGE(OFFSET($AM$3,0,0,'Données projet'!$E$10+1,1))-AVERAGE(OFFSET($H$3,0,0,'Données projet'!$E$10+1,1))</f>
        <v>219.43439115440339</v>
      </c>
      <c r="AO172" s="59">
        <f t="shared" si="144"/>
        <v>217.8880462742099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4.9406641537152778</v>
      </c>
      <c r="AV172" s="21">
        <f>EXP(-LN(2)/25)*AV171+(1-EXP(-LN(2)/25))/(LN(2)/25)*Calculateur!AQ172*Calculateur!AS172*VLOOKUP('Données projet'!$B$10,Paramètres!$A$1:$I$89,3,0)*0.475*44/12</f>
        <v>0.70619057540227104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5.6468547291175488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190.99999999999997</v>
      </c>
      <c r="BE172" s="13">
        <f>BD172*VLOOKUP('Données projet'!$B$11,Paramètres!$A$1:$I$89,3,0)*VLOOKUP('Données projet'!$B$11,Paramètres!$A$1:$I$89,5,0)</f>
        <v>166.85759999999999</v>
      </c>
      <c r="BF172" s="13">
        <f t="shared" si="167"/>
        <v>42.385468111966098</v>
      </c>
      <c r="BG172" s="20">
        <f t="shared" si="168"/>
        <v>364.43167696167421</v>
      </c>
      <c r="BH172" s="59">
        <f t="shared" si="116"/>
        <v>657.76501029500753</v>
      </c>
      <c r="BI172" s="59">
        <f ca="1">AVERAGE(OFFSET($BH$3,0,0,'Données projet'!$E$11+1,1))-AVERAGE(OFFSET($H$3,0,0,'Données projet'!$E$11+1,1))</f>
        <v>175.73188403662408</v>
      </c>
      <c r="BJ172" s="59">
        <f t="shared" si="146"/>
        <v>152.02195399869032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2.4292522995878114</v>
      </c>
      <c r="BQ172" s="21">
        <f>EXP(-LN(2)/25)*BQ171+(1-EXP(-LN(2)/25))/(LN(2)/25)*Calculateur!BL172*Calculateur!BN172*VLOOKUP('Données projet'!$B$11,Paramètres!$A$1:$I$89,3,0)*0.475*44/12</f>
        <v>1.6130638021086841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4.0423161016964952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-4.5474735088646412E-13</v>
      </c>
      <c r="BZ172" s="13">
        <f>BY172*VLOOKUP('Données projet'!$B$12,Paramètres!$A$1:$I$89,3,0)*VLOOKUP('Données projet'!$B$12,Paramètres!$A$1:$I$89,5,0)</f>
        <v>-4.1145540308207271E-13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213.54857791046686</v>
      </c>
      <c r="CE172" s="59">
        <f t="shared" si="148"/>
        <v>138.46877538074244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121.31346748328735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121.31346748328735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213</v>
      </c>
      <c r="CU172" s="17">
        <f>CT172*VLOOKUP('Données projet'!$B$13,Paramètres!$A$1:$I$89,3,0)*VLOOKUP('Données projet'!$B$13,Paramètres!$A$1:$I$89,5,0)</f>
        <v>169.46279999999999</v>
      </c>
      <c r="CV172" s="13">
        <f t="shared" si="173"/>
        <v>42.969686502194378</v>
      </c>
      <c r="CW172" s="20">
        <f t="shared" si="174"/>
        <v>369.9865806579885</v>
      </c>
      <c r="CX172" s="59">
        <f t="shared" si="122"/>
        <v>663.31991399132176</v>
      </c>
      <c r="CY172" s="59">
        <f ca="1">AVERAGE(OFFSET($CX$3,0,0,'Données projet'!$E$13+1,1))-AVERAGE(OFFSET($H$3,0,0,'Données projet'!$E$13+1,1))</f>
        <v>161.87883827031436</v>
      </c>
      <c r="CZ172" s="59">
        <f t="shared" si="150"/>
        <v>163.02076389611869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1.9356606912634431</v>
      </c>
      <c r="DG172" s="21">
        <f>EXP(-LN(2)/25)*DG171+(1-EXP(-LN(2)/25))/(LN(2)/25)*Calculateur!DB172*Calculateur!DD172*VLOOKUP('Données projet'!$B$13,Paramètres!$A$1:$I$89,3,0)*0.475*44/12</f>
        <v>0.74086095059125978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2.6765216418547029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149.0000000000002</v>
      </c>
      <c r="DP172" s="17">
        <f>DO172*VLOOKUP('Données projet'!$B$14,Paramètres!$A$1:$I$89,3,0)*VLOOKUP('Données projet'!$B$14,Paramètres!$A$1:$I$89,5,0)</f>
        <v>120.86880000000016</v>
      </c>
      <c r="DQ172" s="13">
        <f t="shared" si="176"/>
        <v>31.877547472771326</v>
      </c>
      <c r="DR172" s="20">
        <f t="shared" si="177"/>
        <v>266.03322184841039</v>
      </c>
      <c r="DS172" s="59">
        <f t="shared" si="125"/>
        <v>559.36655518174371</v>
      </c>
      <c r="DT172" s="59">
        <f ca="1">AVERAGE(OFFSET($DS$3,0,0,'Données projet'!$E$14+1,1))-AVERAGE(OFFSET($H$3,0,0,'Données projet'!$E$14+1,1))</f>
        <v>96.611230241682733</v>
      </c>
      <c r="DU172" s="59">
        <f t="shared" si="152"/>
        <v>78.711045514042041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0.37413106592597495</v>
      </c>
      <c r="EB172" s="21">
        <f>EXP(-LN(2)/25)*EB171+(1-EXP(-LN(2)/25))/(LN(2)/25)*Calculateur!DW172*Calculateur!DY172*VLOOKUP('Données projet'!$B$14,Paramètres!$A$1:$I$89,3,0)*0.475*44/12</f>
        <v>0.70195576643773505</v>
      </c>
      <c r="EC172" s="21">
        <f>EXP(-LN(2)/2)*EC171+(1-EXP(-LN(2)/2))/(LN(2)/2)*DW172*DZ172*VLOOKUP('Données projet'!$B$14,Paramètres!$A$1:$I$89,3,0)*0.475*44/12</f>
        <v>1.746378163426884E-12</v>
      </c>
      <c r="ED172" s="22">
        <f t="shared" si="178"/>
        <v>1.0760868323654564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188.61152573050066</v>
      </c>
      <c r="EP172" s="59">
        <f t="shared" si="154"/>
        <v>172.37050503841624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23.427689507054481</v>
      </c>
      <c r="EW172" s="21">
        <f>EXP(-LN(2)/25)*EW171+(1-EXP(-LN(2)/25))/(LN(2)/25)*Calculateur!ER172*Calculateur!ET172*VLOOKUP('Données projet'!$B$15,Paramètres!$A$1:$I$89,3,0)*0.475*44/12</f>
        <v>2.8162804760544087</v>
      </c>
      <c r="EX172" s="21">
        <f>EXP(-LN(2)/2)*EX171+(1-EXP(-LN(2)/2))/(LN(2)/2)*ER172*EU172*VLOOKUP('Données projet'!$B$15,Paramètres!$A$1:$I$89,3,0)*0.475*44/12</f>
        <v>3.9560495071237235E-14</v>
      </c>
      <c r="EY172" s="22">
        <f t="shared" si="181"/>
        <v>26.243969983108929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0</v>
      </c>
      <c r="FK172" s="59">
        <f t="shared" si="156"/>
        <v>0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0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197.78572767493569</v>
      </c>
      <c r="T173" s="59">
        <f t="shared" si="142"/>
        <v>288.66487031729008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266.99999999999983</v>
      </c>
      <c r="AJ173" s="13">
        <f>AI173*VLOOKUP('Données projet'!$B$10,Paramètres!$A$1:$I$89,3,0)*VLOOKUP('Données projet'!$B$10,Paramètres!$A$1:$I$89,5,0)</f>
        <v>212.42519999999985</v>
      </c>
      <c r="AK173" s="13">
        <f t="shared" si="164"/>
        <v>52.465198231787184</v>
      </c>
      <c r="AL173" s="20">
        <f t="shared" si="165"/>
        <v>461.35077692036231</v>
      </c>
      <c r="AM173" s="59">
        <f t="shared" si="113"/>
        <v>754.68411025369562</v>
      </c>
      <c r="AN173" s="59">
        <f ca="1">AVERAGE(OFFSET($AM$3,0,0,'Données projet'!$E$10+1,1))-AVERAGE(OFFSET($H$3,0,0,'Données projet'!$E$10+1,1))</f>
        <v>219.43439115440339</v>
      </c>
      <c r="AO173" s="59">
        <f t="shared" si="144"/>
        <v>217.8880462742099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4.8437807431684954</v>
      </c>
      <c r="AV173" s="21">
        <f>EXP(-LN(2)/25)*AV172+(1-EXP(-LN(2)/25))/(LN(2)/25)*Calculateur!AQ173*Calculateur!AS173*VLOOKUP('Données projet'!$B$10,Paramètres!$A$1:$I$89,3,0)*0.475*44/12</f>
        <v>0.68687975698094761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5.5306605001494429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190.99999999999997</v>
      </c>
      <c r="BE173" s="13">
        <f>BD173*VLOOKUP('Données projet'!$B$11,Paramètres!$A$1:$I$89,3,0)*VLOOKUP('Données projet'!$B$11,Paramètres!$A$1:$I$89,5,0)</f>
        <v>166.85759999999999</v>
      </c>
      <c r="BF173" s="13">
        <f t="shared" si="167"/>
        <v>42.385468111966098</v>
      </c>
      <c r="BG173" s="20">
        <f t="shared" si="168"/>
        <v>364.43167696167421</v>
      </c>
      <c r="BH173" s="59">
        <f t="shared" si="116"/>
        <v>657.76501029500753</v>
      </c>
      <c r="BI173" s="59">
        <f ca="1">AVERAGE(OFFSET($BH$3,0,0,'Données projet'!$E$11+1,1))-AVERAGE(OFFSET($H$3,0,0,'Données projet'!$E$11+1,1))</f>
        <v>175.73188403662408</v>
      </c>
      <c r="BJ173" s="59">
        <f t="shared" si="146"/>
        <v>152.02195399869032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2.3816161436904917</v>
      </c>
      <c r="BQ173" s="21">
        <f>EXP(-LN(2)/25)*BQ172+(1-EXP(-LN(2)/25))/(LN(2)/25)*Calculateur!BL173*Calculateur!BN173*VLOOKUP('Données projet'!$B$11,Paramètres!$A$1:$I$89,3,0)*0.475*44/12</f>
        <v>1.5689544876126835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3.950570631303175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-4.5474735088646412E-13</v>
      </c>
      <c r="BZ173" s="13">
        <f>BY173*VLOOKUP('Données projet'!$B$12,Paramètres!$A$1:$I$89,3,0)*VLOOKUP('Données projet'!$B$12,Paramètres!$A$1:$I$89,5,0)</f>
        <v>-4.1145540308207271E-13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213.54857791046686</v>
      </c>
      <c r="CE173" s="59">
        <f t="shared" si="148"/>
        <v>138.46877538074244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118.93458437984896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118.93458437984896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213</v>
      </c>
      <c r="CU173" s="17">
        <f>CT173*VLOOKUP('Données projet'!$B$13,Paramètres!$A$1:$I$89,3,0)*VLOOKUP('Données projet'!$B$13,Paramètres!$A$1:$I$89,5,0)</f>
        <v>169.46279999999999</v>
      </c>
      <c r="CV173" s="13">
        <f t="shared" si="173"/>
        <v>42.969686502194378</v>
      </c>
      <c r="CW173" s="20">
        <f t="shared" si="174"/>
        <v>369.9865806579885</v>
      </c>
      <c r="CX173" s="59">
        <f t="shared" si="122"/>
        <v>663.31991399132176</v>
      </c>
      <c r="CY173" s="59">
        <f ca="1">AVERAGE(OFFSET($CX$3,0,0,'Données projet'!$E$13+1,1))-AVERAGE(OFFSET($H$3,0,0,'Données projet'!$E$13+1,1))</f>
        <v>161.87883827031436</v>
      </c>
      <c r="CZ173" s="59">
        <f t="shared" si="150"/>
        <v>163.02076389611869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1.8977035657442105</v>
      </c>
      <c r="DG173" s="21">
        <f>EXP(-LN(2)/25)*DG172+(1-EXP(-LN(2)/25))/(LN(2)/25)*Calculateur!DB173*Calculateur!DD173*VLOOKUP('Données projet'!$B$13,Paramètres!$A$1:$I$89,3,0)*0.475*44/12</f>
        <v>0.72060206893715761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2.6183056346813682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149.0000000000002</v>
      </c>
      <c r="DP173" s="17">
        <f>DO173*VLOOKUP('Données projet'!$B$14,Paramètres!$A$1:$I$89,3,0)*VLOOKUP('Données projet'!$B$14,Paramètres!$A$1:$I$89,5,0)</f>
        <v>120.86880000000016</v>
      </c>
      <c r="DQ173" s="13">
        <f t="shared" si="176"/>
        <v>31.877547472771326</v>
      </c>
      <c r="DR173" s="20">
        <f t="shared" si="177"/>
        <v>266.03322184841039</v>
      </c>
      <c r="DS173" s="59">
        <f t="shared" si="125"/>
        <v>559.36655518174371</v>
      </c>
      <c r="DT173" s="59">
        <f ca="1">AVERAGE(OFFSET($DS$3,0,0,'Données projet'!$E$14+1,1))-AVERAGE(OFFSET($H$3,0,0,'Données projet'!$E$14+1,1))</f>
        <v>96.611230241682733</v>
      </c>
      <c r="DU173" s="59">
        <f t="shared" si="152"/>
        <v>78.711045514042041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0.36679458392058417</v>
      </c>
      <c r="EB173" s="21">
        <f>EXP(-LN(2)/25)*EB172+(1-EXP(-LN(2)/25))/(LN(2)/25)*Calculateur!DW173*Calculateur!DY173*VLOOKUP('Données projet'!$B$14,Paramètres!$A$1:$I$89,3,0)*0.475*44/12</f>
        <v>0.68276074909024576</v>
      </c>
      <c r="EC173" s="21">
        <f>EXP(-LN(2)/2)*EC172+(1-EXP(-LN(2)/2))/(LN(2)/2)*DW173*DZ173*VLOOKUP('Données projet'!$B$14,Paramètres!$A$1:$I$89,3,0)*0.475*44/12</f>
        <v>1.2348758418752585E-12</v>
      </c>
      <c r="ED173" s="22">
        <f t="shared" si="178"/>
        <v>1.0495553330120646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188.61152573050066</v>
      </c>
      <c r="EP173" s="59">
        <f t="shared" si="154"/>
        <v>172.37050503841624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22.968286805300774</v>
      </c>
      <c r="EW173" s="21">
        <f>EXP(-LN(2)/25)*EW172+(1-EXP(-LN(2)/25))/(LN(2)/25)*Calculateur!ER173*Calculateur!ET173*VLOOKUP('Données projet'!$B$15,Paramètres!$A$1:$I$89,3,0)*0.475*44/12</f>
        <v>2.7392691383349472</v>
      </c>
      <c r="EX173" s="21">
        <f>EXP(-LN(2)/2)*EX172+(1-EXP(-LN(2)/2))/(LN(2)/2)*ER173*EU173*VLOOKUP('Données projet'!$B$15,Paramètres!$A$1:$I$89,3,0)*0.475*44/12</f>
        <v>2.7973494331968842E-14</v>
      </c>
      <c r="EY173" s="22">
        <f t="shared" si="181"/>
        <v>25.70755594363575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0</v>
      </c>
      <c r="FK173" s="59">
        <f t="shared" si="156"/>
        <v>0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0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197.78572767493569</v>
      </c>
      <c r="T174" s="59">
        <f t="shared" si="142"/>
        <v>288.66487031729008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266.99999999999983</v>
      </c>
      <c r="AJ174" s="13">
        <f>AI174*VLOOKUP('Données projet'!$B$10,Paramètres!$A$1:$I$89,3,0)*VLOOKUP('Données projet'!$B$10,Paramètres!$A$1:$I$89,5,0)</f>
        <v>212.42519999999985</v>
      </c>
      <c r="AK174" s="13">
        <f t="shared" si="164"/>
        <v>52.465198231787184</v>
      </c>
      <c r="AL174" s="20">
        <f t="shared" si="165"/>
        <v>461.35077692036231</v>
      </c>
      <c r="AM174" s="59">
        <f t="shared" si="113"/>
        <v>754.68411025369562</v>
      </c>
      <c r="AN174" s="59">
        <f ca="1">AVERAGE(OFFSET($AM$3,0,0,'Données projet'!$E$10+1,1))-AVERAGE(OFFSET($H$3,0,0,'Données projet'!$E$10+1,1))</f>
        <v>219.43439115440339</v>
      </c>
      <c r="AO174" s="59">
        <f t="shared" si="144"/>
        <v>217.8880462742099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4.7487971572094905</v>
      </c>
      <c r="AV174" s="21">
        <f>EXP(-LN(2)/25)*AV173+(1-EXP(-LN(2)/25))/(LN(2)/25)*Calculateur!AQ174*Calculateur!AS174*VLOOKUP('Données projet'!$B$10,Paramètres!$A$1:$I$89,3,0)*0.475*44/12</f>
        <v>0.6680969939048671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5.4168941511143576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190.99999999999997</v>
      </c>
      <c r="BE174" s="13">
        <f>BD174*VLOOKUP('Données projet'!$B$11,Paramètres!$A$1:$I$89,3,0)*VLOOKUP('Données projet'!$B$11,Paramètres!$A$1:$I$89,5,0)</f>
        <v>166.85759999999999</v>
      </c>
      <c r="BF174" s="13">
        <f t="shared" si="167"/>
        <v>42.385468111966098</v>
      </c>
      <c r="BG174" s="20">
        <f t="shared" si="168"/>
        <v>364.43167696167421</v>
      </c>
      <c r="BH174" s="59">
        <f t="shared" si="116"/>
        <v>657.76501029500753</v>
      </c>
      <c r="BI174" s="59">
        <f ca="1">AVERAGE(OFFSET($BH$3,0,0,'Données projet'!$E$11+1,1))-AVERAGE(OFFSET($H$3,0,0,'Données projet'!$E$11+1,1))</f>
        <v>175.73188403662408</v>
      </c>
      <c r="BJ174" s="59">
        <f t="shared" si="146"/>
        <v>152.02195399869032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2.3349141037551324</v>
      </c>
      <c r="BQ174" s="21">
        <f>EXP(-LN(2)/25)*BQ173+(1-EXP(-LN(2)/25))/(LN(2)/25)*Calculateur!BL174*Calculateur!BN174*VLOOKUP('Données projet'!$B$11,Paramètres!$A$1:$I$89,3,0)*0.475*44/12</f>
        <v>1.5260513446411841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3.8609654483963167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-4.5474735088646412E-13</v>
      </c>
      <c r="BZ174" s="13">
        <f>BY174*VLOOKUP('Données projet'!$B$12,Paramètres!$A$1:$I$89,3,0)*VLOOKUP('Données projet'!$B$12,Paramètres!$A$1:$I$89,5,0)</f>
        <v>-4.1145540308207271E-13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213.54857791046686</v>
      </c>
      <c r="CE174" s="59">
        <f t="shared" si="148"/>
        <v>138.46877538074244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116.60234972309357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116.60234972309357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213</v>
      </c>
      <c r="CU174" s="17">
        <f>CT174*VLOOKUP('Données projet'!$B$13,Paramètres!$A$1:$I$89,3,0)*VLOOKUP('Données projet'!$B$13,Paramètres!$A$1:$I$89,5,0)</f>
        <v>169.46279999999999</v>
      </c>
      <c r="CV174" s="13">
        <f t="shared" si="173"/>
        <v>42.969686502194378</v>
      </c>
      <c r="CW174" s="20">
        <f t="shared" si="174"/>
        <v>369.9865806579885</v>
      </c>
      <c r="CX174" s="59">
        <f t="shared" si="122"/>
        <v>663.31991399132176</v>
      </c>
      <c r="CY174" s="59">
        <f ca="1">AVERAGE(OFFSET($CX$3,0,0,'Données projet'!$E$13+1,1))-AVERAGE(OFFSET($H$3,0,0,'Données projet'!$E$13+1,1))</f>
        <v>161.87883827031436</v>
      </c>
      <c r="CZ174" s="59">
        <f t="shared" si="150"/>
        <v>163.02076389611869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1.8604907563048496</v>
      </c>
      <c r="DG174" s="21">
        <f>EXP(-LN(2)/25)*DG173+(1-EXP(-LN(2)/25))/(LN(2)/25)*Calculateur!DB174*Calculateur!DD174*VLOOKUP('Données projet'!$B$13,Paramètres!$A$1:$I$89,3,0)*0.475*44/12</f>
        <v>0.70089716746725517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2.5613879237721049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149.0000000000002</v>
      </c>
      <c r="DP174" s="17">
        <f>DO174*VLOOKUP('Données projet'!$B$14,Paramètres!$A$1:$I$89,3,0)*VLOOKUP('Données projet'!$B$14,Paramètres!$A$1:$I$89,5,0)</f>
        <v>120.86880000000016</v>
      </c>
      <c r="DQ174" s="13">
        <f t="shared" si="176"/>
        <v>31.877547472771326</v>
      </c>
      <c r="DR174" s="20">
        <f t="shared" si="177"/>
        <v>266.03322184841039</v>
      </c>
      <c r="DS174" s="59">
        <f t="shared" si="125"/>
        <v>559.36655518174371</v>
      </c>
      <c r="DT174" s="59">
        <f ca="1">AVERAGE(OFFSET($DS$3,0,0,'Données projet'!$E$14+1,1))-AVERAGE(OFFSET($H$3,0,0,'Données projet'!$E$14+1,1))</f>
        <v>96.611230241682733</v>
      </c>
      <c r="DU174" s="59">
        <f t="shared" si="152"/>
        <v>78.711045514042041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0.35960196585250692</v>
      </c>
      <c r="EB174" s="21">
        <f>EXP(-LN(2)/25)*EB173+(1-EXP(-LN(2)/25))/(LN(2)/25)*Calculateur!DW174*Calculateur!DY174*VLOOKUP('Données projet'!$B$14,Paramètres!$A$1:$I$89,3,0)*0.475*44/12</f>
        <v>0.66409062050154566</v>
      </c>
      <c r="EC174" s="21">
        <f>EXP(-LN(2)/2)*EC173+(1-EXP(-LN(2)/2))/(LN(2)/2)*DW174*DZ174*VLOOKUP('Données projet'!$B$14,Paramètres!$A$1:$I$89,3,0)*0.475*44/12</f>
        <v>8.7318908171344209E-13</v>
      </c>
      <c r="ED174" s="22">
        <f t="shared" si="178"/>
        <v>1.0236925863549255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188.61152573050066</v>
      </c>
      <c r="EP174" s="59">
        <f t="shared" si="154"/>
        <v>172.37050503841624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22.517892710320478</v>
      </c>
      <c r="EW174" s="21">
        <f>EXP(-LN(2)/25)*EW173+(1-EXP(-LN(2)/25))/(LN(2)/25)*Calculateur!ER174*Calculateur!ET174*VLOOKUP('Données projet'!$B$15,Paramètres!$A$1:$I$89,3,0)*0.475*44/12</f>
        <v>2.664363679695275</v>
      </c>
      <c r="EX174" s="21">
        <f>EXP(-LN(2)/2)*EX173+(1-EXP(-LN(2)/2))/(LN(2)/2)*ER174*EU174*VLOOKUP('Données projet'!$B$15,Paramètres!$A$1:$I$89,3,0)*0.475*44/12</f>
        <v>1.9780247535618621E-14</v>
      </c>
      <c r="EY174" s="22">
        <f t="shared" si="181"/>
        <v>25.182256390015773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0</v>
      </c>
      <c r="FK174" s="59">
        <f t="shared" si="156"/>
        <v>0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0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197.78572767493569</v>
      </c>
      <c r="T175" s="59">
        <f t="shared" si="142"/>
        <v>288.66487031729008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266.99999999999983</v>
      </c>
      <c r="AJ175" s="13">
        <f>AI175*VLOOKUP('Données projet'!$B$10,Paramètres!$A$1:$I$89,3,0)*VLOOKUP('Données projet'!$B$10,Paramètres!$A$1:$I$89,5,0)</f>
        <v>212.42519999999985</v>
      </c>
      <c r="AK175" s="13">
        <f t="shared" si="164"/>
        <v>52.465198231787184</v>
      </c>
      <c r="AL175" s="20">
        <f t="shared" si="165"/>
        <v>461.35077692036231</v>
      </c>
      <c r="AM175" s="59">
        <f t="shared" si="113"/>
        <v>754.68411025369562</v>
      </c>
      <c r="AN175" s="59">
        <f ca="1">AVERAGE(OFFSET($AM$3,0,0,'Données projet'!$E$10+1,1))-AVERAGE(OFFSET($H$3,0,0,'Données projet'!$E$10+1,1))</f>
        <v>219.43439115440339</v>
      </c>
      <c r="AO175" s="59">
        <f t="shared" si="144"/>
        <v>217.8880462742099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4.6556761414368744</v>
      </c>
      <c r="AV175" s="21">
        <f>EXP(-LN(2)/25)*AV174+(1-EXP(-LN(2)/25))/(LN(2)/25)*Calculateur!AQ175*Calculateur!AS175*VLOOKUP('Données projet'!$B$10,Paramètres!$A$1:$I$89,3,0)*0.475*44/12</f>
        <v>0.64982784647284453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5.3055039879097192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190.99999999999997</v>
      </c>
      <c r="BE175" s="13">
        <f>BD175*VLOOKUP('Données projet'!$B$11,Paramètres!$A$1:$I$89,3,0)*VLOOKUP('Données projet'!$B$11,Paramètres!$A$1:$I$89,5,0)</f>
        <v>166.85759999999999</v>
      </c>
      <c r="BF175" s="13">
        <f t="shared" si="167"/>
        <v>42.385468111966098</v>
      </c>
      <c r="BG175" s="20">
        <f t="shared" si="168"/>
        <v>364.43167696167421</v>
      </c>
      <c r="BH175" s="59">
        <f t="shared" si="116"/>
        <v>657.76501029500753</v>
      </c>
      <c r="BI175" s="59">
        <f ca="1">AVERAGE(OFFSET($BH$3,0,0,'Données projet'!$E$11+1,1))-AVERAGE(OFFSET($H$3,0,0,'Données projet'!$E$11+1,1))</f>
        <v>175.73188403662408</v>
      </c>
      <c r="BJ175" s="59">
        <f t="shared" si="146"/>
        <v>152.02195399869032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2.2891278623374736</v>
      </c>
      <c r="BQ175" s="21">
        <f>EXP(-LN(2)/25)*BQ174+(1-EXP(-LN(2)/25))/(LN(2)/25)*Calculateur!BL175*Calculateur!BN175*VLOOKUP('Données projet'!$B$11,Paramètres!$A$1:$I$89,3,0)*0.475*44/12</f>
        <v>1.4843213903704184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3.7734492527078922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-4.5474735088646412E-13</v>
      </c>
      <c r="BZ175" s="13">
        <f>BY175*VLOOKUP('Données projet'!$B$12,Paramètres!$A$1:$I$89,3,0)*VLOOKUP('Données projet'!$B$12,Paramètres!$A$1:$I$89,5,0)</f>
        <v>-4.1145540308207271E-13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213.54857791046686</v>
      </c>
      <c r="CE175" s="59">
        <f t="shared" si="148"/>
        <v>138.46877538074244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114.31584876543448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114.31584876543448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213</v>
      </c>
      <c r="CU175" s="17">
        <f>CT175*VLOOKUP('Données projet'!$B$13,Paramètres!$A$1:$I$89,3,0)*VLOOKUP('Données projet'!$B$13,Paramètres!$A$1:$I$89,5,0)</f>
        <v>169.46279999999999</v>
      </c>
      <c r="CV175" s="13">
        <f t="shared" si="173"/>
        <v>42.969686502194378</v>
      </c>
      <c r="CW175" s="20">
        <f t="shared" si="174"/>
        <v>369.9865806579885</v>
      </c>
      <c r="CX175" s="59">
        <f t="shared" si="122"/>
        <v>663.31991399132176</v>
      </c>
      <c r="CY175" s="59">
        <f ca="1">AVERAGE(OFFSET($CX$3,0,0,'Données projet'!$E$13+1,1))-AVERAGE(OFFSET($H$3,0,0,'Données projet'!$E$13+1,1))</f>
        <v>161.87883827031436</v>
      </c>
      <c r="CZ175" s="59">
        <f t="shared" si="150"/>
        <v>163.02076389611869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1.8240076673610219</v>
      </c>
      <c r="DG175" s="21">
        <f>EXP(-LN(2)/25)*DG174+(1-EXP(-LN(2)/25))/(LN(2)/25)*Calculateur!DB175*Calculateur!DD175*VLOOKUP('Données projet'!$B$13,Paramètres!$A$1:$I$89,3,0)*0.475*44/12</f>
        <v>0.68173109756428296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2.5057387649253049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149.0000000000002</v>
      </c>
      <c r="DP175" s="17">
        <f>DO175*VLOOKUP('Données projet'!$B$14,Paramètres!$A$1:$I$89,3,0)*VLOOKUP('Données projet'!$B$14,Paramètres!$A$1:$I$89,5,0)</f>
        <v>120.86880000000016</v>
      </c>
      <c r="DQ175" s="13">
        <f t="shared" si="176"/>
        <v>31.877547472771326</v>
      </c>
      <c r="DR175" s="20">
        <f t="shared" si="177"/>
        <v>266.03322184841039</v>
      </c>
      <c r="DS175" s="59">
        <f t="shared" si="125"/>
        <v>559.36655518174371</v>
      </c>
      <c r="DT175" s="59">
        <f ca="1">AVERAGE(OFFSET($DS$3,0,0,'Données projet'!$E$14+1,1))-AVERAGE(OFFSET($H$3,0,0,'Données projet'!$E$14+1,1))</f>
        <v>96.611230241682733</v>
      </c>
      <c r="DU175" s="59">
        <f t="shared" si="152"/>
        <v>78.711045514042041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0.35255039063768084</v>
      </c>
      <c r="EB175" s="21">
        <f>EXP(-LN(2)/25)*EB174+(1-EXP(-LN(2)/25))/(LN(2)/25)*Calculateur!DW175*Calculateur!DY175*VLOOKUP('Données projet'!$B$14,Paramètres!$A$1:$I$89,3,0)*0.475*44/12</f>
        <v>0.64593102756092291</v>
      </c>
      <c r="EC175" s="21">
        <f>EXP(-LN(2)/2)*EC174+(1-EXP(-LN(2)/2))/(LN(2)/2)*DW175*DZ175*VLOOKUP('Données projet'!$B$14,Paramètres!$A$1:$I$89,3,0)*0.475*44/12</f>
        <v>6.1743792093762933E-13</v>
      </c>
      <c r="ED175" s="22">
        <f t="shared" si="178"/>
        <v>0.99848141819922109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188.61152573050066</v>
      </c>
      <c r="EP175" s="59">
        <f t="shared" si="154"/>
        <v>172.37050503841624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22.076330568829473</v>
      </c>
      <c r="EW175" s="21">
        <f>EXP(-LN(2)/25)*EW174+(1-EXP(-LN(2)/25))/(LN(2)/25)*Calculateur!ER175*Calculateur!ET175*VLOOKUP('Données projet'!$B$15,Paramètres!$A$1:$I$89,3,0)*0.475*44/12</f>
        <v>2.5915065147612113</v>
      </c>
      <c r="EX175" s="21">
        <f>EXP(-LN(2)/2)*EX174+(1-EXP(-LN(2)/2))/(LN(2)/2)*ER175*EU175*VLOOKUP('Données projet'!$B$15,Paramètres!$A$1:$I$89,3,0)*0.475*44/12</f>
        <v>1.3986747165984423E-14</v>
      </c>
      <c r="EY175" s="22">
        <f t="shared" si="181"/>
        <v>24.667837083590697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0</v>
      </c>
      <c r="FK175" s="59">
        <f t="shared" si="156"/>
        <v>0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0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197.78572767493569</v>
      </c>
      <c r="T176" s="59">
        <f t="shared" si="142"/>
        <v>288.66487031729008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266.99999999999983</v>
      </c>
      <c r="AJ176" s="13">
        <f>AI176*VLOOKUP('Données projet'!$B$10,Paramètres!$A$1:$I$89,3,0)*VLOOKUP('Données projet'!$B$10,Paramètres!$A$1:$I$89,5,0)</f>
        <v>212.42519999999985</v>
      </c>
      <c r="AK176" s="13">
        <f t="shared" si="164"/>
        <v>52.465198231787184</v>
      </c>
      <c r="AL176" s="20">
        <f t="shared" si="165"/>
        <v>461.35077692036231</v>
      </c>
      <c r="AM176" s="59">
        <f t="shared" si="113"/>
        <v>754.68411025369562</v>
      </c>
      <c r="AN176" s="59">
        <f ca="1">AVERAGE(OFFSET($AM$3,0,0,'Données projet'!$E$10+1,1))-AVERAGE(OFFSET($H$3,0,0,'Données projet'!$E$10+1,1))</f>
        <v>219.43439115440339</v>
      </c>
      <c r="AO176" s="59">
        <f t="shared" si="144"/>
        <v>217.8880462742099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4.5643811719853487</v>
      </c>
      <c r="AV176" s="21">
        <f>EXP(-LN(2)/25)*AV175+(1-EXP(-LN(2)/25))/(LN(2)/25)*Calculateur!AQ176*Calculateur!AS176*VLOOKUP('Données projet'!$B$10,Paramètres!$A$1:$I$89,3,0)*0.475*44/12</f>
        <v>0.63205826983808333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5.1964394418234319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190.99999999999997</v>
      </c>
      <c r="BE176" s="13">
        <f>BD176*VLOOKUP('Données projet'!$B$11,Paramètres!$A$1:$I$89,3,0)*VLOOKUP('Données projet'!$B$11,Paramètres!$A$1:$I$89,5,0)</f>
        <v>166.85759999999999</v>
      </c>
      <c r="BF176" s="13">
        <f t="shared" si="167"/>
        <v>42.385468111966098</v>
      </c>
      <c r="BG176" s="20">
        <f t="shared" si="168"/>
        <v>364.43167696167421</v>
      </c>
      <c r="BH176" s="59">
        <f t="shared" si="116"/>
        <v>657.76501029500753</v>
      </c>
      <c r="BI176" s="59">
        <f ca="1">AVERAGE(OFFSET($BH$3,0,0,'Données projet'!$E$11+1,1))-AVERAGE(OFFSET($H$3,0,0,'Données projet'!$E$11+1,1))</f>
        <v>175.73188403662408</v>
      </c>
      <c r="BJ176" s="59">
        <f t="shared" si="146"/>
        <v>152.02195399869032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2.2442394611871657</v>
      </c>
      <c r="BQ176" s="21">
        <f>EXP(-LN(2)/25)*BQ175+(1-EXP(-LN(2)/25))/(LN(2)/25)*Calculateur!BL176*Calculateur!BN176*VLOOKUP('Données projet'!$B$11,Paramètres!$A$1:$I$89,3,0)*0.475*44/12</f>
        <v>1.4437325438936699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3.6879720050808356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-4.5474735088646412E-13</v>
      </c>
      <c r="BZ176" s="13">
        <f>BY176*VLOOKUP('Données projet'!$B$12,Paramètres!$A$1:$I$89,3,0)*VLOOKUP('Données projet'!$B$12,Paramètres!$A$1:$I$89,5,0)</f>
        <v>-4.1145540308207271E-13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213.54857791046686</v>
      </c>
      <c r="CE176" s="59">
        <f t="shared" si="148"/>
        <v>138.46877538074244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112.0741846969272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112.0741846969272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213</v>
      </c>
      <c r="CU176" s="17">
        <f>CT176*VLOOKUP('Données projet'!$B$13,Paramètres!$A$1:$I$89,3,0)*VLOOKUP('Données projet'!$B$13,Paramètres!$A$1:$I$89,5,0)</f>
        <v>169.46279999999999</v>
      </c>
      <c r="CV176" s="13">
        <f t="shared" si="173"/>
        <v>42.969686502194378</v>
      </c>
      <c r="CW176" s="20">
        <f t="shared" si="174"/>
        <v>369.9865806579885</v>
      </c>
      <c r="CX176" s="59">
        <f t="shared" si="122"/>
        <v>663.31991399132176</v>
      </c>
      <c r="CY176" s="59">
        <f ca="1">AVERAGE(OFFSET($CX$3,0,0,'Données projet'!$E$13+1,1))-AVERAGE(OFFSET($H$3,0,0,'Données projet'!$E$13+1,1))</f>
        <v>161.87883827031436</v>
      </c>
      <c r="CZ176" s="59">
        <f t="shared" si="150"/>
        <v>163.02076389611869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1.7882399895388956</v>
      </c>
      <c r="DG176" s="21">
        <f>EXP(-LN(2)/25)*DG175+(1-EXP(-LN(2)/25))/(LN(2)/25)*Calculateur!DB176*Calculateur!DD176*VLOOKUP('Données projet'!$B$13,Paramètres!$A$1:$I$89,3,0)*0.475*44/12</f>
        <v>0.66308912485070737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2.451329114389603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149.0000000000002</v>
      </c>
      <c r="DP176" s="17">
        <f>DO176*VLOOKUP('Données projet'!$B$14,Paramètres!$A$1:$I$89,3,0)*VLOOKUP('Données projet'!$B$14,Paramètres!$A$1:$I$89,5,0)</f>
        <v>120.86880000000016</v>
      </c>
      <c r="DQ176" s="13">
        <f t="shared" si="176"/>
        <v>31.877547472771326</v>
      </c>
      <c r="DR176" s="20">
        <f t="shared" si="177"/>
        <v>266.03322184841039</v>
      </c>
      <c r="DS176" s="59">
        <f t="shared" si="125"/>
        <v>559.36655518174371</v>
      </c>
      <c r="DT176" s="59">
        <f ca="1">AVERAGE(OFFSET($DS$3,0,0,'Données projet'!$E$14+1,1))-AVERAGE(OFFSET($H$3,0,0,'Données projet'!$E$14+1,1))</f>
        <v>96.611230241682733</v>
      </c>
      <c r="DU176" s="59">
        <f t="shared" si="152"/>
        <v>78.711045514042041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0.34563709251178132</v>
      </c>
      <c r="EB176" s="21">
        <f>EXP(-LN(2)/25)*EB175+(1-EXP(-LN(2)/25))/(LN(2)/25)*Calculateur!DW176*Calculateur!DY176*VLOOKUP('Données projet'!$B$14,Paramètres!$A$1:$I$89,3,0)*0.475*44/12</f>
        <v>0.62826800964423302</v>
      </c>
      <c r="EC176" s="21">
        <f>EXP(-LN(2)/2)*EC175+(1-EXP(-LN(2)/2))/(LN(2)/2)*DW176*DZ176*VLOOKUP('Données projet'!$B$14,Paramètres!$A$1:$I$89,3,0)*0.475*44/12</f>
        <v>4.3659454085672114E-13</v>
      </c>
      <c r="ED176" s="22">
        <f t="shared" si="178"/>
        <v>0.97390510215645087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188.61152573050066</v>
      </c>
      <c r="EP176" s="59">
        <f t="shared" si="154"/>
        <v>172.37050503841624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21.643427191606794</v>
      </c>
      <c r="EW176" s="21">
        <f>EXP(-LN(2)/25)*EW175+(1-EXP(-LN(2)/25))/(LN(2)/25)*Calculateur!ER176*Calculateur!ET176*VLOOKUP('Données projet'!$B$15,Paramètres!$A$1:$I$89,3,0)*0.475*44/12</f>
        <v>2.5206416328336614</v>
      </c>
      <c r="EX176" s="21">
        <f>EXP(-LN(2)/2)*EX175+(1-EXP(-LN(2)/2))/(LN(2)/2)*ER176*EU176*VLOOKUP('Données projet'!$B$15,Paramètres!$A$1:$I$89,3,0)*0.475*44/12</f>
        <v>9.8901237678093119E-15</v>
      </c>
      <c r="EY176" s="22">
        <f t="shared" si="181"/>
        <v>24.164068824440466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0</v>
      </c>
      <c r="FK176" s="59">
        <f t="shared" si="156"/>
        <v>0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0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197.78572767493569</v>
      </c>
      <c r="T177" s="59">
        <f t="shared" si="142"/>
        <v>288.66487031729008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266.99999999999983</v>
      </c>
      <c r="AJ177" s="13">
        <f>AI177*VLOOKUP('Données projet'!$B$10,Paramètres!$A$1:$I$89,3,0)*VLOOKUP('Données projet'!$B$10,Paramètres!$A$1:$I$89,5,0)</f>
        <v>212.42519999999985</v>
      </c>
      <c r="AK177" s="13">
        <f t="shared" si="164"/>
        <v>52.465198231787184</v>
      </c>
      <c r="AL177" s="20">
        <f t="shared" si="165"/>
        <v>461.35077692036231</v>
      </c>
      <c r="AM177" s="59">
        <f t="shared" si="113"/>
        <v>754.68411025369562</v>
      </c>
      <c r="AN177" s="59">
        <f ca="1">AVERAGE(OFFSET($AM$3,0,0,'Données projet'!$E$10+1,1))-AVERAGE(OFFSET($H$3,0,0,'Données projet'!$E$10+1,1))</f>
        <v>219.43439115440339</v>
      </c>
      <c r="AO177" s="59">
        <f t="shared" si="144"/>
        <v>217.8880462742099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4.4748764412003341</v>
      </c>
      <c r="AV177" s="21">
        <f>EXP(-LN(2)/25)*AV176+(1-EXP(-LN(2)/25))/(LN(2)/25)*Calculateur!AQ177*Calculateur!AS177*VLOOKUP('Données projet'!$B$10,Paramètres!$A$1:$I$89,3,0)*0.475*44/12</f>
        <v>0.61477460321086108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5.0896510444111955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190.99999999999997</v>
      </c>
      <c r="BE177" s="13">
        <f>BD177*VLOOKUP('Données projet'!$B$11,Paramètres!$A$1:$I$89,3,0)*VLOOKUP('Données projet'!$B$11,Paramètres!$A$1:$I$89,5,0)</f>
        <v>166.85759999999999</v>
      </c>
      <c r="BF177" s="13">
        <f t="shared" si="167"/>
        <v>42.385468111966098</v>
      </c>
      <c r="BG177" s="20">
        <f t="shared" si="168"/>
        <v>364.43167696167421</v>
      </c>
      <c r="BH177" s="59">
        <f t="shared" si="116"/>
        <v>657.76501029500753</v>
      </c>
      <c r="BI177" s="59">
        <f ca="1">AVERAGE(OFFSET($BH$3,0,0,'Données projet'!$E$11+1,1))-AVERAGE(OFFSET($H$3,0,0,'Données projet'!$E$11+1,1))</f>
        <v>175.73188403662408</v>
      </c>
      <c r="BJ177" s="59">
        <f t="shared" si="146"/>
        <v>152.02195399869032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2.2002312942041939</v>
      </c>
      <c r="BQ177" s="21">
        <f>EXP(-LN(2)/25)*BQ176+(1-EXP(-LN(2)/25))/(LN(2)/25)*Calculateur!BL177*Calculateur!BN177*VLOOKUP('Données projet'!$B$11,Paramètres!$A$1:$I$89,3,0)*0.475*44/12</f>
        <v>1.4042536015583027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3.6044848957624964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-4.5474735088646412E-13</v>
      </c>
      <c r="BZ177" s="13">
        <f>BY177*VLOOKUP('Données projet'!$B$12,Paramètres!$A$1:$I$89,3,0)*VLOOKUP('Données projet'!$B$12,Paramètres!$A$1:$I$89,5,0)</f>
        <v>-4.1145540308207271E-13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213.54857791046686</v>
      </c>
      <c r="CE177" s="59">
        <f t="shared" si="148"/>
        <v>138.46877538074244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109.87647829352329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109.87647829352329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213</v>
      </c>
      <c r="CU177" s="17">
        <f>CT177*VLOOKUP('Données projet'!$B$13,Paramètres!$A$1:$I$89,3,0)*VLOOKUP('Données projet'!$B$13,Paramètres!$A$1:$I$89,5,0)</f>
        <v>169.46279999999999</v>
      </c>
      <c r="CV177" s="13">
        <f t="shared" si="173"/>
        <v>42.969686502194378</v>
      </c>
      <c r="CW177" s="20">
        <f t="shared" si="174"/>
        <v>369.9865806579885</v>
      </c>
      <c r="CX177" s="59">
        <f t="shared" si="122"/>
        <v>663.31991399132176</v>
      </c>
      <c r="CY177" s="59">
        <f ca="1">AVERAGE(OFFSET($CX$3,0,0,'Données projet'!$E$13+1,1))-AVERAGE(OFFSET($H$3,0,0,'Données projet'!$E$13+1,1))</f>
        <v>161.87883827031436</v>
      </c>
      <c r="CZ177" s="59">
        <f t="shared" si="150"/>
        <v>163.02076389611869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1.753173694062732</v>
      </c>
      <c r="DG177" s="21">
        <f>EXP(-LN(2)/25)*DG176+(1-EXP(-LN(2)/25))/(LN(2)/25)*Calculateur!DB177*Calculateur!DD177*VLOOKUP('Données projet'!$B$13,Paramètres!$A$1:$I$89,3,0)*0.475*44/12</f>
        <v>0.64495691786132325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2.3981306119240555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149.0000000000002</v>
      </c>
      <c r="DP177" s="17">
        <f>DO177*VLOOKUP('Données projet'!$B$14,Paramètres!$A$1:$I$89,3,0)*VLOOKUP('Données projet'!$B$14,Paramètres!$A$1:$I$89,5,0)</f>
        <v>120.86880000000016</v>
      </c>
      <c r="DQ177" s="13">
        <f t="shared" si="176"/>
        <v>31.877547472771326</v>
      </c>
      <c r="DR177" s="20">
        <f t="shared" si="177"/>
        <v>266.03322184841039</v>
      </c>
      <c r="DS177" s="59">
        <f t="shared" si="125"/>
        <v>559.36655518174371</v>
      </c>
      <c r="DT177" s="59">
        <f ca="1">AVERAGE(OFFSET($DS$3,0,0,'Données projet'!$E$14+1,1))-AVERAGE(OFFSET($H$3,0,0,'Données projet'!$E$14+1,1))</f>
        <v>96.611230241682733</v>
      </c>
      <c r="DU177" s="59">
        <f t="shared" si="152"/>
        <v>78.711045514042041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0.3388593599454352</v>
      </c>
      <c r="EB177" s="21">
        <f>EXP(-LN(2)/25)*EB176+(1-EXP(-LN(2)/25))/(LN(2)/25)*Calculateur!DW177*Calculateur!DY177*VLOOKUP('Données projet'!$B$14,Paramètres!$A$1:$I$89,3,0)*0.475*44/12</f>
        <v>0.61108798788133278</v>
      </c>
      <c r="EC177" s="21">
        <f>EXP(-LN(2)/2)*EC176+(1-EXP(-LN(2)/2))/(LN(2)/2)*DW177*DZ177*VLOOKUP('Données projet'!$B$14,Paramètres!$A$1:$I$89,3,0)*0.475*44/12</f>
        <v>3.0871896046881472E-13</v>
      </c>
      <c r="ED177" s="22">
        <f t="shared" si="178"/>
        <v>0.94994734782707668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188.61152573050066</v>
      </c>
      <c r="EP177" s="59">
        <f t="shared" si="154"/>
        <v>172.37050503841624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21.219012785566463</v>
      </c>
      <c r="EW177" s="21">
        <f>EXP(-LN(2)/25)*EW176+(1-EXP(-LN(2)/25))/(LN(2)/25)*Calculateur!ER177*Calculateur!ET177*VLOOKUP('Données projet'!$B$15,Paramètres!$A$1:$I$89,3,0)*0.475*44/12</f>
        <v>2.4517145548290427</v>
      </c>
      <c r="EX177" s="21">
        <f>EXP(-LN(2)/2)*EX176+(1-EXP(-LN(2)/2))/(LN(2)/2)*ER177*EU177*VLOOKUP('Données projet'!$B$15,Paramètres!$A$1:$I$89,3,0)*0.475*44/12</f>
        <v>6.9933735829922129E-15</v>
      </c>
      <c r="EY177" s="22">
        <f t="shared" si="181"/>
        <v>23.670727340395512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0</v>
      </c>
      <c r="FK177" s="59">
        <f t="shared" si="156"/>
        <v>0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0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197.78572767493569</v>
      </c>
      <c r="T178" s="59">
        <f t="shared" si="142"/>
        <v>288.66487031729008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266.99999999999983</v>
      </c>
      <c r="AJ178" s="13">
        <f>AI178*VLOOKUP('Données projet'!$B$10,Paramètres!$A$1:$I$89,3,0)*VLOOKUP('Données projet'!$B$10,Paramètres!$A$1:$I$89,5,0)</f>
        <v>212.42519999999985</v>
      </c>
      <c r="AK178" s="13">
        <f t="shared" si="164"/>
        <v>52.465198231787184</v>
      </c>
      <c r="AL178" s="20">
        <f t="shared" si="165"/>
        <v>461.35077692036231</v>
      </c>
      <c r="AM178" s="59">
        <f t="shared" si="113"/>
        <v>754.68411025369562</v>
      </c>
      <c r="AN178" s="59">
        <f ca="1">AVERAGE(OFFSET($AM$3,0,0,'Données projet'!$E$10+1,1))-AVERAGE(OFFSET($H$3,0,0,'Données projet'!$E$10+1,1))</f>
        <v>219.43439115440339</v>
      </c>
      <c r="AO178" s="59">
        <f t="shared" si="144"/>
        <v>217.8880462742099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4.387126843593518</v>
      </c>
      <c r="AV178" s="21">
        <f>EXP(-LN(2)/25)*AV177+(1-EXP(-LN(2)/25))/(LN(2)/25)*Calculateur!AQ178*Calculateur!AS178*VLOOKUP('Données projet'!$B$10,Paramètres!$A$1:$I$89,3,0)*0.475*44/12</f>
        <v>0.59796355935646883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4.9850904029499867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190.99999999999997</v>
      </c>
      <c r="BE178" s="13">
        <f>BD178*VLOOKUP('Données projet'!$B$11,Paramètres!$A$1:$I$89,3,0)*VLOOKUP('Données projet'!$B$11,Paramètres!$A$1:$I$89,5,0)</f>
        <v>166.85759999999999</v>
      </c>
      <c r="BF178" s="13">
        <f t="shared" si="167"/>
        <v>42.385468111966098</v>
      </c>
      <c r="BG178" s="20">
        <f t="shared" si="168"/>
        <v>364.43167696167421</v>
      </c>
      <c r="BH178" s="59">
        <f t="shared" si="116"/>
        <v>657.76501029500753</v>
      </c>
      <c r="BI178" s="59">
        <f ca="1">AVERAGE(OFFSET($BH$3,0,0,'Données projet'!$E$11+1,1))-AVERAGE(OFFSET($H$3,0,0,'Données projet'!$E$11+1,1))</f>
        <v>175.73188403662408</v>
      </c>
      <c r="BJ178" s="59">
        <f t="shared" si="146"/>
        <v>152.02195399869032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2.157086100533427</v>
      </c>
      <c r="BQ178" s="21">
        <f>EXP(-LN(2)/25)*BQ177+(1-EXP(-LN(2)/25))/(LN(2)/25)*Calculateur!BL178*Calculateur!BN178*VLOOKUP('Données projet'!$B$11,Paramètres!$A$1:$I$89,3,0)*0.475*44/12</f>
        <v>1.3658542129772036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3.5229403135106305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-4.5474735088646412E-13</v>
      </c>
      <c r="BZ178" s="13">
        <f>BY178*VLOOKUP('Données projet'!$B$12,Paramètres!$A$1:$I$89,3,0)*VLOOKUP('Données projet'!$B$12,Paramètres!$A$1:$I$89,5,0)</f>
        <v>-4.1145540308207271E-13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213.54857791046686</v>
      </c>
      <c r="CE178" s="59">
        <f t="shared" si="148"/>
        <v>138.46877538074244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107.72186757222158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107.72186757222158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213</v>
      </c>
      <c r="CU178" s="17">
        <f>CT178*VLOOKUP('Données projet'!$B$13,Paramètres!$A$1:$I$89,3,0)*VLOOKUP('Données projet'!$B$13,Paramètres!$A$1:$I$89,5,0)</f>
        <v>169.46279999999999</v>
      </c>
      <c r="CV178" s="13">
        <f t="shared" si="173"/>
        <v>42.969686502194378</v>
      </c>
      <c r="CW178" s="20">
        <f t="shared" si="174"/>
        <v>369.9865806579885</v>
      </c>
      <c r="CX178" s="59">
        <f t="shared" si="122"/>
        <v>663.31991399132176</v>
      </c>
      <c r="CY178" s="59">
        <f ca="1">AVERAGE(OFFSET($CX$3,0,0,'Données projet'!$E$13+1,1))-AVERAGE(OFFSET($H$3,0,0,'Données projet'!$E$13+1,1))</f>
        <v>161.87883827031436</v>
      </c>
      <c r="CZ178" s="59">
        <f t="shared" si="150"/>
        <v>163.02076389611869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1.7187950272525276</v>
      </c>
      <c r="DG178" s="21">
        <f>EXP(-LN(2)/25)*DG177+(1-EXP(-LN(2)/25))/(LN(2)/25)*Calculateur!DB178*Calculateur!DD178*VLOOKUP('Données projet'!$B$13,Paramètres!$A$1:$I$89,3,0)*0.475*44/12</f>
        <v>0.62732053702559509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2.3461155642781226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149.0000000000002</v>
      </c>
      <c r="DP178" s="17">
        <f>DO178*VLOOKUP('Données projet'!$B$14,Paramètres!$A$1:$I$89,3,0)*VLOOKUP('Données projet'!$B$14,Paramètres!$A$1:$I$89,5,0)</f>
        <v>120.86880000000016</v>
      </c>
      <c r="DQ178" s="13">
        <f t="shared" si="176"/>
        <v>31.877547472771326</v>
      </c>
      <c r="DR178" s="20">
        <f t="shared" si="177"/>
        <v>266.03322184841039</v>
      </c>
      <c r="DS178" s="59">
        <f t="shared" si="125"/>
        <v>559.36655518174371</v>
      </c>
      <c r="DT178" s="59">
        <f ca="1">AVERAGE(OFFSET($DS$3,0,0,'Données projet'!$E$14+1,1))-AVERAGE(OFFSET($H$3,0,0,'Données projet'!$E$14+1,1))</f>
        <v>96.611230241682733</v>
      </c>
      <c r="DU178" s="59">
        <f t="shared" si="152"/>
        <v>78.711045514042041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0.33221453458070643</v>
      </c>
      <c r="EB178" s="21">
        <f>EXP(-LN(2)/25)*EB177+(1-EXP(-LN(2)/25))/(LN(2)/25)*Calculateur!DW178*Calculateur!DY178*VLOOKUP('Données projet'!$B$14,Paramètres!$A$1:$I$89,3,0)*0.475*44/12</f>
        <v>0.59437775471699716</v>
      </c>
      <c r="EC178" s="21">
        <f>EXP(-LN(2)/2)*EC177+(1-EXP(-LN(2)/2))/(LN(2)/2)*DW178*DZ178*VLOOKUP('Données projet'!$B$14,Paramètres!$A$1:$I$89,3,0)*0.475*44/12</f>
        <v>2.182972704283606E-13</v>
      </c>
      <c r="ED178" s="22">
        <f t="shared" si="178"/>
        <v>0.92659228929792192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188.61152573050066</v>
      </c>
      <c r="EP178" s="59">
        <f t="shared" si="154"/>
        <v>172.37050503841624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20.802920887161356</v>
      </c>
      <c r="EW178" s="21">
        <f>EXP(-LN(2)/25)*EW177+(1-EXP(-LN(2)/25))/(LN(2)/25)*Calculateur!ER178*Calculateur!ET178*VLOOKUP('Données projet'!$B$15,Paramètres!$A$1:$I$89,3,0)*0.475*44/12</f>
        <v>2.3846722913971776</v>
      </c>
      <c r="EX178" s="21">
        <f>EXP(-LN(2)/2)*EX177+(1-EXP(-LN(2)/2))/(LN(2)/2)*ER178*EU178*VLOOKUP('Données projet'!$B$15,Paramètres!$A$1:$I$89,3,0)*0.475*44/12</f>
        <v>4.9450618839046568E-15</v>
      </c>
      <c r="EY178" s="22">
        <f t="shared" si="181"/>
        <v>23.187593178558537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0</v>
      </c>
      <c r="FK178" s="59">
        <f t="shared" si="156"/>
        <v>0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0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197.78572767493569</v>
      </c>
      <c r="T179" s="59">
        <f t="shared" si="142"/>
        <v>288.66487031729008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266.99999999999983</v>
      </c>
      <c r="AJ179" s="13">
        <f>AI179*VLOOKUP('Données projet'!$B$10,Paramètres!$A$1:$I$89,3,0)*VLOOKUP('Données projet'!$B$10,Paramètres!$A$1:$I$89,5,0)</f>
        <v>212.42519999999985</v>
      </c>
      <c r="AK179" s="13">
        <f t="shared" si="164"/>
        <v>52.465198231787184</v>
      </c>
      <c r="AL179" s="20">
        <f t="shared" si="165"/>
        <v>461.35077692036231</v>
      </c>
      <c r="AM179" s="59">
        <f t="shared" si="113"/>
        <v>754.68411025369562</v>
      </c>
      <c r="AN179" s="59">
        <f ca="1">AVERAGE(OFFSET($AM$3,0,0,'Données projet'!$E$10+1,1))-AVERAGE(OFFSET($H$3,0,0,'Données projet'!$E$10+1,1))</f>
        <v>219.43439115440339</v>
      </c>
      <c r="AO179" s="59">
        <f t="shared" si="144"/>
        <v>217.8880462742099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4.3010979620738023</v>
      </c>
      <c r="AV179" s="21">
        <f>EXP(-LN(2)/25)*AV178+(1-EXP(-LN(2)/25))/(LN(2)/25)*Calculateur!AQ179*Calculateur!AS179*VLOOKUP('Données projet'!$B$10,Paramètres!$A$1:$I$89,3,0)*0.475*44/12</f>
        <v>0.58161221438032928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4.8827101764541316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190.99999999999997</v>
      </c>
      <c r="BE179" s="13">
        <f>BD179*VLOOKUP('Données projet'!$B$11,Paramètres!$A$1:$I$89,3,0)*VLOOKUP('Données projet'!$B$11,Paramètres!$A$1:$I$89,5,0)</f>
        <v>166.85759999999999</v>
      </c>
      <c r="BF179" s="13">
        <f t="shared" si="167"/>
        <v>42.385468111966098</v>
      </c>
      <c r="BG179" s="20">
        <f t="shared" si="168"/>
        <v>364.43167696167421</v>
      </c>
      <c r="BH179" s="59">
        <f t="shared" si="116"/>
        <v>657.76501029500753</v>
      </c>
      <c r="BI179" s="59">
        <f ca="1">AVERAGE(OFFSET($BH$3,0,0,'Données projet'!$E$11+1,1))-AVERAGE(OFFSET($H$3,0,0,'Données projet'!$E$11+1,1))</f>
        <v>175.73188403662408</v>
      </c>
      <c r="BJ179" s="59">
        <f t="shared" si="146"/>
        <v>152.02195399869032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2.1147869577945739</v>
      </c>
      <c r="BQ179" s="21">
        <f>EXP(-LN(2)/25)*BQ178+(1-EXP(-LN(2)/25))/(LN(2)/25)*Calculateur!BL179*Calculateur!BN179*VLOOKUP('Données projet'!$B$11,Paramètres!$A$1:$I$89,3,0)*0.475*44/12</f>
        <v>1.3285048576961906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3.4432918154907646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-4.5474735088646412E-13</v>
      </c>
      <c r="BZ179" s="13">
        <f>BY179*VLOOKUP('Données projet'!$B$12,Paramètres!$A$1:$I$89,3,0)*VLOOKUP('Données projet'!$B$12,Paramètres!$A$1:$I$89,5,0)</f>
        <v>-4.1145540308207271E-13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213.54857791046686</v>
      </c>
      <c r="CE179" s="59">
        <f t="shared" si="148"/>
        <v>138.46877538074244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105.60950745298182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105.60950745298182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213</v>
      </c>
      <c r="CU179" s="17">
        <f>CT179*VLOOKUP('Données projet'!$B$13,Paramètres!$A$1:$I$89,3,0)*VLOOKUP('Données projet'!$B$13,Paramètres!$A$1:$I$89,5,0)</f>
        <v>169.46279999999999</v>
      </c>
      <c r="CV179" s="13">
        <f t="shared" si="173"/>
        <v>42.969686502194378</v>
      </c>
      <c r="CW179" s="20">
        <f t="shared" si="174"/>
        <v>369.9865806579885</v>
      </c>
      <c r="CX179" s="59">
        <f t="shared" si="122"/>
        <v>663.31991399132176</v>
      </c>
      <c r="CY179" s="59">
        <f ca="1">AVERAGE(OFFSET($CX$3,0,0,'Données projet'!$E$13+1,1))-AVERAGE(OFFSET($H$3,0,0,'Données projet'!$E$13+1,1))</f>
        <v>161.87883827031436</v>
      </c>
      <c r="CZ179" s="59">
        <f t="shared" si="150"/>
        <v>163.02076389611869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1.685090505129555</v>
      </c>
      <c r="DG179" s="21">
        <f>EXP(-LN(2)/25)*DG178+(1-EXP(-LN(2)/25))/(LN(2)/25)*Calculateur!DB179*Calculateur!DD179*VLOOKUP('Données projet'!$B$13,Paramètres!$A$1:$I$89,3,0)*0.475*44/12</f>
        <v>0.61016642395127696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2.295256929080832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149.0000000000002</v>
      </c>
      <c r="DP179" s="17">
        <f>DO179*VLOOKUP('Données projet'!$B$14,Paramètres!$A$1:$I$89,3,0)*VLOOKUP('Données projet'!$B$14,Paramètres!$A$1:$I$89,5,0)</f>
        <v>120.86880000000016</v>
      </c>
      <c r="DQ179" s="13">
        <f t="shared" si="176"/>
        <v>31.877547472771326</v>
      </c>
      <c r="DR179" s="20">
        <f t="shared" si="177"/>
        <v>266.03322184841039</v>
      </c>
      <c r="DS179" s="59">
        <f t="shared" si="125"/>
        <v>559.36655518174371</v>
      </c>
      <c r="DT179" s="59">
        <f ca="1">AVERAGE(OFFSET($DS$3,0,0,'Données projet'!$E$14+1,1))-AVERAGE(OFFSET($H$3,0,0,'Données projet'!$E$14+1,1))</f>
        <v>96.611230241682733</v>
      </c>
      <c r="DU179" s="59">
        <f t="shared" si="152"/>
        <v>78.711045514042041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0.32570001018843675</v>
      </c>
      <c r="EB179" s="21">
        <f>EXP(-LN(2)/25)*EB178+(1-EXP(-LN(2)/25))/(LN(2)/25)*Calculateur!DW179*Calculateur!DY179*VLOOKUP('Données projet'!$B$14,Paramètres!$A$1:$I$89,3,0)*0.475*44/12</f>
        <v>0.57812446375729321</v>
      </c>
      <c r="EC179" s="21">
        <f>EXP(-LN(2)/2)*EC178+(1-EXP(-LN(2)/2))/(LN(2)/2)*DW179*DZ179*VLOOKUP('Données projet'!$B$14,Paramètres!$A$1:$I$89,3,0)*0.475*44/12</f>
        <v>1.5435948023440738E-13</v>
      </c>
      <c r="ED179" s="22">
        <f t="shared" si="178"/>
        <v>0.90382447394588428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188.61152573050066</v>
      </c>
      <c r="EP179" s="59">
        <f t="shared" si="154"/>
        <v>172.37050503841624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20.394988297092976</v>
      </c>
      <c r="EW179" s="21">
        <f>EXP(-LN(2)/25)*EW178+(1-EXP(-LN(2)/25))/(LN(2)/25)*Calculateur!ER179*Calculateur!ET179*VLOOKUP('Données projet'!$B$15,Paramètres!$A$1:$I$89,3,0)*0.475*44/12</f>
        <v>2.3194633021844564</v>
      </c>
      <c r="EX179" s="21">
        <f>EXP(-LN(2)/2)*EX178+(1-EXP(-LN(2)/2))/(LN(2)/2)*ER179*EU179*VLOOKUP('Données projet'!$B$15,Paramètres!$A$1:$I$89,3,0)*0.475*44/12</f>
        <v>3.4966867914961069E-15</v>
      </c>
      <c r="EY179" s="22">
        <f t="shared" si="181"/>
        <v>22.714451599277435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0</v>
      </c>
      <c r="FK179" s="59">
        <f t="shared" si="156"/>
        <v>0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0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197.78572767493569</v>
      </c>
      <c r="T180" s="59">
        <f t="shared" si="142"/>
        <v>288.66487031729008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266.99999999999983</v>
      </c>
      <c r="AJ180" s="13">
        <f>AI180*VLOOKUP('Données projet'!$B$10,Paramètres!$A$1:$I$89,3,0)*VLOOKUP('Données projet'!$B$10,Paramètres!$A$1:$I$89,5,0)</f>
        <v>212.42519999999985</v>
      </c>
      <c r="AK180" s="13">
        <f t="shared" si="164"/>
        <v>52.465198231787184</v>
      </c>
      <c r="AL180" s="20">
        <f t="shared" si="165"/>
        <v>461.35077692036231</v>
      </c>
      <c r="AM180" s="59">
        <f t="shared" si="113"/>
        <v>754.68411025369562</v>
      </c>
      <c r="AN180" s="59">
        <f ca="1">AVERAGE(OFFSET($AM$3,0,0,'Données projet'!$E$10+1,1))-AVERAGE(OFFSET($H$3,0,0,'Données projet'!$E$10+1,1))</f>
        <v>219.43439115440339</v>
      </c>
      <c r="AO180" s="59">
        <f t="shared" si="144"/>
        <v>217.8880462742099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4.2167560544482514</v>
      </c>
      <c r="AV180" s="21">
        <f>EXP(-LN(2)/25)*AV179+(1-EXP(-LN(2)/25))/(LN(2)/25)*Calculateur!AQ180*Calculateur!AS180*VLOOKUP('Données projet'!$B$10,Paramètres!$A$1:$I$89,3,0)*0.475*44/12</f>
        <v>0.56570799779244207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4.7824640522406936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190.99999999999997</v>
      </c>
      <c r="BE180" s="13">
        <f>BD180*VLOOKUP('Données projet'!$B$11,Paramètres!$A$1:$I$89,3,0)*VLOOKUP('Données projet'!$B$11,Paramètres!$A$1:$I$89,5,0)</f>
        <v>166.85759999999999</v>
      </c>
      <c r="BF180" s="13">
        <f t="shared" si="167"/>
        <v>42.385468111966098</v>
      </c>
      <c r="BG180" s="20">
        <f t="shared" si="168"/>
        <v>364.43167696167421</v>
      </c>
      <c r="BH180" s="59">
        <f t="shared" si="116"/>
        <v>657.76501029500753</v>
      </c>
      <c r="BI180" s="59">
        <f ca="1">AVERAGE(OFFSET($BH$3,0,0,'Données projet'!$E$11+1,1))-AVERAGE(OFFSET($H$3,0,0,'Données projet'!$E$11+1,1))</f>
        <v>175.73188403662408</v>
      </c>
      <c r="BJ180" s="59">
        <f t="shared" si="146"/>
        <v>152.02195399869032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2.0733172754449001</v>
      </c>
      <c r="BQ180" s="21">
        <f>EXP(-LN(2)/25)*BQ179+(1-EXP(-LN(2)/25))/(LN(2)/25)*Calculateur!BL180*Calculateur!BN180*VLOOKUP('Données projet'!$B$11,Paramètres!$A$1:$I$89,3,0)*0.475*44/12</f>
        <v>1.2921768224994541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3.3654940979443539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-4.5474735088646412E-13</v>
      </c>
      <c r="BZ180" s="13">
        <f>BY180*VLOOKUP('Données projet'!$B$12,Paramètres!$A$1:$I$89,3,0)*VLOOKUP('Données projet'!$B$12,Paramètres!$A$1:$I$89,5,0)</f>
        <v>-4.1145540308207271E-13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213.54857791046686</v>
      </c>
      <c r="CE180" s="59">
        <f t="shared" si="148"/>
        <v>138.46877538074244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103.53856942726789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103.53856942726789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213</v>
      </c>
      <c r="CU180" s="17">
        <f>CT180*VLOOKUP('Données projet'!$B$13,Paramètres!$A$1:$I$89,3,0)*VLOOKUP('Données projet'!$B$13,Paramètres!$A$1:$I$89,5,0)</f>
        <v>169.46279999999999</v>
      </c>
      <c r="CV180" s="13">
        <f t="shared" si="173"/>
        <v>42.969686502194378</v>
      </c>
      <c r="CW180" s="20">
        <f t="shared" si="174"/>
        <v>369.9865806579885</v>
      </c>
      <c r="CX180" s="59">
        <f t="shared" si="122"/>
        <v>663.31991399132176</v>
      </c>
      <c r="CY180" s="59">
        <f ca="1">AVERAGE(OFFSET($CX$3,0,0,'Données projet'!$E$13+1,1))-AVERAGE(OFFSET($H$3,0,0,'Données projet'!$E$13+1,1))</f>
        <v>161.87883827031436</v>
      </c>
      <c r="CZ180" s="59">
        <f t="shared" si="150"/>
        <v>163.02076389611869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1.6520469081276854</v>
      </c>
      <c r="DG180" s="21">
        <f>EXP(-LN(2)/25)*DG179+(1-EXP(-LN(2)/25))/(LN(2)/25)*Calculateur!DB180*Calculateur!DD180*VLOOKUP('Données projet'!$B$13,Paramètres!$A$1:$I$89,3,0)*0.475*44/12</f>
        <v>0.59348139100107156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2.2455282991287571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149.0000000000002</v>
      </c>
      <c r="DP180" s="17">
        <f>DO180*VLOOKUP('Données projet'!$B$14,Paramètres!$A$1:$I$89,3,0)*VLOOKUP('Données projet'!$B$14,Paramètres!$A$1:$I$89,5,0)</f>
        <v>120.86880000000016</v>
      </c>
      <c r="DQ180" s="13">
        <f t="shared" si="176"/>
        <v>31.877547472771326</v>
      </c>
      <c r="DR180" s="20">
        <f t="shared" si="177"/>
        <v>266.03322184841039</v>
      </c>
      <c r="DS180" s="59">
        <f t="shared" si="125"/>
        <v>559.36655518174371</v>
      </c>
      <c r="DT180" s="59">
        <f ca="1">AVERAGE(OFFSET($DS$3,0,0,'Données projet'!$E$14+1,1))-AVERAGE(OFFSET($H$3,0,0,'Données projet'!$E$14+1,1))</f>
        <v>96.611230241682733</v>
      </c>
      <c r="DU180" s="59">
        <f t="shared" si="152"/>
        <v>78.711045514042041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0.31931323164603193</v>
      </c>
      <c r="EB180" s="21">
        <f>EXP(-LN(2)/25)*EB179+(1-EXP(-LN(2)/25))/(LN(2)/25)*Calculateur!DW180*Calculateur!DY180*VLOOKUP('Données projet'!$B$14,Paramètres!$A$1:$I$89,3,0)*0.475*44/12</f>
        <v>0.56231561989360579</v>
      </c>
      <c r="EC180" s="21">
        <f>EXP(-LN(2)/2)*EC179+(1-EXP(-LN(2)/2))/(LN(2)/2)*DW180*DZ180*VLOOKUP('Données projet'!$B$14,Paramètres!$A$1:$I$89,3,0)*0.475*44/12</f>
        <v>1.0914863521418031E-13</v>
      </c>
      <c r="ED180" s="22">
        <f t="shared" si="178"/>
        <v>0.8816288515397469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188.61152573050066</v>
      </c>
      <c r="EP180" s="59">
        <f t="shared" si="154"/>
        <v>172.37050503841624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19.995055016301524</v>
      </c>
      <c r="EW180" s="21">
        <f>EXP(-LN(2)/25)*EW179+(1-EXP(-LN(2)/25))/(LN(2)/25)*Calculateur!ER180*Calculateur!ET180*VLOOKUP('Données projet'!$B$15,Paramètres!$A$1:$I$89,3,0)*0.475*44/12</f>
        <v>2.2560374562109486</v>
      </c>
      <c r="EX180" s="21">
        <f>EXP(-LN(2)/2)*EX179+(1-EXP(-LN(2)/2))/(LN(2)/2)*ER180*EU180*VLOOKUP('Données projet'!$B$15,Paramètres!$A$1:$I$89,3,0)*0.475*44/12</f>
        <v>2.4725309419523288E-15</v>
      </c>
      <c r="EY180" s="22">
        <f t="shared" si="181"/>
        <v>22.251092472512475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0</v>
      </c>
      <c r="FK180" s="59">
        <f t="shared" si="156"/>
        <v>0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0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197.78572767493569</v>
      </c>
      <c r="T181" s="59">
        <f t="shared" si="142"/>
        <v>288.66487031729008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266.99999999999983</v>
      </c>
      <c r="AJ181" s="13">
        <f>AI181*VLOOKUP('Données projet'!$B$10,Paramètres!$A$1:$I$89,3,0)*VLOOKUP('Données projet'!$B$10,Paramètres!$A$1:$I$89,5,0)</f>
        <v>212.42519999999985</v>
      </c>
      <c r="AK181" s="13">
        <f t="shared" si="164"/>
        <v>52.465198231787184</v>
      </c>
      <c r="AL181" s="20">
        <f t="shared" si="165"/>
        <v>461.35077692036231</v>
      </c>
      <c r="AM181" s="59">
        <f t="shared" si="113"/>
        <v>754.68411025369562</v>
      </c>
      <c r="AN181" s="59">
        <f ca="1">AVERAGE(OFFSET($AM$3,0,0,'Données projet'!$E$10+1,1))-AVERAGE(OFFSET($H$3,0,0,'Données projet'!$E$10+1,1))</f>
        <v>219.43439115440339</v>
      </c>
      <c r="AO181" s="59">
        <f t="shared" si="144"/>
        <v>217.8880462742099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4.1340680401877536</v>
      </c>
      <c r="AV181" s="21">
        <f>EXP(-LN(2)/25)*AV180+(1-EXP(-LN(2)/25))/(LN(2)/25)*Calculateur!AQ181*Calculateur!AS181*VLOOKUP('Données projet'!$B$10,Paramètres!$A$1:$I$89,3,0)*0.475*44/12</f>
        <v>0.55023868284351707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4.6843067230312707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190.99999999999997</v>
      </c>
      <c r="BE181" s="13">
        <f>BD181*VLOOKUP('Données projet'!$B$11,Paramètres!$A$1:$I$89,3,0)*VLOOKUP('Données projet'!$B$11,Paramètres!$A$1:$I$89,5,0)</f>
        <v>166.85759999999999</v>
      </c>
      <c r="BF181" s="13">
        <f t="shared" si="167"/>
        <v>42.385468111966098</v>
      </c>
      <c r="BG181" s="20">
        <f t="shared" si="168"/>
        <v>364.43167696167421</v>
      </c>
      <c r="BH181" s="59">
        <f t="shared" si="116"/>
        <v>657.76501029500753</v>
      </c>
      <c r="BI181" s="59">
        <f ca="1">AVERAGE(OFFSET($BH$3,0,0,'Données projet'!$E$11+1,1))-AVERAGE(OFFSET($H$3,0,0,'Données projet'!$E$11+1,1))</f>
        <v>175.73188403662408</v>
      </c>
      <c r="BJ181" s="59">
        <f t="shared" si="146"/>
        <v>152.02195399869032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2.0326607882720951</v>
      </c>
      <c r="BQ181" s="21">
        <f>EXP(-LN(2)/25)*BQ180+(1-EXP(-LN(2)/25))/(LN(2)/25)*Calculateur!BL181*Calculateur!BN181*VLOOKUP('Données projet'!$B$11,Paramètres!$A$1:$I$89,3,0)*0.475*44/12</f>
        <v>1.2568421793355808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3.2895029676076759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-4.5474735088646412E-13</v>
      </c>
      <c r="BZ181" s="13">
        <f>BY181*VLOOKUP('Données projet'!$B$12,Paramètres!$A$1:$I$89,3,0)*VLOOKUP('Données projet'!$B$12,Paramètres!$A$1:$I$89,5,0)</f>
        <v>-4.1145540308207271E-13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213.54857791046686</v>
      </c>
      <c r="CE181" s="59">
        <f t="shared" si="148"/>
        <v>138.46877538074244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101.50824123309074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101.50824123309074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213</v>
      </c>
      <c r="CU181" s="17">
        <f>CT181*VLOOKUP('Données projet'!$B$13,Paramètres!$A$1:$I$89,3,0)*VLOOKUP('Données projet'!$B$13,Paramètres!$A$1:$I$89,5,0)</f>
        <v>169.46279999999999</v>
      </c>
      <c r="CV181" s="13">
        <f t="shared" si="173"/>
        <v>42.969686502194378</v>
      </c>
      <c r="CW181" s="20">
        <f t="shared" si="174"/>
        <v>369.9865806579885</v>
      </c>
      <c r="CX181" s="59">
        <f t="shared" si="122"/>
        <v>663.31991399132176</v>
      </c>
      <c r="CY181" s="59">
        <f ca="1">AVERAGE(OFFSET($CX$3,0,0,'Données projet'!$E$13+1,1))-AVERAGE(OFFSET($H$3,0,0,'Données projet'!$E$13+1,1))</f>
        <v>161.87883827031436</v>
      </c>
      <c r="CZ181" s="59">
        <f t="shared" si="150"/>
        <v>163.02076389611869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1.6196512759084183</v>
      </c>
      <c r="DG181" s="21">
        <f>EXP(-LN(2)/25)*DG180+(1-EXP(-LN(2)/25))/(LN(2)/25)*Calculateur!DB181*Calculateur!DD181*VLOOKUP('Données projet'!$B$13,Paramètres!$A$1:$I$89,3,0)*0.475*44/12</f>
        <v>0.57725261115431736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2.1969038870627355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149.0000000000002</v>
      </c>
      <c r="DP181" s="17">
        <f>DO181*VLOOKUP('Données projet'!$B$14,Paramètres!$A$1:$I$89,3,0)*VLOOKUP('Données projet'!$B$14,Paramètres!$A$1:$I$89,5,0)</f>
        <v>120.86880000000016</v>
      </c>
      <c r="DQ181" s="13">
        <f t="shared" si="176"/>
        <v>31.877547472771326</v>
      </c>
      <c r="DR181" s="20">
        <f t="shared" si="177"/>
        <v>266.03322184841039</v>
      </c>
      <c r="DS181" s="59">
        <f t="shared" si="125"/>
        <v>559.36655518174371</v>
      </c>
      <c r="DT181" s="59">
        <f ca="1">AVERAGE(OFFSET($DS$3,0,0,'Données projet'!$E$14+1,1))-AVERAGE(OFFSET($H$3,0,0,'Données projet'!$E$14+1,1))</f>
        <v>96.611230241682733</v>
      </c>
      <c r="DU181" s="59">
        <f t="shared" si="152"/>
        <v>78.711045514042041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0.31305169393529342</v>
      </c>
      <c r="EB181" s="21">
        <f>EXP(-LN(2)/25)*EB180+(1-EXP(-LN(2)/25))/(LN(2)/25)*Calculateur!DW181*Calculateur!DY181*VLOOKUP('Données projet'!$B$14,Paramètres!$A$1:$I$89,3,0)*0.475*44/12</f>
        <v>0.5469390696967219</v>
      </c>
      <c r="EC181" s="21">
        <f>EXP(-LN(2)/2)*EC180+(1-EXP(-LN(2)/2))/(LN(2)/2)*DW181*DZ181*VLOOKUP('Données projet'!$B$14,Paramètres!$A$1:$I$89,3,0)*0.475*44/12</f>
        <v>7.7179740117203704E-14</v>
      </c>
      <c r="ED181" s="22">
        <f t="shared" si="178"/>
        <v>0.85999076363209248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188.61152573050066</v>
      </c>
      <c r="EP181" s="59">
        <f t="shared" si="154"/>
        <v>172.37050503841624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19.602964183211178</v>
      </c>
      <c r="EW181" s="21">
        <f>EXP(-LN(2)/25)*EW180+(1-EXP(-LN(2)/25))/(LN(2)/25)*Calculateur!ER181*Calculateur!ET181*VLOOKUP('Données projet'!$B$15,Paramètres!$A$1:$I$89,3,0)*0.475*44/12</f>
        <v>2.1943459933310066</v>
      </c>
      <c r="EX181" s="21">
        <f>EXP(-LN(2)/2)*EX180+(1-EXP(-LN(2)/2))/(LN(2)/2)*ER181*EU181*VLOOKUP('Données projet'!$B$15,Paramètres!$A$1:$I$89,3,0)*0.475*44/12</f>
        <v>1.7483433957480536E-15</v>
      </c>
      <c r="EY181" s="22">
        <f t="shared" si="181"/>
        <v>21.797310176542183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0</v>
      </c>
      <c r="FK181" s="59">
        <f t="shared" si="156"/>
        <v>0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0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197.78572767493569</v>
      </c>
      <c r="T182" s="59">
        <f t="shared" si="142"/>
        <v>288.66487031729008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266.99999999999983</v>
      </c>
      <c r="AJ182" s="13">
        <f>AI182*VLOOKUP('Données projet'!$B$10,Paramètres!$A$1:$I$89,3,0)*VLOOKUP('Données projet'!$B$10,Paramètres!$A$1:$I$89,5,0)</f>
        <v>212.42519999999985</v>
      </c>
      <c r="AK182" s="13">
        <f t="shared" si="164"/>
        <v>52.465198231787184</v>
      </c>
      <c r="AL182" s="20">
        <f t="shared" si="165"/>
        <v>461.35077692036231</v>
      </c>
      <c r="AM182" s="59">
        <f t="shared" si="113"/>
        <v>754.68411025369562</v>
      </c>
      <c r="AN182" s="59">
        <f ca="1">AVERAGE(OFFSET($AM$3,0,0,'Données projet'!$E$10+1,1))-AVERAGE(OFFSET($H$3,0,0,'Données projet'!$E$10+1,1))</f>
        <v>219.43439115440339</v>
      </c>
      <c r="AO182" s="59">
        <f t="shared" si="144"/>
        <v>217.8880462742099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4.053001487452196</v>
      </c>
      <c r="AV182" s="21">
        <f>EXP(-LN(2)/25)*AV181+(1-EXP(-LN(2)/25))/(LN(2)/25)*Calculateur!AQ182*Calculateur!AS182*VLOOKUP('Données projet'!$B$10,Paramètres!$A$1:$I$89,3,0)*0.475*44/12</f>
        <v>0.53519237712536638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4.588193864577562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190.99999999999997</v>
      </c>
      <c r="BE182" s="13">
        <f>BD182*VLOOKUP('Données projet'!$B$11,Paramètres!$A$1:$I$89,3,0)*VLOOKUP('Données projet'!$B$11,Paramètres!$A$1:$I$89,5,0)</f>
        <v>166.85759999999999</v>
      </c>
      <c r="BF182" s="13">
        <f t="shared" si="167"/>
        <v>42.385468111966098</v>
      </c>
      <c r="BG182" s="20">
        <f t="shared" si="168"/>
        <v>364.43167696167421</v>
      </c>
      <c r="BH182" s="59">
        <f t="shared" si="116"/>
        <v>657.76501029500753</v>
      </c>
      <c r="BI182" s="59">
        <f ca="1">AVERAGE(OFFSET($BH$3,0,0,'Données projet'!$E$11+1,1))-AVERAGE(OFFSET($H$3,0,0,'Données projet'!$E$11+1,1))</f>
        <v>175.73188403662408</v>
      </c>
      <c r="BJ182" s="59">
        <f t="shared" si="146"/>
        <v>152.02195399869032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1.99280155001474</v>
      </c>
      <c r="BQ182" s="21">
        <f>EXP(-LN(2)/25)*BQ181+(1-EXP(-LN(2)/25))/(LN(2)/25)*Calculateur!BL182*Calculateur!BN182*VLOOKUP('Données projet'!$B$11,Paramètres!$A$1:$I$89,3,0)*0.475*44/12</f>
        <v>1.2224737638471916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3.2152753138619317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-4.5474735088646412E-13</v>
      </c>
      <c r="BZ182" s="13">
        <f>BY182*VLOOKUP('Données projet'!$B$12,Paramètres!$A$1:$I$89,3,0)*VLOOKUP('Données projet'!$B$12,Paramètres!$A$1:$I$89,5,0)</f>
        <v>-4.1145540308207271E-13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213.54857791046686</v>
      </c>
      <c r="CE182" s="59">
        <f t="shared" si="148"/>
        <v>138.46877538074244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99.517726536423496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99.517726536423496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213</v>
      </c>
      <c r="CU182" s="17">
        <f>CT182*VLOOKUP('Données projet'!$B$13,Paramètres!$A$1:$I$89,3,0)*VLOOKUP('Données projet'!$B$13,Paramètres!$A$1:$I$89,5,0)</f>
        <v>169.46279999999999</v>
      </c>
      <c r="CV182" s="13">
        <f t="shared" si="173"/>
        <v>42.969686502194378</v>
      </c>
      <c r="CW182" s="20">
        <f t="shared" si="174"/>
        <v>369.9865806579885</v>
      </c>
      <c r="CX182" s="59">
        <f t="shared" si="122"/>
        <v>663.31991399132176</v>
      </c>
      <c r="CY182" s="59">
        <f ca="1">AVERAGE(OFFSET($CX$3,0,0,'Données projet'!$E$13+1,1))-AVERAGE(OFFSET($H$3,0,0,'Données projet'!$E$13+1,1))</f>
        <v>161.87883827031436</v>
      </c>
      <c r="CZ182" s="59">
        <f t="shared" si="150"/>
        <v>163.02076389611869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1.5878909022775864</v>
      </c>
      <c r="DG182" s="21">
        <f>EXP(-LN(2)/25)*DG181+(1-EXP(-LN(2)/25))/(LN(2)/25)*Calculateur!DB182*Calculateur!DD182*VLOOKUP('Données projet'!$B$13,Paramètres!$A$1:$I$89,3,0)*0.475*44/12</f>
        <v>0.56146760814590702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2.1493585104234936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149.0000000000002</v>
      </c>
      <c r="DP182" s="17">
        <f>DO182*VLOOKUP('Données projet'!$B$14,Paramètres!$A$1:$I$89,3,0)*VLOOKUP('Données projet'!$B$14,Paramètres!$A$1:$I$89,5,0)</f>
        <v>120.86880000000016</v>
      </c>
      <c r="DQ182" s="13">
        <f t="shared" si="176"/>
        <v>31.877547472771326</v>
      </c>
      <c r="DR182" s="20">
        <f t="shared" si="177"/>
        <v>266.03322184841039</v>
      </c>
      <c r="DS182" s="59">
        <f t="shared" si="125"/>
        <v>559.36655518174371</v>
      </c>
      <c r="DT182" s="59">
        <f ca="1">AVERAGE(OFFSET($DS$3,0,0,'Données projet'!$E$14+1,1))-AVERAGE(OFFSET($H$3,0,0,'Données projet'!$E$14+1,1))</f>
        <v>96.611230241682733</v>
      </c>
      <c r="DU182" s="59">
        <f t="shared" si="152"/>
        <v>78.711045514042041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0.30691294115990159</v>
      </c>
      <c r="EB182" s="21">
        <f>EXP(-LN(2)/25)*EB181+(1-EXP(-LN(2)/25))/(LN(2)/25)*Calculateur!DW182*Calculateur!DY182*VLOOKUP('Données projet'!$B$14,Paramètres!$A$1:$I$89,3,0)*0.475*44/12</f>
        <v>0.53198299207358946</v>
      </c>
      <c r="EC182" s="21">
        <f>EXP(-LN(2)/2)*EC181+(1-EXP(-LN(2)/2))/(LN(2)/2)*DW182*DZ182*VLOOKUP('Données projet'!$B$14,Paramètres!$A$1:$I$89,3,0)*0.475*44/12</f>
        <v>5.4574317607090168E-14</v>
      </c>
      <c r="ED182" s="22">
        <f t="shared" si="178"/>
        <v>0.83889593323354572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188.61152573050066</v>
      </c>
      <c r="EP182" s="59">
        <f t="shared" si="154"/>
        <v>172.37050503841624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19.21856201220594</v>
      </c>
      <c r="EW182" s="21">
        <f>EXP(-LN(2)/25)*EW181+(1-EXP(-LN(2)/25))/(LN(2)/25)*Calculateur!ER182*Calculateur!ET182*VLOOKUP('Données projet'!$B$15,Paramètres!$A$1:$I$89,3,0)*0.475*44/12</f>
        <v>2.1343414867477297</v>
      </c>
      <c r="EX182" s="21">
        <f>EXP(-LN(2)/2)*EX181+(1-EXP(-LN(2)/2))/(LN(2)/2)*ER182*EU182*VLOOKUP('Données projet'!$B$15,Paramètres!$A$1:$I$89,3,0)*0.475*44/12</f>
        <v>1.2362654709761646E-15</v>
      </c>
      <c r="EY182" s="22">
        <f t="shared" si="181"/>
        <v>21.352903498953669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0</v>
      </c>
      <c r="FK182" s="59">
        <f t="shared" si="156"/>
        <v>0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0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197.78572767493569</v>
      </c>
      <c r="T183" s="59">
        <f t="shared" si="142"/>
        <v>288.66487031729008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266.99999999999983</v>
      </c>
      <c r="AJ183" s="13">
        <f>AI183*VLOOKUP('Données projet'!$B$10,Paramètres!$A$1:$I$89,3,0)*VLOOKUP('Données projet'!$B$10,Paramètres!$A$1:$I$89,5,0)</f>
        <v>212.42519999999985</v>
      </c>
      <c r="AK183" s="13">
        <f t="shared" si="164"/>
        <v>52.465198231787184</v>
      </c>
      <c r="AL183" s="20">
        <f t="shared" si="165"/>
        <v>461.35077692036231</v>
      </c>
      <c r="AM183" s="59">
        <f t="shared" si="113"/>
        <v>754.68411025369562</v>
      </c>
      <c r="AN183" s="59">
        <f ca="1">AVERAGE(OFFSET($AM$3,0,0,'Données projet'!$E$10+1,1))-AVERAGE(OFFSET($H$3,0,0,'Données projet'!$E$10+1,1))</f>
        <v>219.43439115440339</v>
      </c>
      <c r="AO183" s="59">
        <f t="shared" si="144"/>
        <v>217.8880462742099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3.9735246003700677</v>
      </c>
      <c r="AV183" s="21">
        <f>EXP(-LN(2)/25)*AV182+(1-EXP(-LN(2)/25))/(LN(2)/25)*Calculateur!AQ183*Calculateur!AS183*VLOOKUP('Données projet'!$B$10,Paramètres!$A$1:$I$89,3,0)*0.475*44/12</f>
        <v>0.52055751342832934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4.4940821137983971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190.99999999999997</v>
      </c>
      <c r="BE183" s="13">
        <f>BD183*VLOOKUP('Données projet'!$B$11,Paramètres!$A$1:$I$89,3,0)*VLOOKUP('Données projet'!$B$11,Paramètres!$A$1:$I$89,5,0)</f>
        <v>166.85759999999999</v>
      </c>
      <c r="BF183" s="13">
        <f t="shared" si="167"/>
        <v>42.385468111966098</v>
      </c>
      <c r="BG183" s="20">
        <f t="shared" si="168"/>
        <v>364.43167696167421</v>
      </c>
      <c r="BH183" s="59">
        <f t="shared" si="116"/>
        <v>657.76501029500753</v>
      </c>
      <c r="BI183" s="59">
        <f ca="1">AVERAGE(OFFSET($BH$3,0,0,'Données projet'!$E$11+1,1))-AVERAGE(OFFSET($H$3,0,0,'Données projet'!$E$11+1,1))</f>
        <v>175.73188403662408</v>
      </c>
      <c r="BJ183" s="59">
        <f t="shared" si="146"/>
        <v>152.02195399869032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1.953723927107877</v>
      </c>
      <c r="BQ183" s="21">
        <f>EXP(-LN(2)/25)*BQ182+(1-EXP(-LN(2)/25))/(LN(2)/25)*Calculateur!BL183*Calculateur!BN183*VLOOKUP('Données projet'!$B$11,Paramètres!$A$1:$I$89,3,0)*0.475*44/12</f>
        <v>1.189045154487689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3.1427690815955662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-4.5474735088646412E-13</v>
      </c>
      <c r="BZ183" s="13">
        <f>BY183*VLOOKUP('Données projet'!$B$12,Paramètres!$A$1:$I$89,3,0)*VLOOKUP('Données projet'!$B$12,Paramètres!$A$1:$I$89,5,0)</f>
        <v>-4.1145540308207271E-13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213.54857791046686</v>
      </c>
      <c r="CE183" s="59">
        <f t="shared" si="148"/>
        <v>138.46877538074244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97.566244618863806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97.566244618863806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213</v>
      </c>
      <c r="CU183" s="17">
        <f>CT183*VLOOKUP('Données projet'!$B$13,Paramètres!$A$1:$I$89,3,0)*VLOOKUP('Données projet'!$B$13,Paramètres!$A$1:$I$89,5,0)</f>
        <v>169.46279999999999</v>
      </c>
      <c r="CV183" s="13">
        <f t="shared" si="173"/>
        <v>42.969686502194378</v>
      </c>
      <c r="CW183" s="20">
        <f t="shared" si="174"/>
        <v>369.9865806579885</v>
      </c>
      <c r="CX183" s="59">
        <f t="shared" si="122"/>
        <v>663.31991399132176</v>
      </c>
      <c r="CY183" s="59">
        <f ca="1">AVERAGE(OFFSET($CX$3,0,0,'Données projet'!$E$13+1,1))-AVERAGE(OFFSET($H$3,0,0,'Données projet'!$E$13+1,1))</f>
        <v>161.87883827031436</v>
      </c>
      <c r="CZ183" s="59">
        <f t="shared" si="150"/>
        <v>163.02076389611869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1.5567533302017402</v>
      </c>
      <c r="DG183" s="21">
        <f>EXP(-LN(2)/25)*DG182+(1-EXP(-LN(2)/25))/(LN(2)/25)*Calculateur!DB183*Calculateur!DD183*VLOOKUP('Données projet'!$B$13,Paramètres!$A$1:$I$89,3,0)*0.475*44/12</f>
        <v>0.54611424687485888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2.1028675770765992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149.0000000000002</v>
      </c>
      <c r="DP183" s="17">
        <f>DO183*VLOOKUP('Données projet'!$B$14,Paramètres!$A$1:$I$89,3,0)*VLOOKUP('Données projet'!$B$14,Paramètres!$A$1:$I$89,5,0)</f>
        <v>120.86880000000016</v>
      </c>
      <c r="DQ183" s="13">
        <f t="shared" si="176"/>
        <v>31.877547472771326</v>
      </c>
      <c r="DR183" s="20">
        <f t="shared" si="177"/>
        <v>266.03322184841039</v>
      </c>
      <c r="DS183" s="59">
        <f t="shared" si="125"/>
        <v>559.36655518174371</v>
      </c>
      <c r="DT183" s="59">
        <f ca="1">AVERAGE(OFFSET($DS$3,0,0,'Données projet'!$E$14+1,1))-AVERAGE(OFFSET($H$3,0,0,'Données projet'!$E$14+1,1))</f>
        <v>96.611230241682733</v>
      </c>
      <c r="DU183" s="59">
        <f t="shared" si="152"/>
        <v>78.711045514042041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0.30089456558216571</v>
      </c>
      <c r="EB183" s="21">
        <f>EXP(-LN(2)/25)*EB182+(1-EXP(-LN(2)/25))/(LN(2)/25)*Calculateur!DW183*Calculateur!DY183*VLOOKUP('Données projet'!$B$14,Paramètres!$A$1:$I$89,3,0)*0.475*44/12</f>
        <v>0.51743588917956751</v>
      </c>
      <c r="EC183" s="21">
        <f>EXP(-LN(2)/2)*EC182+(1-EXP(-LN(2)/2))/(LN(2)/2)*DW183*DZ183*VLOOKUP('Données projet'!$B$14,Paramètres!$A$1:$I$89,3,0)*0.475*44/12</f>
        <v>3.8589870058601858E-14</v>
      </c>
      <c r="ED183" s="22">
        <f t="shared" si="178"/>
        <v>0.8183304547617718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188.61152573050066</v>
      </c>
      <c r="EP183" s="59">
        <f t="shared" si="154"/>
        <v>172.37050503841624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18.841697733311943</v>
      </c>
      <c r="EW183" s="21">
        <f>EXP(-LN(2)/25)*EW182+(1-EXP(-LN(2)/25))/(LN(2)/25)*Calculateur!ER183*Calculateur!ET183*VLOOKUP('Données projet'!$B$15,Paramètres!$A$1:$I$89,3,0)*0.475*44/12</f>
        <v>2.0759778065524723</v>
      </c>
      <c r="EX183" s="21">
        <f>EXP(-LN(2)/2)*EX182+(1-EXP(-LN(2)/2))/(LN(2)/2)*ER183*EU183*VLOOKUP('Données projet'!$B$15,Paramètres!$A$1:$I$89,3,0)*0.475*44/12</f>
        <v>8.7417169787402701E-16</v>
      </c>
      <c r="EY183" s="22">
        <f t="shared" si="181"/>
        <v>20.917675539864415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0</v>
      </c>
      <c r="FK183" s="59">
        <f t="shared" si="156"/>
        <v>0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0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197.78572767493569</v>
      </c>
      <c r="T184" s="59">
        <f t="shared" si="142"/>
        <v>288.66487031729008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266.99999999999983</v>
      </c>
      <c r="AJ184" s="13">
        <f>AI184*VLOOKUP('Données projet'!$B$10,Paramètres!$A$1:$I$89,3,0)*VLOOKUP('Données projet'!$B$10,Paramètres!$A$1:$I$89,5,0)</f>
        <v>212.42519999999985</v>
      </c>
      <c r="AK184" s="13">
        <f t="shared" si="164"/>
        <v>52.465198231787184</v>
      </c>
      <c r="AL184" s="20">
        <f t="shared" si="165"/>
        <v>461.35077692036231</v>
      </c>
      <c r="AM184" s="59">
        <f t="shared" si="113"/>
        <v>754.68411025369562</v>
      </c>
      <c r="AN184" s="59">
        <f ca="1">AVERAGE(OFFSET($AM$3,0,0,'Données projet'!$E$10+1,1))-AVERAGE(OFFSET($H$3,0,0,'Données projet'!$E$10+1,1))</f>
        <v>219.43439115440339</v>
      </c>
      <c r="AO184" s="59">
        <f t="shared" si="144"/>
        <v>217.8880462742099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3.8956062065675052</v>
      </c>
      <c r="AV184" s="21">
        <f>EXP(-LN(2)/25)*AV183+(1-EXP(-LN(2)/25))/(LN(2)/25)*Calculateur!AQ184*Calculateur!AS184*VLOOKUP('Données projet'!$B$10,Paramètres!$A$1:$I$89,3,0)*0.475*44/12</f>
        <v>0.50632284084870183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4.4019290474162069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190.99999999999997</v>
      </c>
      <c r="BE184" s="13">
        <f>BD184*VLOOKUP('Données projet'!$B$11,Paramètres!$A$1:$I$89,3,0)*VLOOKUP('Données projet'!$B$11,Paramètres!$A$1:$I$89,5,0)</f>
        <v>166.85759999999999</v>
      </c>
      <c r="BF184" s="13">
        <f t="shared" si="167"/>
        <v>42.385468111966098</v>
      </c>
      <c r="BG184" s="20">
        <f t="shared" si="168"/>
        <v>364.43167696167421</v>
      </c>
      <c r="BH184" s="59">
        <f t="shared" si="116"/>
        <v>657.76501029500753</v>
      </c>
      <c r="BI184" s="59">
        <f ca="1">AVERAGE(OFFSET($BH$3,0,0,'Données projet'!$E$11+1,1))-AVERAGE(OFFSET($H$3,0,0,'Données projet'!$E$11+1,1))</f>
        <v>175.73188403662408</v>
      </c>
      <c r="BJ184" s="59">
        <f t="shared" si="146"/>
        <v>152.02195399869032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1.9154125925512211</v>
      </c>
      <c r="BQ184" s="21">
        <f>EXP(-LN(2)/25)*BQ183+(1-EXP(-LN(2)/25))/(LN(2)/25)*Calculateur!BL184*Calculateur!BN184*VLOOKUP('Données projet'!$B$11,Paramètres!$A$1:$I$89,3,0)*0.475*44/12</f>
        <v>1.1565306522090562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3.071943244760277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-4.5474735088646412E-13</v>
      </c>
      <c r="BZ184" s="13">
        <f>BY184*VLOOKUP('Données projet'!$B$12,Paramètres!$A$1:$I$89,3,0)*VLOOKUP('Données projet'!$B$12,Paramètres!$A$1:$I$89,5,0)</f>
        <v>-4.1145540308207271E-13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213.54857791046686</v>
      </c>
      <c r="CE184" s="59">
        <f t="shared" si="148"/>
        <v>138.46877538074244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95.653030071421028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95.653030071421028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213</v>
      </c>
      <c r="CU184" s="17">
        <f>CT184*VLOOKUP('Données projet'!$B$13,Paramètres!$A$1:$I$89,3,0)*VLOOKUP('Données projet'!$B$13,Paramètres!$A$1:$I$89,5,0)</f>
        <v>169.46279999999999</v>
      </c>
      <c r="CV184" s="13">
        <f t="shared" si="173"/>
        <v>42.969686502194378</v>
      </c>
      <c r="CW184" s="20">
        <f t="shared" si="174"/>
        <v>369.9865806579885</v>
      </c>
      <c r="CX184" s="59">
        <f t="shared" si="122"/>
        <v>663.31991399132176</v>
      </c>
      <c r="CY184" s="59">
        <f ca="1">AVERAGE(OFFSET($CX$3,0,0,'Données projet'!$E$13+1,1))-AVERAGE(OFFSET($H$3,0,0,'Données projet'!$E$13+1,1))</f>
        <v>161.87883827031436</v>
      </c>
      <c r="CZ184" s="59">
        <f t="shared" si="150"/>
        <v>163.02076389611869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1.5262263469222577</v>
      </c>
      <c r="DG184" s="21">
        <f>EXP(-LN(2)/25)*DG183+(1-EXP(-LN(2)/25))/(LN(2)/25)*Calculateur!DB184*Calculateur!DD184*VLOOKUP('Données projet'!$B$13,Paramètres!$A$1:$I$89,3,0)*0.475*44/12</f>
        <v>0.53118072407516581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2.0574070709974235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149.0000000000002</v>
      </c>
      <c r="DP184" s="17">
        <f>DO184*VLOOKUP('Données projet'!$B$14,Paramètres!$A$1:$I$89,3,0)*VLOOKUP('Données projet'!$B$14,Paramètres!$A$1:$I$89,5,0)</f>
        <v>120.86880000000016</v>
      </c>
      <c r="DQ184" s="13">
        <f t="shared" si="176"/>
        <v>31.877547472771326</v>
      </c>
      <c r="DR184" s="20">
        <f t="shared" si="177"/>
        <v>266.03322184841039</v>
      </c>
      <c r="DS184" s="59">
        <f t="shared" si="125"/>
        <v>559.36655518174371</v>
      </c>
      <c r="DT184" s="59">
        <f ca="1">AVERAGE(OFFSET($DS$3,0,0,'Données projet'!$E$14+1,1))-AVERAGE(OFFSET($H$3,0,0,'Données projet'!$E$14+1,1))</f>
        <v>96.611230241682733</v>
      </c>
      <c r="DU184" s="59">
        <f t="shared" si="152"/>
        <v>78.711045514042041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0.29499420667866261</v>
      </c>
      <c r="EB184" s="21">
        <f>EXP(-LN(2)/25)*EB183+(1-EXP(-LN(2)/25))/(LN(2)/25)*Calculateur!DW184*Calculateur!DY184*VLOOKUP('Données projet'!$B$14,Paramètres!$A$1:$I$89,3,0)*0.475*44/12</f>
        <v>0.50328657757918149</v>
      </c>
      <c r="EC184" s="21">
        <f>EXP(-LN(2)/2)*EC183+(1-EXP(-LN(2)/2))/(LN(2)/2)*DW184*DZ184*VLOOKUP('Données projet'!$B$14,Paramètres!$A$1:$I$89,3,0)*0.475*44/12</f>
        <v>2.7287158803545087E-14</v>
      </c>
      <c r="ED184" s="22">
        <f t="shared" si="178"/>
        <v>0.79828078425787141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188.61152573050066</v>
      </c>
      <c r="EP184" s="59">
        <f t="shared" si="154"/>
        <v>172.37050503841624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18.472223533062543</v>
      </c>
      <c r="EW184" s="21">
        <f>EXP(-LN(2)/25)*EW183+(1-EXP(-LN(2)/25))/(LN(2)/25)*Calculateur!ER184*Calculateur!ET184*VLOOKUP('Données projet'!$B$15,Paramètres!$A$1:$I$89,3,0)*0.475*44/12</f>
        <v>2.0192100842613669</v>
      </c>
      <c r="EX184" s="21">
        <f>EXP(-LN(2)/2)*EX183+(1-EXP(-LN(2)/2))/(LN(2)/2)*ER184*EU184*VLOOKUP('Données projet'!$B$15,Paramètres!$A$1:$I$89,3,0)*0.475*44/12</f>
        <v>6.1813273548808239E-16</v>
      </c>
      <c r="EY184" s="22">
        <f t="shared" si="181"/>
        <v>20.49143361732391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0</v>
      </c>
      <c r="FK184" s="59">
        <f t="shared" si="156"/>
        <v>0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0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197.78572767493569</v>
      </c>
      <c r="T185" s="59">
        <f t="shared" si="142"/>
        <v>288.66487031729008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266.99999999999983</v>
      </c>
      <c r="AJ185" s="13">
        <f>AI185*VLOOKUP('Données projet'!$B$10,Paramètres!$A$1:$I$89,3,0)*VLOOKUP('Données projet'!$B$10,Paramètres!$A$1:$I$89,5,0)</f>
        <v>212.42519999999985</v>
      </c>
      <c r="AK185" s="13">
        <f t="shared" si="164"/>
        <v>52.465198231787184</v>
      </c>
      <c r="AL185" s="20">
        <f t="shared" si="165"/>
        <v>461.35077692036231</v>
      </c>
      <c r="AM185" s="59">
        <f t="shared" si="113"/>
        <v>754.68411025369562</v>
      </c>
      <c r="AN185" s="59">
        <f ca="1">AVERAGE(OFFSET($AM$3,0,0,'Données projet'!$E$10+1,1))-AVERAGE(OFFSET($H$3,0,0,'Données projet'!$E$10+1,1))</f>
        <v>219.43439115440339</v>
      </c>
      <c r="AO185" s="59">
        <f t="shared" si="144"/>
        <v>217.8880462742099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3.8192157449418835</v>
      </c>
      <c r="AV185" s="21">
        <f>EXP(-LN(2)/25)*AV184+(1-EXP(-LN(2)/25))/(LN(2)/25)*Calculateur!AQ185*Calculateur!AS185*VLOOKUP('Données projet'!$B$10,Paramètres!$A$1:$I$89,3,0)*0.475*44/12</f>
        <v>0.4924774161393331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4.3116931610812168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190.99999999999997</v>
      </c>
      <c r="BE185" s="13">
        <f>BD185*VLOOKUP('Données projet'!$B$11,Paramètres!$A$1:$I$89,3,0)*VLOOKUP('Données projet'!$B$11,Paramètres!$A$1:$I$89,5,0)</f>
        <v>166.85759999999999</v>
      </c>
      <c r="BF185" s="13">
        <f t="shared" si="167"/>
        <v>42.385468111966098</v>
      </c>
      <c r="BG185" s="20">
        <f t="shared" si="168"/>
        <v>364.43167696167421</v>
      </c>
      <c r="BH185" s="59">
        <f t="shared" si="116"/>
        <v>657.76501029500753</v>
      </c>
      <c r="BI185" s="59">
        <f ca="1">AVERAGE(OFFSET($BH$3,0,0,'Données projet'!$E$11+1,1))-AVERAGE(OFFSET($H$3,0,0,'Données projet'!$E$11+1,1))</f>
        <v>175.73188403662408</v>
      </c>
      <c r="BJ185" s="59">
        <f t="shared" si="146"/>
        <v>152.02195399869032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1.8778525198976144</v>
      </c>
      <c r="BQ185" s="21">
        <f>EXP(-LN(2)/25)*BQ184+(1-EXP(-LN(2)/25))/(LN(2)/25)*Calculateur!BL185*Calculateur!BN185*VLOOKUP('Données projet'!$B$11,Paramètres!$A$1:$I$89,3,0)*0.475*44/12</f>
        <v>1.1249052607050958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3.0027577806027104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-4.5474735088646412E-13</v>
      </c>
      <c r="BZ185" s="13">
        <f>BY185*VLOOKUP('Données projet'!$B$12,Paramètres!$A$1:$I$89,3,0)*VLOOKUP('Données projet'!$B$12,Paramètres!$A$1:$I$89,5,0)</f>
        <v>-4.1145540308207271E-13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213.54857791046686</v>
      </c>
      <c r="CE185" s="59">
        <f t="shared" si="148"/>
        <v>138.46877538074244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93.777332494307956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93.777332494307956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213</v>
      </c>
      <c r="CU185" s="17">
        <f>CT185*VLOOKUP('Données projet'!$B$13,Paramètres!$A$1:$I$89,3,0)*VLOOKUP('Données projet'!$B$13,Paramètres!$A$1:$I$89,5,0)</f>
        <v>169.46279999999999</v>
      </c>
      <c r="CV185" s="13">
        <f t="shared" si="173"/>
        <v>42.969686502194378</v>
      </c>
      <c r="CW185" s="20">
        <f t="shared" si="174"/>
        <v>369.9865806579885</v>
      </c>
      <c r="CX185" s="59">
        <f t="shared" si="122"/>
        <v>663.31991399132176</v>
      </c>
      <c r="CY185" s="59">
        <f ca="1">AVERAGE(OFFSET($CX$3,0,0,'Données projet'!$E$13+1,1))-AVERAGE(OFFSET($H$3,0,0,'Données projet'!$E$13+1,1))</f>
        <v>161.87883827031436</v>
      </c>
      <c r="CZ185" s="59">
        <f t="shared" si="150"/>
        <v>163.02076389611869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1.4962979791652644</v>
      </c>
      <c r="DG185" s="21">
        <f>EXP(-LN(2)/25)*DG184+(1-EXP(-LN(2)/25))/(LN(2)/25)*Calculateur!DB185*Calculateur!DD185*VLOOKUP('Données projet'!$B$13,Paramètres!$A$1:$I$89,3,0)*0.475*44/12</f>
        <v>0.51665555924175011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2.0129535384070145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149.0000000000002</v>
      </c>
      <c r="DP185" s="17">
        <f>DO185*VLOOKUP('Données projet'!$B$14,Paramètres!$A$1:$I$89,3,0)*VLOOKUP('Données projet'!$B$14,Paramètres!$A$1:$I$89,5,0)</f>
        <v>120.86880000000016</v>
      </c>
      <c r="DQ185" s="13">
        <f t="shared" si="176"/>
        <v>31.877547472771326</v>
      </c>
      <c r="DR185" s="20">
        <f t="shared" si="177"/>
        <v>266.03322184841039</v>
      </c>
      <c r="DS185" s="59">
        <f t="shared" si="125"/>
        <v>559.36655518174371</v>
      </c>
      <c r="DT185" s="59">
        <f ca="1">AVERAGE(OFFSET($DS$3,0,0,'Données projet'!$E$14+1,1))-AVERAGE(OFFSET($H$3,0,0,'Données projet'!$E$14+1,1))</f>
        <v>96.611230241682733</v>
      </c>
      <c r="DU185" s="59">
        <f t="shared" si="152"/>
        <v>78.711045514042041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0.28920955021439365</v>
      </c>
      <c r="EB185" s="21">
        <f>EXP(-LN(2)/25)*EB184+(1-EXP(-LN(2)/25))/(LN(2)/25)*Calculateur!DW185*Calculateur!DY185*VLOOKUP('Données projet'!$B$14,Paramètres!$A$1:$I$89,3,0)*0.475*44/12</f>
        <v>0.48952417964858796</v>
      </c>
      <c r="EC185" s="21">
        <f>EXP(-LN(2)/2)*EC184+(1-EXP(-LN(2)/2))/(LN(2)/2)*DW185*DZ185*VLOOKUP('Données projet'!$B$14,Paramètres!$A$1:$I$89,3,0)*0.475*44/12</f>
        <v>1.9294935029300932E-14</v>
      </c>
      <c r="ED185" s="22">
        <f t="shared" si="178"/>
        <v>0.77873372986300093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188.61152573050066</v>
      </c>
      <c r="EP185" s="59">
        <f t="shared" si="154"/>
        <v>172.37050503841624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18.109994496523022</v>
      </c>
      <c r="EW185" s="21">
        <f>EXP(-LN(2)/25)*EW184+(1-EXP(-LN(2)/25))/(LN(2)/25)*Calculateur!ER185*Calculateur!ET185*VLOOKUP('Données projet'!$B$15,Paramètres!$A$1:$I$89,3,0)*0.475*44/12</f>
        <v>1.9639946783215965</v>
      </c>
      <c r="EX185" s="21">
        <f>EXP(-LN(2)/2)*EX184+(1-EXP(-LN(2)/2))/(LN(2)/2)*ER185*EU185*VLOOKUP('Données projet'!$B$15,Paramètres!$A$1:$I$89,3,0)*0.475*44/12</f>
        <v>4.3708584893701356E-16</v>
      </c>
      <c r="EY185" s="22">
        <f t="shared" si="181"/>
        <v>20.07398917484462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0</v>
      </c>
      <c r="FK185" s="59">
        <f t="shared" si="156"/>
        <v>0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0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197.78572767493569</v>
      </c>
      <c r="T186" s="59">
        <f t="shared" si="142"/>
        <v>288.66487031729008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266.99999999999983</v>
      </c>
      <c r="AJ186" s="13">
        <f>AI186*VLOOKUP('Données projet'!$B$10,Paramètres!$A$1:$I$89,3,0)*VLOOKUP('Données projet'!$B$10,Paramètres!$A$1:$I$89,5,0)</f>
        <v>212.42519999999985</v>
      </c>
      <c r="AK186" s="13">
        <f t="shared" si="164"/>
        <v>52.465198231787184</v>
      </c>
      <c r="AL186" s="20">
        <f t="shared" si="165"/>
        <v>461.35077692036231</v>
      </c>
      <c r="AM186" s="59">
        <f t="shared" si="113"/>
        <v>754.68411025369562</v>
      </c>
      <c r="AN186" s="59">
        <f ca="1">AVERAGE(OFFSET($AM$3,0,0,'Données projet'!$E$10+1,1))-AVERAGE(OFFSET($H$3,0,0,'Données projet'!$E$10+1,1))</f>
        <v>219.43439115440339</v>
      </c>
      <c r="AO186" s="59">
        <f t="shared" si="144"/>
        <v>217.8880462742099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3.7443232536751596</v>
      </c>
      <c r="AV186" s="21">
        <f>EXP(-LN(2)/25)*AV185+(1-EXP(-LN(2)/25))/(LN(2)/25)*Calculateur!AQ186*Calculateur!AS186*VLOOKUP('Données projet'!$B$10,Paramètres!$A$1:$I$89,3,0)*0.475*44/12</f>
        <v>0.47901059529674128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4.223333848971901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190.99999999999997</v>
      </c>
      <c r="BE186" s="13">
        <f>BD186*VLOOKUP('Données projet'!$B$11,Paramètres!$A$1:$I$89,3,0)*VLOOKUP('Données projet'!$B$11,Paramètres!$A$1:$I$89,5,0)</f>
        <v>166.85759999999999</v>
      </c>
      <c r="BF186" s="13">
        <f t="shared" si="167"/>
        <v>42.385468111966098</v>
      </c>
      <c r="BG186" s="20">
        <f t="shared" si="168"/>
        <v>364.43167696167421</v>
      </c>
      <c r="BH186" s="59">
        <f t="shared" si="116"/>
        <v>657.76501029500753</v>
      </c>
      <c r="BI186" s="59">
        <f ca="1">AVERAGE(OFFSET($BH$3,0,0,'Données projet'!$E$11+1,1))-AVERAGE(OFFSET($H$3,0,0,'Données projet'!$E$11+1,1))</f>
        <v>175.73188403662408</v>
      </c>
      <c r="BJ186" s="59">
        <f t="shared" si="146"/>
        <v>152.02195399869032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1.8410289773593627</v>
      </c>
      <c r="BQ186" s="21">
        <f>EXP(-LN(2)/25)*BQ185+(1-EXP(-LN(2)/25))/(LN(2)/25)*Calculateur!BL186*Calculateur!BN186*VLOOKUP('Données projet'!$B$11,Paramètres!$A$1:$I$89,3,0)*0.475*44/12</f>
        <v>1.0941446671949182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2.9351736445542809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-4.5474735088646412E-13</v>
      </c>
      <c r="BZ186" s="13">
        <f>BY186*VLOOKUP('Données projet'!$B$12,Paramètres!$A$1:$I$89,3,0)*VLOOKUP('Données projet'!$B$12,Paramètres!$A$1:$I$89,5,0)</f>
        <v>-4.1145540308207271E-13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213.54857791046686</v>
      </c>
      <c r="CE186" s="59">
        <f t="shared" si="148"/>
        <v>138.46877538074244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91.938416202619507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91.938416202619507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213</v>
      </c>
      <c r="CU186" s="17">
        <f>CT186*VLOOKUP('Données projet'!$B$13,Paramètres!$A$1:$I$89,3,0)*VLOOKUP('Données projet'!$B$13,Paramètres!$A$1:$I$89,5,0)</f>
        <v>169.46279999999999</v>
      </c>
      <c r="CV186" s="13">
        <f t="shared" si="173"/>
        <v>42.969686502194378</v>
      </c>
      <c r="CW186" s="20">
        <f t="shared" si="174"/>
        <v>369.9865806579885</v>
      </c>
      <c r="CX186" s="59">
        <f t="shared" si="122"/>
        <v>663.31991399132176</v>
      </c>
      <c r="CY186" s="59">
        <f ca="1">AVERAGE(OFFSET($CX$3,0,0,'Données projet'!$E$13+1,1))-AVERAGE(OFFSET($H$3,0,0,'Données projet'!$E$13+1,1))</f>
        <v>161.87883827031436</v>
      </c>
      <c r="CZ186" s="59">
        <f t="shared" si="150"/>
        <v>163.02076389611869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1.466956488445484</v>
      </c>
      <c r="DG186" s="21">
        <f>EXP(-LN(2)/25)*DG185+(1-EXP(-LN(2)/25))/(LN(2)/25)*Calculateur!DB186*Calculateur!DD186*VLOOKUP('Données projet'!$B$13,Paramètres!$A$1:$I$89,3,0)*0.475*44/12</f>
        <v>0.50252758580454937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1.9694840742500332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149.0000000000002</v>
      </c>
      <c r="DP186" s="17">
        <f>DO186*VLOOKUP('Données projet'!$B$14,Paramètres!$A$1:$I$89,3,0)*VLOOKUP('Données projet'!$B$14,Paramètres!$A$1:$I$89,5,0)</f>
        <v>120.86880000000016</v>
      </c>
      <c r="DQ186" s="13">
        <f t="shared" si="176"/>
        <v>31.877547472771326</v>
      </c>
      <c r="DR186" s="20">
        <f t="shared" si="177"/>
        <v>266.03322184841039</v>
      </c>
      <c r="DS186" s="59">
        <f t="shared" si="125"/>
        <v>559.36655518174371</v>
      </c>
      <c r="DT186" s="59">
        <f ca="1">AVERAGE(OFFSET($DS$3,0,0,'Données projet'!$E$14+1,1))-AVERAGE(OFFSET($H$3,0,0,'Données projet'!$E$14+1,1))</f>
        <v>96.611230241682733</v>
      </c>
      <c r="DU186" s="59">
        <f t="shared" si="152"/>
        <v>78.711045514042041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0.28353832733509693</v>
      </c>
      <c r="EB186" s="21">
        <f>EXP(-LN(2)/25)*EB185+(1-EXP(-LN(2)/25))/(LN(2)/25)*Calculateur!DW186*Calculateur!DY186*VLOOKUP('Données projet'!$B$14,Paramètres!$A$1:$I$89,3,0)*0.475*44/12</f>
        <v>0.47613811521313953</v>
      </c>
      <c r="EC186" s="21">
        <f>EXP(-LN(2)/2)*EC185+(1-EXP(-LN(2)/2))/(LN(2)/2)*DW186*DZ186*VLOOKUP('Données projet'!$B$14,Paramètres!$A$1:$I$89,3,0)*0.475*44/12</f>
        <v>1.3643579401772547E-14</v>
      </c>
      <c r="ED186" s="22">
        <f t="shared" si="178"/>
        <v>0.75967644254825017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188.61152573050066</v>
      </c>
      <c r="EP186" s="59">
        <f t="shared" si="154"/>
        <v>172.37050503841624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17.754868550452144</v>
      </c>
      <c r="EW186" s="21">
        <f>EXP(-LN(2)/25)*EW185+(1-EXP(-LN(2)/25))/(LN(2)/25)*Calculateur!ER186*Calculateur!ET186*VLOOKUP('Données projet'!$B$15,Paramètres!$A$1:$I$89,3,0)*0.475*44/12</f>
        <v>1.910289140560901</v>
      </c>
      <c r="EX186" s="21">
        <f>EXP(-LN(2)/2)*EX185+(1-EXP(-LN(2)/2))/(LN(2)/2)*ER186*EU186*VLOOKUP('Données projet'!$B$15,Paramètres!$A$1:$I$89,3,0)*0.475*44/12</f>
        <v>3.0906636774404124E-16</v>
      </c>
      <c r="EY186" s="22">
        <f t="shared" si="181"/>
        <v>19.665157691013047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0</v>
      </c>
      <c r="FK186" s="59">
        <f t="shared" si="156"/>
        <v>0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0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197.78572767493569</v>
      </c>
      <c r="T187" s="59">
        <f t="shared" si="142"/>
        <v>288.66487031729008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266.99999999999983</v>
      </c>
      <c r="AJ187" s="13">
        <f>AI187*VLOOKUP('Données projet'!$B$10,Paramètres!$A$1:$I$89,3,0)*VLOOKUP('Données projet'!$B$10,Paramètres!$A$1:$I$89,5,0)</f>
        <v>212.42519999999985</v>
      </c>
      <c r="AK187" s="13">
        <f t="shared" si="164"/>
        <v>52.465198231787184</v>
      </c>
      <c r="AL187" s="20">
        <f t="shared" si="165"/>
        <v>461.35077692036231</v>
      </c>
      <c r="AM187" s="59">
        <f t="shared" si="113"/>
        <v>754.68411025369562</v>
      </c>
      <c r="AN187" s="59">
        <f ca="1">AVERAGE(OFFSET($AM$3,0,0,'Données projet'!$E$10+1,1))-AVERAGE(OFFSET($H$3,0,0,'Données projet'!$E$10+1,1))</f>
        <v>219.43439115440339</v>
      </c>
      <c r="AO187" s="59">
        <f t="shared" si="144"/>
        <v>217.8880462742099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3.6708993584822669</v>
      </c>
      <c r="AV187" s="21">
        <f>EXP(-LN(2)/25)*AV186+(1-EXP(-LN(2)/25))/(LN(2)/25)*Calculateur!AQ187*Calculateur!AS187*VLOOKUP('Données projet'!$B$10,Paramètres!$A$1:$I$89,3,0)*0.475*44/12</f>
        <v>0.46591202537827947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4.1368113838605467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190.99999999999997</v>
      </c>
      <c r="BE187" s="13">
        <f>BD187*VLOOKUP('Données projet'!$B$11,Paramètres!$A$1:$I$89,3,0)*VLOOKUP('Données projet'!$B$11,Paramètres!$A$1:$I$89,5,0)</f>
        <v>166.85759999999999</v>
      </c>
      <c r="BF187" s="13">
        <f t="shared" si="167"/>
        <v>42.385468111966098</v>
      </c>
      <c r="BG187" s="20">
        <f t="shared" si="168"/>
        <v>364.43167696167421</v>
      </c>
      <c r="BH187" s="59">
        <f t="shared" si="116"/>
        <v>657.76501029500753</v>
      </c>
      <c r="BI187" s="59">
        <f ca="1">AVERAGE(OFFSET($BH$3,0,0,'Données projet'!$E$11+1,1))-AVERAGE(OFFSET($H$3,0,0,'Données projet'!$E$11+1,1))</f>
        <v>175.73188403662408</v>
      </c>
      <c r="BJ187" s="59">
        <f t="shared" si="146"/>
        <v>152.02195399869032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1.8049275220301428</v>
      </c>
      <c r="BQ187" s="21">
        <f>EXP(-LN(2)/25)*BQ186+(1-EXP(-LN(2)/25))/(LN(2)/25)*Calculateur!BL187*Calculateur!BN187*VLOOKUP('Données projet'!$B$11,Paramètres!$A$1:$I$89,3,0)*0.475*44/12</f>
        <v>1.0642252237319059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2.8691527457620487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-4.5474735088646412E-13</v>
      </c>
      <c r="BZ187" s="13">
        <f>BY187*VLOOKUP('Données projet'!$B$12,Paramètres!$A$1:$I$89,3,0)*VLOOKUP('Données projet'!$B$12,Paramètres!$A$1:$I$89,5,0)</f>
        <v>-4.1145540308207271E-13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213.54857791046686</v>
      </c>
      <c r="CE187" s="59">
        <f t="shared" si="148"/>
        <v>138.46877538074244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90.135559937782887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90.135559937782887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213</v>
      </c>
      <c r="CU187" s="17">
        <f>CT187*VLOOKUP('Données projet'!$B$13,Paramètres!$A$1:$I$89,3,0)*VLOOKUP('Données projet'!$B$13,Paramètres!$A$1:$I$89,5,0)</f>
        <v>169.46279999999999</v>
      </c>
      <c r="CV187" s="13">
        <f t="shared" si="173"/>
        <v>42.969686502194378</v>
      </c>
      <c r="CW187" s="20">
        <f t="shared" si="174"/>
        <v>369.9865806579885</v>
      </c>
      <c r="CX187" s="59">
        <f t="shared" si="122"/>
        <v>663.31991399132176</v>
      </c>
      <c r="CY187" s="59">
        <f ca="1">AVERAGE(OFFSET($CX$3,0,0,'Données projet'!$E$13+1,1))-AVERAGE(OFFSET($H$3,0,0,'Données projet'!$E$13+1,1))</f>
        <v>161.87883827031436</v>
      </c>
      <c r="CZ187" s="59">
        <f t="shared" si="150"/>
        <v>163.02076389611869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1.4381903664621762</v>
      </c>
      <c r="DG187" s="21">
        <f>EXP(-LN(2)/25)*DG186+(1-EXP(-LN(2)/25))/(LN(2)/25)*Calculateur!DB187*Calculateur!DD187*VLOOKUP('Données projet'!$B$13,Paramètres!$A$1:$I$89,3,0)*0.475*44/12</f>
        <v>0.48878594254394675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1.9269763090061229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149.0000000000002</v>
      </c>
      <c r="DP187" s="17">
        <f>DO187*VLOOKUP('Données projet'!$B$14,Paramètres!$A$1:$I$89,3,0)*VLOOKUP('Données projet'!$B$14,Paramètres!$A$1:$I$89,5,0)</f>
        <v>120.86880000000016</v>
      </c>
      <c r="DQ187" s="13">
        <f t="shared" si="176"/>
        <v>31.877547472771326</v>
      </c>
      <c r="DR187" s="20">
        <f t="shared" si="177"/>
        <v>266.03322184841039</v>
      </c>
      <c r="DS187" s="59">
        <f t="shared" si="125"/>
        <v>559.36655518174371</v>
      </c>
      <c r="DT187" s="59">
        <f ca="1">AVERAGE(OFFSET($DS$3,0,0,'Données projet'!$E$14+1,1))-AVERAGE(OFFSET($H$3,0,0,'Données projet'!$E$14+1,1))</f>
        <v>96.611230241682733</v>
      </c>
      <c r="DU187" s="59">
        <f t="shared" si="152"/>
        <v>78.711045514042041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0.27797831367735881</v>
      </c>
      <c r="EB187" s="21">
        <f>EXP(-LN(2)/25)*EB186+(1-EXP(-LN(2)/25))/(LN(2)/25)*Calculateur!DW187*Calculateur!DY187*VLOOKUP('Données projet'!$B$14,Paramètres!$A$1:$I$89,3,0)*0.475*44/12</f>
        <v>0.46311809341362098</v>
      </c>
      <c r="EC187" s="21">
        <f>EXP(-LN(2)/2)*EC186+(1-EXP(-LN(2)/2))/(LN(2)/2)*DW187*DZ187*VLOOKUP('Données projet'!$B$14,Paramètres!$A$1:$I$89,3,0)*0.475*44/12</f>
        <v>9.6474675146504678E-15</v>
      </c>
      <c r="ED187" s="22">
        <f t="shared" si="178"/>
        <v>0.74109640709098945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188.61152573050066</v>
      </c>
      <c r="EP187" s="59">
        <f t="shared" si="154"/>
        <v>172.37050503841624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17.40670640757828</v>
      </c>
      <c r="EW187" s="21">
        <f>EXP(-LN(2)/25)*EW186+(1-EXP(-LN(2)/25))/(LN(2)/25)*Calculateur!ER187*Calculateur!ET187*VLOOKUP('Données projet'!$B$15,Paramètres!$A$1:$I$89,3,0)*0.475*44/12</f>
        <v>1.8580521835545234</v>
      </c>
      <c r="EX187" s="21">
        <f>EXP(-LN(2)/2)*EX186+(1-EXP(-LN(2)/2))/(LN(2)/2)*ER187*EU187*VLOOKUP('Données projet'!$B$15,Paramètres!$A$1:$I$89,3,0)*0.475*44/12</f>
        <v>2.1854292446850683E-16</v>
      </c>
      <c r="EY187" s="22">
        <f t="shared" si="181"/>
        <v>19.264758591132804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0</v>
      </c>
      <c r="FK187" s="59">
        <f t="shared" si="156"/>
        <v>0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0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197.78572767493569</v>
      </c>
      <c r="T188" s="59">
        <f t="shared" si="142"/>
        <v>288.66487031729008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266.99999999999983</v>
      </c>
      <c r="AJ188" s="13">
        <f>AI188*VLOOKUP('Données projet'!$B$10,Paramètres!$A$1:$I$89,3,0)*VLOOKUP('Données projet'!$B$10,Paramètres!$A$1:$I$89,5,0)</f>
        <v>212.42519999999985</v>
      </c>
      <c r="AK188" s="13">
        <f t="shared" si="164"/>
        <v>52.465198231787184</v>
      </c>
      <c r="AL188" s="20">
        <f t="shared" si="165"/>
        <v>461.35077692036231</v>
      </c>
      <c r="AM188" s="59">
        <f t="shared" si="113"/>
        <v>754.68411025369562</v>
      </c>
      <c r="AN188" s="59">
        <f ca="1">AVERAGE(OFFSET($AM$3,0,0,'Données projet'!$E$10+1,1))-AVERAGE(OFFSET($H$3,0,0,'Données projet'!$E$10+1,1))</f>
        <v>219.43439115440339</v>
      </c>
      <c r="AO188" s="59">
        <f t="shared" si="144"/>
        <v>217.8880462742099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3.5989152610899526</v>
      </c>
      <c r="AV188" s="21">
        <f>EXP(-LN(2)/25)*AV187+(1-EXP(-LN(2)/25))/(LN(2)/25)*Calculateur!AQ188*Calculateur!AS188*VLOOKUP('Données projet'!$B$10,Paramètres!$A$1:$I$89,3,0)*0.475*44/12</f>
        <v>0.45317163654306186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4.0520868976330142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190.99999999999997</v>
      </c>
      <c r="BE188" s="13">
        <f>BD188*VLOOKUP('Données projet'!$B$11,Paramètres!$A$1:$I$89,3,0)*VLOOKUP('Données projet'!$B$11,Paramètres!$A$1:$I$89,5,0)</f>
        <v>166.85759999999999</v>
      </c>
      <c r="BF188" s="13">
        <f t="shared" si="167"/>
        <v>42.385468111966098</v>
      </c>
      <c r="BG188" s="20">
        <f t="shared" si="168"/>
        <v>364.43167696167421</v>
      </c>
      <c r="BH188" s="59">
        <f t="shared" si="116"/>
        <v>657.76501029500753</v>
      </c>
      <c r="BI188" s="59">
        <f ca="1">AVERAGE(OFFSET($BH$3,0,0,'Données projet'!$E$11+1,1))-AVERAGE(OFFSET($H$3,0,0,'Données projet'!$E$11+1,1))</f>
        <v>175.73188403662408</v>
      </c>
      <c r="BJ188" s="59">
        <f t="shared" si="146"/>
        <v>152.02195399869032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1.7695339942202155</v>
      </c>
      <c r="BQ188" s="21">
        <f>EXP(-LN(2)/25)*BQ187+(1-EXP(-LN(2)/25))/(LN(2)/25)*Calculateur!BL188*Calculateur!BN188*VLOOKUP('Données projet'!$B$11,Paramètres!$A$1:$I$89,3,0)*0.475*44/12</f>
        <v>1.0351239290237848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2.8046579232440001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-4.5474735088646412E-13</v>
      </c>
      <c r="BZ188" s="13">
        <f>BY188*VLOOKUP('Données projet'!$B$12,Paramètres!$A$1:$I$89,3,0)*VLOOKUP('Données projet'!$B$12,Paramètres!$A$1:$I$89,5,0)</f>
        <v>-4.1145540308207271E-13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213.54857791046686</v>
      </c>
      <c r="CE188" s="59">
        <f t="shared" si="148"/>
        <v>138.46877538074244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88.368056584665979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88.368056584665979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213</v>
      </c>
      <c r="CU188" s="17">
        <f>CT188*VLOOKUP('Données projet'!$B$13,Paramètres!$A$1:$I$89,3,0)*VLOOKUP('Données projet'!$B$13,Paramètres!$A$1:$I$89,5,0)</f>
        <v>169.46279999999999</v>
      </c>
      <c r="CV188" s="13">
        <f t="shared" si="173"/>
        <v>42.969686502194378</v>
      </c>
      <c r="CW188" s="20">
        <f t="shared" si="174"/>
        <v>369.9865806579885</v>
      </c>
      <c r="CX188" s="59">
        <f t="shared" si="122"/>
        <v>663.31991399132176</v>
      </c>
      <c r="CY188" s="59">
        <f ca="1">AVERAGE(OFFSET($CX$3,0,0,'Données projet'!$E$13+1,1))-AVERAGE(OFFSET($H$3,0,0,'Données projet'!$E$13+1,1))</f>
        <v>161.87883827031436</v>
      </c>
      <c r="CZ188" s="59">
        <f t="shared" si="150"/>
        <v>163.02076389611869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1.4099883305853593</v>
      </c>
      <c r="DG188" s="21">
        <f>EXP(-LN(2)/25)*DG187+(1-EXP(-LN(2)/25))/(LN(2)/25)*Calculateur!DB188*Calculateur!DD188*VLOOKUP('Données projet'!$B$13,Paramètres!$A$1:$I$89,3,0)*0.475*44/12</f>
        <v>0.47542006524094693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1.8854083958263064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149.0000000000002</v>
      </c>
      <c r="DP188" s="17">
        <f>DO188*VLOOKUP('Données projet'!$B$14,Paramètres!$A$1:$I$89,3,0)*VLOOKUP('Données projet'!$B$14,Paramètres!$A$1:$I$89,5,0)</f>
        <v>120.86880000000016</v>
      </c>
      <c r="DQ188" s="13">
        <f t="shared" si="176"/>
        <v>31.877547472771326</v>
      </c>
      <c r="DR188" s="20">
        <f t="shared" si="177"/>
        <v>266.03322184841039</v>
      </c>
      <c r="DS188" s="59">
        <f t="shared" si="125"/>
        <v>559.36655518174371</v>
      </c>
      <c r="DT188" s="59">
        <f ca="1">AVERAGE(OFFSET($DS$3,0,0,'Données projet'!$E$14+1,1))-AVERAGE(OFFSET($H$3,0,0,'Données projet'!$E$14+1,1))</f>
        <v>96.611230241682733</v>
      </c>
      <c r="DU188" s="59">
        <f t="shared" si="152"/>
        <v>78.711045514042041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0.27252732849617545</v>
      </c>
      <c r="EB188" s="21">
        <f>EXP(-LN(2)/25)*EB187+(1-EXP(-LN(2)/25))/(LN(2)/25)*Calculateur!DW188*Calculateur!DY188*VLOOKUP('Données projet'!$B$14,Paramètres!$A$1:$I$89,3,0)*0.475*44/12</f>
        <v>0.45045410479490344</v>
      </c>
      <c r="EC188" s="21">
        <f>EXP(-LN(2)/2)*EC187+(1-EXP(-LN(2)/2))/(LN(2)/2)*DW188*DZ188*VLOOKUP('Données projet'!$B$14,Paramètres!$A$1:$I$89,3,0)*0.475*44/12</f>
        <v>6.8217897008862742E-15</v>
      </c>
      <c r="ED188" s="22">
        <f t="shared" si="178"/>
        <v>0.72298143329108566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188.61152573050066</v>
      </c>
      <c r="EP188" s="59">
        <f t="shared" si="154"/>
        <v>172.37050503841624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17.065371511968234</v>
      </c>
      <c r="EW188" s="21">
        <f>EXP(-LN(2)/25)*EW187+(1-EXP(-LN(2)/25))/(LN(2)/25)*Calculateur!ER188*Calculateur!ET188*VLOOKUP('Données projet'!$B$15,Paramètres!$A$1:$I$89,3,0)*0.475*44/12</f>
        <v>1.8072436488845072</v>
      </c>
      <c r="EX188" s="21">
        <f>EXP(-LN(2)/2)*EX187+(1-EXP(-LN(2)/2))/(LN(2)/2)*ER188*EU188*VLOOKUP('Données projet'!$B$15,Paramètres!$A$1:$I$89,3,0)*0.475*44/12</f>
        <v>1.5453318387202065E-16</v>
      </c>
      <c r="EY188" s="22">
        <f t="shared" si="181"/>
        <v>18.872615160852742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0</v>
      </c>
      <c r="FK188" s="59">
        <f t="shared" si="156"/>
        <v>0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0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197.78572767493569</v>
      </c>
      <c r="T189" s="59">
        <f t="shared" si="142"/>
        <v>288.66487031729008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266.99999999999983</v>
      </c>
      <c r="AJ189" s="13">
        <f>AI189*VLOOKUP('Données projet'!$B$10,Paramètres!$A$1:$I$89,3,0)*VLOOKUP('Données projet'!$B$10,Paramètres!$A$1:$I$89,5,0)</f>
        <v>212.42519999999985</v>
      </c>
      <c r="AK189" s="13">
        <f t="shared" si="164"/>
        <v>52.465198231787184</v>
      </c>
      <c r="AL189" s="20">
        <f t="shared" si="165"/>
        <v>461.35077692036231</v>
      </c>
      <c r="AM189" s="59">
        <f t="shared" si="113"/>
        <v>754.68411025369562</v>
      </c>
      <c r="AN189" s="59">
        <f ca="1">AVERAGE(OFFSET($AM$3,0,0,'Données projet'!$E$10+1,1))-AVERAGE(OFFSET($H$3,0,0,'Données projet'!$E$10+1,1))</f>
        <v>219.43439115440339</v>
      </c>
      <c r="AO189" s="59">
        <f t="shared" si="144"/>
        <v>217.8880462742099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3.5283427279415376</v>
      </c>
      <c r="AV189" s="21">
        <f>EXP(-LN(2)/25)*AV188+(1-EXP(-LN(2)/25))/(LN(2)/25)*Calculateur!AQ189*Calculateur!AS189*VLOOKUP('Données projet'!$B$10,Paramètres!$A$1:$I$89,3,0)*0.475*44/12</f>
        <v>0.44077963431053119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3.9691223622520688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190.99999999999997</v>
      </c>
      <c r="BE189" s="13">
        <f>BD189*VLOOKUP('Données projet'!$B$11,Paramètres!$A$1:$I$89,3,0)*VLOOKUP('Données projet'!$B$11,Paramètres!$A$1:$I$89,5,0)</f>
        <v>166.85759999999999</v>
      </c>
      <c r="BF189" s="13">
        <f t="shared" si="167"/>
        <v>42.385468111966098</v>
      </c>
      <c r="BG189" s="20">
        <f t="shared" si="168"/>
        <v>364.43167696167421</v>
      </c>
      <c r="BH189" s="59">
        <f t="shared" si="116"/>
        <v>657.76501029500753</v>
      </c>
      <c r="BI189" s="59">
        <f ca="1">AVERAGE(OFFSET($BH$3,0,0,'Données projet'!$E$11+1,1))-AVERAGE(OFFSET($H$3,0,0,'Données projet'!$E$11+1,1))</f>
        <v>175.73188403662408</v>
      </c>
      <c r="BJ189" s="59">
        <f t="shared" si="146"/>
        <v>152.02195399869032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1.7348345119027206</v>
      </c>
      <c r="BQ189" s="21">
        <f>EXP(-LN(2)/25)*BQ188+(1-EXP(-LN(2)/25))/(LN(2)/25)*Calculateur!BL189*Calculateur!BN189*VLOOKUP('Données projet'!$B$11,Paramètres!$A$1:$I$89,3,0)*0.475*44/12</f>
        <v>1.0068184107498277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2.7416529226525483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-4.5474735088646412E-13</v>
      </c>
      <c r="BZ189" s="13">
        <f>BY189*VLOOKUP('Données projet'!$B$12,Paramètres!$A$1:$I$89,3,0)*VLOOKUP('Données projet'!$B$12,Paramètres!$A$1:$I$89,5,0)</f>
        <v>-4.1145540308207271E-13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213.54857791046686</v>
      </c>
      <c r="CE189" s="59">
        <f t="shared" si="148"/>
        <v>138.46877538074244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86.635212894233092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86.635212894233092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213</v>
      </c>
      <c r="CU189" s="17">
        <f>CT189*VLOOKUP('Données projet'!$B$13,Paramètres!$A$1:$I$89,3,0)*VLOOKUP('Données projet'!$B$13,Paramètres!$A$1:$I$89,5,0)</f>
        <v>169.46279999999999</v>
      </c>
      <c r="CV189" s="13">
        <f t="shared" si="173"/>
        <v>42.969686502194378</v>
      </c>
      <c r="CW189" s="20">
        <f t="shared" si="174"/>
        <v>369.9865806579885</v>
      </c>
      <c r="CX189" s="59">
        <f t="shared" si="122"/>
        <v>663.31991399132176</v>
      </c>
      <c r="CY189" s="59">
        <f ca="1">AVERAGE(OFFSET($CX$3,0,0,'Données projet'!$E$13+1,1))-AVERAGE(OFFSET($H$3,0,0,'Données projet'!$E$13+1,1))</f>
        <v>161.87883827031436</v>
      </c>
      <c r="CZ189" s="59">
        <f t="shared" si="150"/>
        <v>163.02076389611869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1.3823393194305433</v>
      </c>
      <c r="DG189" s="21">
        <f>EXP(-LN(2)/25)*DG188+(1-EXP(-LN(2)/25))/(LN(2)/25)*Calculateur!DB189*Calculateur!DD189*VLOOKUP('Données projet'!$B$13,Paramètres!$A$1:$I$89,3,0)*0.475*44/12</f>
        <v>0.46241967855567861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1.844758997986222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149.0000000000002</v>
      </c>
      <c r="DP189" s="17">
        <f>DO189*VLOOKUP('Données projet'!$B$14,Paramètres!$A$1:$I$89,3,0)*VLOOKUP('Données projet'!$B$14,Paramètres!$A$1:$I$89,5,0)</f>
        <v>120.86880000000016</v>
      </c>
      <c r="DQ189" s="13">
        <f t="shared" si="176"/>
        <v>31.877547472771326</v>
      </c>
      <c r="DR189" s="20">
        <f t="shared" si="177"/>
        <v>266.03322184841039</v>
      </c>
      <c r="DS189" s="59">
        <f t="shared" si="125"/>
        <v>559.36655518174371</v>
      </c>
      <c r="DT189" s="59">
        <f ca="1">AVERAGE(OFFSET($DS$3,0,0,'Données projet'!$E$14+1,1))-AVERAGE(OFFSET($H$3,0,0,'Données projet'!$E$14+1,1))</f>
        <v>96.611230241682733</v>
      </c>
      <c r="DU189" s="59">
        <f t="shared" si="152"/>
        <v>78.711045514042041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0.26718323380962244</v>
      </c>
      <c r="EB189" s="21">
        <f>EXP(-LN(2)/25)*EB188+(1-EXP(-LN(2)/25))/(LN(2)/25)*Calculateur!DW189*Calculateur!DY189*VLOOKUP('Données projet'!$B$14,Paramètres!$A$1:$I$89,3,0)*0.475*44/12</f>
        <v>0.43813641361093497</v>
      </c>
      <c r="EC189" s="21">
        <f>EXP(-LN(2)/2)*EC188+(1-EXP(-LN(2)/2))/(LN(2)/2)*DW189*DZ189*VLOOKUP('Données projet'!$B$14,Paramètres!$A$1:$I$89,3,0)*0.475*44/12</f>
        <v>4.8237337573252347E-15</v>
      </c>
      <c r="ED189" s="22">
        <f t="shared" si="178"/>
        <v>0.70531964742056219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188.61152573050066</v>
      </c>
      <c r="EP189" s="59">
        <f t="shared" si="154"/>
        <v>172.37050503841624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16.73072998546737</v>
      </c>
      <c r="EW189" s="21">
        <f>EXP(-LN(2)/25)*EW188+(1-EXP(-LN(2)/25))/(LN(2)/25)*Calculateur!ER189*Calculateur!ET189*VLOOKUP('Données projet'!$B$15,Paramètres!$A$1:$I$89,3,0)*0.475*44/12</f>
        <v>1.7578244762669473</v>
      </c>
      <c r="EX189" s="21">
        <f>EXP(-LN(2)/2)*EX188+(1-EXP(-LN(2)/2))/(LN(2)/2)*ER189*EU189*VLOOKUP('Données projet'!$B$15,Paramètres!$A$1:$I$89,3,0)*0.475*44/12</f>
        <v>1.0927146223425343E-16</v>
      </c>
      <c r="EY189" s="22">
        <f t="shared" si="181"/>
        <v>18.488554461734317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0</v>
      </c>
      <c r="FK189" s="59">
        <f t="shared" si="156"/>
        <v>0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0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197.78572767493569</v>
      </c>
      <c r="T190" s="59">
        <f t="shared" si="142"/>
        <v>288.66487031729008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266.99999999999983</v>
      </c>
      <c r="AJ190" s="13">
        <f>AI190*VLOOKUP('Données projet'!$B$10,Paramètres!$A$1:$I$89,3,0)*VLOOKUP('Données projet'!$B$10,Paramètres!$A$1:$I$89,5,0)</f>
        <v>212.42519999999985</v>
      </c>
      <c r="AK190" s="13">
        <f t="shared" si="164"/>
        <v>52.465198231787184</v>
      </c>
      <c r="AL190" s="20">
        <f t="shared" si="165"/>
        <v>461.35077692036231</v>
      </c>
      <c r="AM190" s="59">
        <f t="shared" si="113"/>
        <v>754.68411025369562</v>
      </c>
      <c r="AN190" s="59">
        <f ca="1">AVERAGE(OFFSET($AM$3,0,0,'Données projet'!$E$10+1,1))-AVERAGE(OFFSET($H$3,0,0,'Données projet'!$E$10+1,1))</f>
        <v>219.43439115440339</v>
      </c>
      <c r="AO190" s="59">
        <f t="shared" si="144"/>
        <v>217.8880462742099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3.4591540791231683</v>
      </c>
      <c r="AV190" s="21">
        <f>EXP(-LN(2)/25)*AV189+(1-EXP(-LN(2)/25))/(LN(2)/25)*Calculateur!AQ190*Calculateur!AS190*VLOOKUP('Données projet'!$B$10,Paramètres!$A$1:$I$89,3,0)*0.475*44/12</f>
        <v>0.42872649203071617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3.8878805711538846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190.99999999999997</v>
      </c>
      <c r="BE190" s="13">
        <f>BD190*VLOOKUP('Données projet'!$B$11,Paramètres!$A$1:$I$89,3,0)*VLOOKUP('Données projet'!$B$11,Paramètres!$A$1:$I$89,5,0)</f>
        <v>166.85759999999999</v>
      </c>
      <c r="BF190" s="13">
        <f t="shared" si="167"/>
        <v>42.385468111966098</v>
      </c>
      <c r="BG190" s="20">
        <f t="shared" si="168"/>
        <v>364.43167696167421</v>
      </c>
      <c r="BH190" s="59">
        <f t="shared" si="116"/>
        <v>657.76501029500753</v>
      </c>
      <c r="BI190" s="59">
        <f ca="1">AVERAGE(OFFSET($BH$3,0,0,'Données projet'!$E$11+1,1))-AVERAGE(OFFSET($H$3,0,0,'Données projet'!$E$11+1,1))</f>
        <v>175.73188403662408</v>
      </c>
      <c r="BJ190" s="59">
        <f t="shared" si="146"/>
        <v>152.02195399869032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1.7008154652688774</v>
      </c>
      <c r="BQ190" s="21">
        <f>EXP(-LN(2)/25)*BQ189+(1-EXP(-LN(2)/25))/(LN(2)/25)*Calculateur!BL190*Calculateur!BN190*VLOOKUP('Données projet'!$B$11,Paramètres!$A$1:$I$89,3,0)*0.475*44/12</f>
        <v>0.9792869083615946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2.6801023736304721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-4.5474735088646412E-13</v>
      </c>
      <c r="BZ190" s="13">
        <f>BY190*VLOOKUP('Données projet'!$B$12,Paramètres!$A$1:$I$89,3,0)*VLOOKUP('Données projet'!$B$12,Paramètres!$A$1:$I$89,5,0)</f>
        <v>-4.1145540308207271E-13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213.54857791046686</v>
      </c>
      <c r="CE190" s="59">
        <f t="shared" si="148"/>
        <v>138.46877538074244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84.93634921163931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84.93634921163931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213</v>
      </c>
      <c r="CU190" s="17">
        <f>CT190*VLOOKUP('Données projet'!$B$13,Paramètres!$A$1:$I$89,3,0)*VLOOKUP('Données projet'!$B$13,Paramètres!$A$1:$I$89,5,0)</f>
        <v>169.46279999999999</v>
      </c>
      <c r="CV190" s="13">
        <f t="shared" si="173"/>
        <v>42.969686502194378</v>
      </c>
      <c r="CW190" s="20">
        <f t="shared" si="174"/>
        <v>369.9865806579885</v>
      </c>
      <c r="CX190" s="59">
        <f t="shared" si="122"/>
        <v>663.31991399132176</v>
      </c>
      <c r="CY190" s="59">
        <f ca="1">AVERAGE(OFFSET($CX$3,0,0,'Données projet'!$E$13+1,1))-AVERAGE(OFFSET($H$3,0,0,'Données projet'!$E$13+1,1))</f>
        <v>161.87883827031436</v>
      </c>
      <c r="CZ190" s="59">
        <f t="shared" si="150"/>
        <v>163.02076389611869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1.3552324885202418</v>
      </c>
      <c r="DG190" s="21">
        <f>EXP(-LN(2)/25)*DG189+(1-EXP(-LN(2)/25))/(LN(2)/25)*Calculateur!DB190*Calculateur!DD190*VLOOKUP('Données projet'!$B$13,Paramètres!$A$1:$I$89,3,0)*0.475*44/12</f>
        <v>0.44977478812797955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1.8050072766482215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149.0000000000002</v>
      </c>
      <c r="DP190" s="17">
        <f>DO190*VLOOKUP('Données projet'!$B$14,Paramètres!$A$1:$I$89,3,0)*VLOOKUP('Données projet'!$B$14,Paramètres!$A$1:$I$89,5,0)</f>
        <v>120.86880000000016</v>
      </c>
      <c r="DQ190" s="13">
        <f t="shared" si="176"/>
        <v>31.877547472771326</v>
      </c>
      <c r="DR190" s="20">
        <f t="shared" si="177"/>
        <v>266.03322184841039</v>
      </c>
      <c r="DS190" s="59">
        <f t="shared" si="125"/>
        <v>559.36655518174371</v>
      </c>
      <c r="DT190" s="59">
        <f ca="1">AVERAGE(OFFSET($DS$3,0,0,'Données projet'!$E$14+1,1))-AVERAGE(OFFSET($H$3,0,0,'Données projet'!$E$14+1,1))</f>
        <v>96.611230241682733</v>
      </c>
      <c r="DU190" s="59">
        <f t="shared" si="152"/>
        <v>78.711045514042041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0.26194393356029683</v>
      </c>
      <c r="EB190" s="21">
        <f>EXP(-LN(2)/25)*EB189+(1-EXP(-LN(2)/25))/(LN(2)/25)*Calculateur!DW190*Calculateur!DY190*VLOOKUP('Données projet'!$B$14,Paramètres!$A$1:$I$89,3,0)*0.475*44/12</f>
        <v>0.42615555034015135</v>
      </c>
      <c r="EC190" s="21">
        <f>EXP(-LN(2)/2)*EC189+(1-EXP(-LN(2)/2))/(LN(2)/2)*DW190*DZ190*VLOOKUP('Données projet'!$B$14,Paramètres!$A$1:$I$89,3,0)*0.475*44/12</f>
        <v>3.4108948504431375E-15</v>
      </c>
      <c r="ED190" s="22">
        <f t="shared" si="178"/>
        <v>0.68809948390045161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188.61152573050066</v>
      </c>
      <c r="EP190" s="59">
        <f t="shared" si="154"/>
        <v>172.37050503841624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16.402650575190012</v>
      </c>
      <c r="EW190" s="21">
        <f>EXP(-LN(2)/25)*EW189+(1-EXP(-LN(2)/25))/(LN(2)/25)*Calculateur!ER190*Calculateur!ET190*VLOOKUP('Données projet'!$B$15,Paramètres!$A$1:$I$89,3,0)*0.475*44/12</f>
        <v>1.7097566735234559</v>
      </c>
      <c r="EX190" s="21">
        <f>EXP(-LN(2)/2)*EX189+(1-EXP(-LN(2)/2))/(LN(2)/2)*ER190*EU190*VLOOKUP('Données projet'!$B$15,Paramètres!$A$1:$I$89,3,0)*0.475*44/12</f>
        <v>7.7266591936010336E-17</v>
      </c>
      <c r="EY190" s="22">
        <f t="shared" si="181"/>
        <v>18.112407248713467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0</v>
      </c>
      <c r="FK190" s="59">
        <f t="shared" si="156"/>
        <v>0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0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197.78572767493569</v>
      </c>
      <c r="T191" s="59">
        <f t="shared" si="142"/>
        <v>288.66487031729008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266.99999999999983</v>
      </c>
      <c r="AJ191" s="13">
        <f>AI191*VLOOKUP('Données projet'!$B$10,Paramètres!$A$1:$I$89,3,0)*VLOOKUP('Données projet'!$B$10,Paramètres!$A$1:$I$89,5,0)</f>
        <v>212.42519999999985</v>
      </c>
      <c r="AK191" s="13">
        <f t="shared" si="164"/>
        <v>52.465198231787184</v>
      </c>
      <c r="AL191" s="20">
        <f t="shared" si="165"/>
        <v>461.35077692036231</v>
      </c>
      <c r="AM191" s="59">
        <f t="shared" si="113"/>
        <v>754.68411025369562</v>
      </c>
      <c r="AN191" s="59">
        <f ca="1">AVERAGE(OFFSET($AM$3,0,0,'Données projet'!$E$10+1,1))-AVERAGE(OFFSET($H$3,0,0,'Données projet'!$E$10+1,1))</f>
        <v>219.43439115440339</v>
      </c>
      <c r="AO191" s="59">
        <f t="shared" si="144"/>
        <v>217.8880462742099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3.3913221775072184</v>
      </c>
      <c r="AV191" s="21">
        <f>EXP(-LN(2)/25)*AV190+(1-EXP(-LN(2)/25))/(LN(2)/25)*Calculateur!AQ191*Calculateur!AS191*VLOOKUP('Données projet'!$B$10,Paramètres!$A$1:$I$89,3,0)*0.475*44/12</f>
        <v>0.41700294356038986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3.8083251210676083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190.99999999999997</v>
      </c>
      <c r="BE191" s="13">
        <f>BD191*VLOOKUP('Données projet'!$B$11,Paramètres!$A$1:$I$89,3,0)*VLOOKUP('Données projet'!$B$11,Paramètres!$A$1:$I$89,5,0)</f>
        <v>166.85759999999999</v>
      </c>
      <c r="BF191" s="13">
        <f t="shared" si="167"/>
        <v>42.385468111966098</v>
      </c>
      <c r="BG191" s="20">
        <f t="shared" si="168"/>
        <v>364.43167696167421</v>
      </c>
      <c r="BH191" s="59">
        <f t="shared" si="116"/>
        <v>657.76501029500753</v>
      </c>
      <c r="BI191" s="59">
        <f ca="1">AVERAGE(OFFSET($BH$3,0,0,'Données projet'!$E$11+1,1))-AVERAGE(OFFSET($H$3,0,0,'Données projet'!$E$11+1,1))</f>
        <v>175.73188403662408</v>
      </c>
      <c r="BJ191" s="59">
        <f t="shared" si="146"/>
        <v>152.02195399869032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1.6674635113899543</v>
      </c>
      <c r="BQ191" s="21">
        <f>EXP(-LN(2)/25)*BQ190+(1-EXP(-LN(2)/25))/(LN(2)/25)*Calculateur!BL191*Calculateur!BN191*VLOOKUP('Données projet'!$B$11,Paramètres!$A$1:$I$89,3,0)*0.475*44/12</f>
        <v>0.9525082563539865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2.6199717677439409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-4.5474735088646412E-13</v>
      </c>
      <c r="BZ191" s="13">
        <f>BY191*VLOOKUP('Données projet'!$B$12,Paramètres!$A$1:$I$89,3,0)*VLOOKUP('Données projet'!$B$12,Paramètres!$A$1:$I$89,5,0)</f>
        <v>-4.1145540308207271E-13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213.54857791046686</v>
      </c>
      <c r="CE191" s="59">
        <f t="shared" si="148"/>
        <v>138.46877538074244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83.270799209656658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83.270799209656658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213</v>
      </c>
      <c r="CU191" s="17">
        <f>CT191*VLOOKUP('Données projet'!$B$13,Paramètres!$A$1:$I$89,3,0)*VLOOKUP('Données projet'!$B$13,Paramètres!$A$1:$I$89,5,0)</f>
        <v>169.46279999999999</v>
      </c>
      <c r="CV191" s="13">
        <f t="shared" si="173"/>
        <v>42.969686502194378</v>
      </c>
      <c r="CW191" s="20">
        <f t="shared" si="174"/>
        <v>369.9865806579885</v>
      </c>
      <c r="CX191" s="59">
        <f t="shared" si="122"/>
        <v>663.31991399132176</v>
      </c>
      <c r="CY191" s="59">
        <f ca="1">AVERAGE(OFFSET($CX$3,0,0,'Données projet'!$E$13+1,1))-AVERAGE(OFFSET($H$3,0,0,'Données projet'!$E$13+1,1))</f>
        <v>161.87883827031436</v>
      </c>
      <c r="CZ191" s="59">
        <f t="shared" si="150"/>
        <v>163.02076389611869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1.3286572060305568</v>
      </c>
      <c r="DG191" s="21">
        <f>EXP(-LN(2)/25)*DG190+(1-EXP(-LN(2)/25))/(LN(2)/25)*Calculateur!DB191*Calculateur!DD191*VLOOKUP('Données projet'!$B$13,Paramètres!$A$1:$I$89,3,0)*0.475*44/12</f>
        <v>0.43747567289399181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1.7661328789245485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149.0000000000002</v>
      </c>
      <c r="DP191" s="17">
        <f>DO191*VLOOKUP('Données projet'!$B$14,Paramètres!$A$1:$I$89,3,0)*VLOOKUP('Données projet'!$B$14,Paramètres!$A$1:$I$89,5,0)</f>
        <v>120.86880000000016</v>
      </c>
      <c r="DQ191" s="13">
        <f t="shared" si="176"/>
        <v>31.877547472771326</v>
      </c>
      <c r="DR191" s="20">
        <f t="shared" si="177"/>
        <v>266.03322184841039</v>
      </c>
      <c r="DS191" s="59">
        <f t="shared" si="125"/>
        <v>559.36655518174371</v>
      </c>
      <c r="DT191" s="59">
        <f ca="1">AVERAGE(OFFSET($DS$3,0,0,'Données projet'!$E$14+1,1))-AVERAGE(OFFSET($H$3,0,0,'Données projet'!$E$14+1,1))</f>
        <v>96.611230241682733</v>
      </c>
      <c r="DU191" s="59">
        <f t="shared" si="152"/>
        <v>78.711045514042041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0.25680737279320287</v>
      </c>
      <c r="EB191" s="21">
        <f>EXP(-LN(2)/25)*EB190+(1-EXP(-LN(2)/25))/(LN(2)/25)*Calculateur!DW191*Calculateur!DY191*VLOOKUP('Données projet'!$B$14,Paramètres!$A$1:$I$89,3,0)*0.475*44/12</f>
        <v>0.41450230440555352</v>
      </c>
      <c r="EC191" s="21">
        <f>EXP(-LN(2)/2)*EC190+(1-EXP(-LN(2)/2))/(LN(2)/2)*DW191*DZ191*VLOOKUP('Données projet'!$B$14,Paramètres!$A$1:$I$89,3,0)*0.475*44/12</f>
        <v>2.4118668786626173E-15</v>
      </c>
      <c r="ED191" s="22">
        <f t="shared" si="178"/>
        <v>0.67130967719875878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188.61152573050066</v>
      </c>
      <c r="EP191" s="59">
        <f t="shared" si="154"/>
        <v>172.37050503841624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16.081004602039513</v>
      </c>
      <c r="EW191" s="21">
        <f>EXP(-LN(2)/25)*EW190+(1-EXP(-LN(2)/25))/(LN(2)/25)*Calculateur!ER191*Calculateur!ET191*VLOOKUP('Données projet'!$B$15,Paramètres!$A$1:$I$89,3,0)*0.475*44/12</f>
        <v>1.6630032873737612</v>
      </c>
      <c r="EX191" s="21">
        <f>EXP(-LN(2)/2)*EX190+(1-EXP(-LN(2)/2))/(LN(2)/2)*ER191*EU191*VLOOKUP('Données projet'!$B$15,Paramètres!$A$1:$I$89,3,0)*0.475*44/12</f>
        <v>5.4635731117126719E-17</v>
      </c>
      <c r="EY191" s="22">
        <f t="shared" si="181"/>
        <v>17.744007889413275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0</v>
      </c>
      <c r="FK191" s="59">
        <f t="shared" si="156"/>
        <v>0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0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197.78572767493569</v>
      </c>
      <c r="T192" s="59">
        <f t="shared" si="142"/>
        <v>288.66487031729008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266.99999999999983</v>
      </c>
      <c r="AJ192" s="13">
        <f>AI192*VLOOKUP('Données projet'!$B$10,Paramètres!$A$1:$I$89,3,0)*VLOOKUP('Données projet'!$B$10,Paramètres!$A$1:$I$89,5,0)</f>
        <v>212.42519999999985</v>
      </c>
      <c r="AK192" s="13">
        <f t="shared" si="164"/>
        <v>52.465198231787184</v>
      </c>
      <c r="AL192" s="20">
        <f t="shared" si="165"/>
        <v>461.35077692036231</v>
      </c>
      <c r="AM192" s="59">
        <f t="shared" si="113"/>
        <v>754.68411025369562</v>
      </c>
      <c r="AN192" s="59">
        <f ca="1">AVERAGE(OFFSET($AM$3,0,0,'Données projet'!$E$10+1,1))-AVERAGE(OFFSET($H$3,0,0,'Données projet'!$E$10+1,1))</f>
        <v>219.43439115440339</v>
      </c>
      <c r="AO192" s="59">
        <f t="shared" si="144"/>
        <v>217.8880462742099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3.3248204181085823</v>
      </c>
      <c r="AV192" s="21">
        <f>EXP(-LN(2)/25)*AV191+(1-EXP(-LN(2)/25))/(LN(2)/25)*Calculateur!AQ192*Calculateur!AS192*VLOOKUP('Données projet'!$B$10,Paramètres!$A$1:$I$89,3,0)*0.475*44/12</f>
        <v>0.40559997613949927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3.7304203942480818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190.99999999999997</v>
      </c>
      <c r="BE192" s="13">
        <f>BD192*VLOOKUP('Données projet'!$B$11,Paramètres!$A$1:$I$89,3,0)*VLOOKUP('Données projet'!$B$11,Paramètres!$A$1:$I$89,5,0)</f>
        <v>166.85759999999999</v>
      </c>
      <c r="BF192" s="13">
        <f t="shared" si="167"/>
        <v>42.385468111966098</v>
      </c>
      <c r="BG192" s="20">
        <f t="shared" si="168"/>
        <v>364.43167696167421</v>
      </c>
      <c r="BH192" s="59">
        <f t="shared" si="116"/>
        <v>657.76501029500753</v>
      </c>
      <c r="BI192" s="59">
        <f ca="1">AVERAGE(OFFSET($BH$3,0,0,'Données projet'!$E$11+1,1))-AVERAGE(OFFSET($H$3,0,0,'Données projet'!$E$11+1,1))</f>
        <v>175.73188403662408</v>
      </c>
      <c r="BJ192" s="59">
        <f t="shared" si="146"/>
        <v>152.02195399869032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1.6347655689839136</v>
      </c>
      <c r="BQ192" s="21">
        <f>EXP(-LN(2)/25)*BQ191+(1-EXP(-LN(2)/25))/(LN(2)/25)*Calculateur!BL192*Calculateur!BN192*VLOOKUP('Données projet'!$B$11,Paramètres!$A$1:$I$89,3,0)*0.475*44/12</f>
        <v>0.92646186799375452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2.561227436977668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-4.5474735088646412E-13</v>
      </c>
      <c r="BZ192" s="13">
        <f>BY192*VLOOKUP('Données projet'!$B$12,Paramètres!$A$1:$I$89,3,0)*VLOOKUP('Données projet'!$B$12,Paramètres!$A$1:$I$89,5,0)</f>
        <v>-4.1145540308207271E-13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213.54857791046686</v>
      </c>
      <c r="CE192" s="59">
        <f t="shared" si="148"/>
        <v>138.46877538074244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81.637909627327701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81.637909627327701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213</v>
      </c>
      <c r="CU192" s="17">
        <f>CT192*VLOOKUP('Données projet'!$B$13,Paramètres!$A$1:$I$89,3,0)*VLOOKUP('Données projet'!$B$13,Paramètres!$A$1:$I$89,5,0)</f>
        <v>169.46279999999999</v>
      </c>
      <c r="CV192" s="13">
        <f t="shared" si="173"/>
        <v>42.969686502194378</v>
      </c>
      <c r="CW192" s="20">
        <f t="shared" si="174"/>
        <v>369.9865806579885</v>
      </c>
      <c r="CX192" s="59">
        <f t="shared" si="122"/>
        <v>663.31991399132176</v>
      </c>
      <c r="CY192" s="59">
        <f ca="1">AVERAGE(OFFSET($CX$3,0,0,'Données projet'!$E$13+1,1))-AVERAGE(OFFSET($H$3,0,0,'Données projet'!$E$13+1,1))</f>
        <v>161.87883827031436</v>
      </c>
      <c r="CZ192" s="59">
        <f t="shared" si="150"/>
        <v>163.02076389611869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1.3026030486211728</v>
      </c>
      <c r="DG192" s="21">
        <f>EXP(-LN(2)/25)*DG191+(1-EXP(-LN(2)/25))/(LN(2)/25)*Calculateur!DB192*Calculateur!DD192*VLOOKUP('Données projet'!$B$13,Paramètres!$A$1:$I$89,3,0)*0.475*44/12</f>
        <v>0.42551287761285983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1.7281159262340327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149.0000000000002</v>
      </c>
      <c r="DP192" s="17">
        <f>DO192*VLOOKUP('Données projet'!$B$14,Paramètres!$A$1:$I$89,3,0)*VLOOKUP('Données projet'!$B$14,Paramètres!$A$1:$I$89,5,0)</f>
        <v>120.86880000000016</v>
      </c>
      <c r="DQ192" s="13">
        <f t="shared" si="176"/>
        <v>31.877547472771326</v>
      </c>
      <c r="DR192" s="20">
        <f t="shared" si="177"/>
        <v>266.03322184841039</v>
      </c>
      <c r="DS192" s="59">
        <f t="shared" si="125"/>
        <v>559.36655518174371</v>
      </c>
      <c r="DT192" s="59">
        <f ca="1">AVERAGE(OFFSET($DS$3,0,0,'Données projet'!$E$14+1,1))-AVERAGE(OFFSET($H$3,0,0,'Données projet'!$E$14+1,1))</f>
        <v>96.611230241682733</v>
      </c>
      <c r="DU192" s="59">
        <f t="shared" si="152"/>
        <v>78.711045514042041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0.25177153684975895</v>
      </c>
      <c r="EB192" s="21">
        <f>EXP(-LN(2)/25)*EB191+(1-EXP(-LN(2)/25))/(LN(2)/25)*Calculateur!DW192*Calculateur!DY192*VLOOKUP('Données projet'!$B$14,Paramètres!$A$1:$I$89,3,0)*0.475*44/12</f>
        <v>0.40316771709385485</v>
      </c>
      <c r="EC192" s="21">
        <f>EXP(-LN(2)/2)*EC191+(1-EXP(-LN(2)/2))/(LN(2)/2)*DW192*DZ192*VLOOKUP('Données projet'!$B$14,Paramètres!$A$1:$I$89,3,0)*0.475*44/12</f>
        <v>1.7054474252215687E-15</v>
      </c>
      <c r="ED192" s="22">
        <f t="shared" si="178"/>
        <v>0.65493925394361552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188.61152573050066</v>
      </c>
      <c r="EP192" s="59">
        <f t="shared" si="154"/>
        <v>172.37050503841624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15.765665910237823</v>
      </c>
      <c r="EW192" s="21">
        <f>EXP(-LN(2)/25)*EW191+(1-EXP(-LN(2)/25))/(LN(2)/25)*Calculateur!ER192*Calculateur!ET192*VLOOKUP('Données projet'!$B$15,Paramètres!$A$1:$I$89,3,0)*0.475*44/12</f>
        <v>1.6175283750269838</v>
      </c>
      <c r="EX192" s="21">
        <f>EXP(-LN(2)/2)*EX191+(1-EXP(-LN(2)/2))/(LN(2)/2)*ER192*EU192*VLOOKUP('Données projet'!$B$15,Paramètres!$A$1:$I$89,3,0)*0.475*44/12</f>
        <v>3.8633295968005174E-17</v>
      </c>
      <c r="EY192" s="22">
        <f t="shared" si="181"/>
        <v>17.383194285264807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0</v>
      </c>
      <c r="FK192" s="59">
        <f t="shared" si="156"/>
        <v>0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0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197.78572767493569</v>
      </c>
      <c r="T193" s="59">
        <f t="shared" si="142"/>
        <v>288.66487031729008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266.99999999999983</v>
      </c>
      <c r="AJ193" s="13">
        <f>AI193*VLOOKUP('Données projet'!$B$10,Paramètres!$A$1:$I$89,3,0)*VLOOKUP('Données projet'!$B$10,Paramètres!$A$1:$I$89,5,0)</f>
        <v>212.42519999999985</v>
      </c>
      <c r="AK193" s="13">
        <f t="shared" si="164"/>
        <v>52.465198231787184</v>
      </c>
      <c r="AL193" s="20">
        <f t="shared" si="165"/>
        <v>461.35077692036231</v>
      </c>
      <c r="AM193" s="59">
        <f t="shared" si="113"/>
        <v>754.68411025369562</v>
      </c>
      <c r="AN193" s="59">
        <f ca="1">AVERAGE(OFFSET($AM$3,0,0,'Données projet'!$E$10+1,1))-AVERAGE(OFFSET($H$3,0,0,'Données projet'!$E$10+1,1))</f>
        <v>219.43439115440339</v>
      </c>
      <c r="AO193" s="59">
        <f t="shared" si="144"/>
        <v>217.8880462742099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3.2596227176496857</v>
      </c>
      <c r="AV193" s="21">
        <f>EXP(-LN(2)/25)*AV192+(1-EXP(-LN(2)/25))/(LN(2)/25)*Calculateur!AQ193*Calculateur!AS193*VLOOKUP('Données projet'!$B$10,Paramètres!$A$1:$I$89,3,0)*0.475*44/12</f>
        <v>0.39450882346238891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3.6541315411120747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190.99999999999997</v>
      </c>
      <c r="BE193" s="13">
        <f>BD193*VLOOKUP('Données projet'!$B$11,Paramètres!$A$1:$I$89,3,0)*VLOOKUP('Données projet'!$B$11,Paramètres!$A$1:$I$89,5,0)</f>
        <v>166.85759999999999</v>
      </c>
      <c r="BF193" s="13">
        <f t="shared" si="167"/>
        <v>42.385468111966098</v>
      </c>
      <c r="BG193" s="20">
        <f t="shared" si="168"/>
        <v>364.43167696167421</v>
      </c>
      <c r="BH193" s="59">
        <f t="shared" si="116"/>
        <v>657.76501029500753</v>
      </c>
      <c r="BI193" s="59">
        <f ca="1">AVERAGE(OFFSET($BH$3,0,0,'Données projet'!$E$11+1,1))-AVERAGE(OFFSET($H$3,0,0,'Données projet'!$E$11+1,1))</f>
        <v>175.73188403662408</v>
      </c>
      <c r="BJ193" s="59">
        <f t="shared" si="146"/>
        <v>152.02195399869032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1.6027088132846798</v>
      </c>
      <c r="BQ193" s="21">
        <f>EXP(-LN(2)/25)*BQ192+(1-EXP(-LN(2)/25))/(LN(2)/25)*Calculateur!BL193*Calculateur!BN193*VLOOKUP('Données projet'!$B$11,Paramètres!$A$1:$I$89,3,0)*0.475*44/12</f>
        <v>0.90112771949295312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2.5038365327776329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-4.5474735088646412E-13</v>
      </c>
      <c r="BZ193" s="13">
        <f>BY193*VLOOKUP('Données projet'!$B$12,Paramètres!$A$1:$I$89,3,0)*VLOOKUP('Données projet'!$B$12,Paramètres!$A$1:$I$89,5,0)</f>
        <v>-4.1145540308207271E-13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213.54857791046686</v>
      </c>
      <c r="CE193" s="59">
        <f t="shared" si="148"/>
        <v>138.46877538074244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80.037040013743905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80.037040013743905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213</v>
      </c>
      <c r="CU193" s="17">
        <f>CT193*VLOOKUP('Données projet'!$B$13,Paramètres!$A$1:$I$89,3,0)*VLOOKUP('Données projet'!$B$13,Paramètres!$A$1:$I$89,5,0)</f>
        <v>169.46279999999999</v>
      </c>
      <c r="CV193" s="13">
        <f t="shared" si="173"/>
        <v>42.969686502194378</v>
      </c>
      <c r="CW193" s="20">
        <f t="shared" si="174"/>
        <v>369.9865806579885</v>
      </c>
      <c r="CX193" s="59">
        <f t="shared" si="122"/>
        <v>663.31991399132176</v>
      </c>
      <c r="CY193" s="59">
        <f ca="1">AVERAGE(OFFSET($CX$3,0,0,'Données projet'!$E$13+1,1))-AVERAGE(OFFSET($H$3,0,0,'Données projet'!$E$13+1,1))</f>
        <v>161.87883827031436</v>
      </c>
      <c r="CZ193" s="59">
        <f t="shared" si="150"/>
        <v>163.02076389611869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1.2770597973471201</v>
      </c>
      <c r="DG193" s="21">
        <f>EXP(-LN(2)/25)*DG192+(1-EXP(-LN(2)/25))/(LN(2)/25)*Calculateur!DB193*Calculateur!DD193*VLOOKUP('Données projet'!$B$13,Paramètres!$A$1:$I$89,3,0)*0.475*44/12</f>
        <v>0.41387720559778646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1.6909370029449065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149.0000000000002</v>
      </c>
      <c r="DP193" s="17">
        <f>DO193*VLOOKUP('Données projet'!$B$14,Paramètres!$A$1:$I$89,3,0)*VLOOKUP('Données projet'!$B$14,Paramètres!$A$1:$I$89,5,0)</f>
        <v>120.86880000000016</v>
      </c>
      <c r="DQ193" s="13">
        <f t="shared" si="176"/>
        <v>31.877547472771326</v>
      </c>
      <c r="DR193" s="20">
        <f t="shared" si="177"/>
        <v>266.03322184841039</v>
      </c>
      <c r="DS193" s="59">
        <f t="shared" si="125"/>
        <v>559.36655518174371</v>
      </c>
      <c r="DT193" s="59">
        <f ca="1">AVERAGE(OFFSET($DS$3,0,0,'Données projet'!$E$14+1,1))-AVERAGE(OFFSET($H$3,0,0,'Données projet'!$E$14+1,1))</f>
        <v>96.611230241682733</v>
      </c>
      <c r="DU193" s="59">
        <f t="shared" si="152"/>
        <v>78.711045514042041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0.24683445057760933</v>
      </c>
      <c r="EB193" s="21">
        <f>EXP(-LN(2)/25)*EB192+(1-EXP(-LN(2)/25))/(LN(2)/25)*Calculateur!DW193*Calculateur!DY193*VLOOKUP('Données projet'!$B$14,Paramètres!$A$1:$I$89,3,0)*0.475*44/12</f>
        <v>0.3921430746682546</v>
      </c>
      <c r="EC193" s="21">
        <f>EXP(-LN(2)/2)*EC192+(1-EXP(-LN(2)/2))/(LN(2)/2)*DW193*DZ193*VLOOKUP('Données projet'!$B$14,Paramètres!$A$1:$I$89,3,0)*0.475*44/12</f>
        <v>1.2059334393313087E-15</v>
      </c>
      <c r="ED193" s="22">
        <f t="shared" si="178"/>
        <v>0.63897752524586515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188.61152573050066</v>
      </c>
      <c r="EP193" s="59">
        <f t="shared" si="154"/>
        <v>172.37050503841624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15.456510817844753</v>
      </c>
      <c r="EW193" s="21">
        <f>EXP(-LN(2)/25)*EW192+(1-EXP(-LN(2)/25))/(LN(2)/25)*Calculateur!ER193*Calculateur!ET193*VLOOKUP('Données projet'!$B$15,Paramètres!$A$1:$I$89,3,0)*0.475*44/12</f>
        <v>1.5732969765497506</v>
      </c>
      <c r="EX193" s="21">
        <f>EXP(-LN(2)/2)*EX192+(1-EXP(-LN(2)/2))/(LN(2)/2)*ER193*EU193*VLOOKUP('Données projet'!$B$15,Paramètres!$A$1:$I$89,3,0)*0.475*44/12</f>
        <v>2.7317865558563366E-17</v>
      </c>
      <c r="EY193" s="22">
        <f t="shared" si="181"/>
        <v>17.029807794394504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0</v>
      </c>
      <c r="FK193" s="59">
        <f t="shared" si="156"/>
        <v>0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0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197.78572767493569</v>
      </c>
      <c r="T194" s="59">
        <f t="shared" si="142"/>
        <v>288.66487031729008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266.99999999999983</v>
      </c>
      <c r="AJ194" s="13">
        <f>AI194*VLOOKUP('Données projet'!$B$10,Paramètres!$A$1:$I$89,3,0)*VLOOKUP('Données projet'!$B$10,Paramètres!$A$1:$I$89,5,0)</f>
        <v>212.42519999999985</v>
      </c>
      <c r="AK194" s="13">
        <f t="shared" si="164"/>
        <v>52.465198231787184</v>
      </c>
      <c r="AL194" s="20">
        <f t="shared" si="165"/>
        <v>461.35077692036231</v>
      </c>
      <c r="AM194" s="59">
        <f t="shared" si="113"/>
        <v>754.68411025369562</v>
      </c>
      <c r="AN194" s="59">
        <f ca="1">AVERAGE(OFFSET($AM$3,0,0,'Données projet'!$E$10+1,1))-AVERAGE(OFFSET($H$3,0,0,'Données projet'!$E$10+1,1))</f>
        <v>219.43439115440339</v>
      </c>
      <c r="AO194" s="59">
        <f t="shared" si="144"/>
        <v>217.8880462742099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3.1957035043301172</v>
      </c>
      <c r="AV194" s="21">
        <f>EXP(-LN(2)/25)*AV193+(1-EXP(-LN(2)/25))/(LN(2)/25)*Calculateur!AQ194*Calculateur!AS194*VLOOKUP('Données projet'!$B$10,Paramètres!$A$1:$I$89,3,0)*0.475*44/12</f>
        <v>0.38372095893849251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3.5794244632686096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190.99999999999997</v>
      </c>
      <c r="BE194" s="13">
        <f>BD194*VLOOKUP('Données projet'!$B$11,Paramètres!$A$1:$I$89,3,0)*VLOOKUP('Données projet'!$B$11,Paramètres!$A$1:$I$89,5,0)</f>
        <v>166.85759999999999</v>
      </c>
      <c r="BF194" s="13">
        <f t="shared" si="167"/>
        <v>42.385468111966098</v>
      </c>
      <c r="BG194" s="20">
        <f t="shared" si="168"/>
        <v>364.43167696167421</v>
      </c>
      <c r="BH194" s="59">
        <f t="shared" si="116"/>
        <v>657.76501029500753</v>
      </c>
      <c r="BI194" s="59">
        <f ca="1">AVERAGE(OFFSET($BH$3,0,0,'Données projet'!$E$11+1,1))-AVERAGE(OFFSET($H$3,0,0,'Données projet'!$E$11+1,1))</f>
        <v>175.73188403662408</v>
      </c>
      <c r="BJ194" s="59">
        <f t="shared" si="146"/>
        <v>152.02195399869032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1.5712806710120177</v>
      </c>
      <c r="BQ194" s="21">
        <f>EXP(-LN(2)/25)*BQ193+(1-EXP(-LN(2)/25))/(LN(2)/25)*Calculateur!BL194*Calculateur!BN194*VLOOKUP('Données projet'!$B$11,Paramètres!$A$1:$I$89,3,0)*0.475*44/12</f>
        <v>0.87648633461517111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2.4477670056271887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-4.5474735088646412E-13</v>
      </c>
      <c r="BZ194" s="13">
        <f>BY194*VLOOKUP('Données projet'!$B$12,Paramètres!$A$1:$I$89,3,0)*VLOOKUP('Données projet'!$B$12,Paramètres!$A$1:$I$89,5,0)</f>
        <v>-4.1145540308207271E-13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213.54857791046686</v>
      </c>
      <c r="CE194" s="59">
        <f t="shared" si="148"/>
        <v>138.46877538074244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78.467562476848443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78.467562476848443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213</v>
      </c>
      <c r="CU194" s="17">
        <f>CT194*VLOOKUP('Données projet'!$B$13,Paramètres!$A$1:$I$89,3,0)*VLOOKUP('Données projet'!$B$13,Paramètres!$A$1:$I$89,5,0)</f>
        <v>169.46279999999999</v>
      </c>
      <c r="CV194" s="13">
        <f t="shared" si="173"/>
        <v>42.969686502194378</v>
      </c>
      <c r="CW194" s="20">
        <f t="shared" si="174"/>
        <v>369.9865806579885</v>
      </c>
      <c r="CX194" s="59">
        <f t="shared" si="122"/>
        <v>663.31991399132176</v>
      </c>
      <c r="CY194" s="59">
        <f ca="1">AVERAGE(OFFSET($CX$3,0,0,'Données projet'!$E$13+1,1))-AVERAGE(OFFSET($H$3,0,0,'Données projet'!$E$13+1,1))</f>
        <v>161.87883827031436</v>
      </c>
      <c r="CZ194" s="59">
        <f t="shared" si="150"/>
        <v>163.02076389611869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1.2520174336507066</v>
      </c>
      <c r="DG194" s="21">
        <f>EXP(-LN(2)/25)*DG193+(1-EXP(-LN(2)/25))/(LN(2)/25)*Calculateur!DB194*Calculateur!DD194*VLOOKUP('Données projet'!$B$13,Paramètres!$A$1:$I$89,3,0)*0.475*44/12</f>
        <v>0.40255971164585869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1.6545771452965652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149.0000000000002</v>
      </c>
      <c r="DP194" s="17">
        <f>DO194*VLOOKUP('Données projet'!$B$14,Paramètres!$A$1:$I$89,3,0)*VLOOKUP('Données projet'!$B$14,Paramètres!$A$1:$I$89,5,0)</f>
        <v>120.86880000000016</v>
      </c>
      <c r="DQ194" s="13">
        <f t="shared" si="176"/>
        <v>31.877547472771326</v>
      </c>
      <c r="DR194" s="20">
        <f t="shared" si="177"/>
        <v>266.03322184841039</v>
      </c>
      <c r="DS194" s="59">
        <f t="shared" si="125"/>
        <v>559.36655518174371</v>
      </c>
      <c r="DT194" s="59">
        <f ca="1">AVERAGE(OFFSET($DS$3,0,0,'Données projet'!$E$14+1,1))-AVERAGE(OFFSET($H$3,0,0,'Données projet'!$E$14+1,1))</f>
        <v>96.611230241682733</v>
      </c>
      <c r="DU194" s="59">
        <f t="shared" si="152"/>
        <v>78.711045514042041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0.24199417755593128</v>
      </c>
      <c r="EB194" s="21">
        <f>EXP(-LN(2)/25)*EB193+(1-EXP(-LN(2)/25))/(LN(2)/25)*Calculateur!DW194*Calculateur!DY194*VLOOKUP('Données projet'!$B$14,Paramètres!$A$1:$I$89,3,0)*0.475*44/12</f>
        <v>0.38141990166954315</v>
      </c>
      <c r="EC194" s="21">
        <f>EXP(-LN(2)/2)*EC193+(1-EXP(-LN(2)/2))/(LN(2)/2)*DW194*DZ194*VLOOKUP('Données projet'!$B$14,Paramètres!$A$1:$I$89,3,0)*0.475*44/12</f>
        <v>8.5272371261078437E-16</v>
      </c>
      <c r="ED194" s="22">
        <f t="shared" si="178"/>
        <v>0.62341407922547531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188.61152573050066</v>
      </c>
      <c r="EP194" s="59">
        <f t="shared" si="154"/>
        <v>172.37050503841624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15.153418068247525</v>
      </c>
      <c r="EW194" s="21">
        <f>EXP(-LN(2)/25)*EW193+(1-EXP(-LN(2)/25))/(LN(2)/25)*Calculateur!ER194*Calculateur!ET194*VLOOKUP('Données projet'!$B$15,Paramètres!$A$1:$I$89,3,0)*0.475*44/12</f>
        <v>1.5302750879899056</v>
      </c>
      <c r="EX194" s="21">
        <f>EXP(-LN(2)/2)*EX193+(1-EXP(-LN(2)/2))/(LN(2)/2)*ER194*EU194*VLOOKUP('Données projet'!$B$15,Paramètres!$A$1:$I$89,3,0)*0.475*44/12</f>
        <v>1.931664798400259E-17</v>
      </c>
      <c r="EY194" s="22">
        <f t="shared" si="181"/>
        <v>16.683693156237432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0</v>
      </c>
      <c r="FK194" s="59">
        <f t="shared" si="156"/>
        <v>0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0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197.78572767493569</v>
      </c>
      <c r="T195" s="59">
        <f t="shared" si="142"/>
        <v>288.66487031729008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266.99999999999983</v>
      </c>
      <c r="AJ195" s="13">
        <f>AI195*VLOOKUP('Données projet'!$B$10,Paramètres!$A$1:$I$89,3,0)*VLOOKUP('Données projet'!$B$10,Paramètres!$A$1:$I$89,5,0)</f>
        <v>212.42519999999985</v>
      </c>
      <c r="AK195" s="13">
        <f t="shared" si="164"/>
        <v>52.465198231787184</v>
      </c>
      <c r="AL195" s="20">
        <f t="shared" si="165"/>
        <v>461.35077692036231</v>
      </c>
      <c r="AM195" s="59">
        <f t="shared" si="113"/>
        <v>754.68411025369562</v>
      </c>
      <c r="AN195" s="59">
        <f ca="1">AVERAGE(OFFSET($AM$3,0,0,'Données projet'!$E$10+1,1))-AVERAGE(OFFSET($H$3,0,0,'Données projet'!$E$10+1,1))</f>
        <v>219.43439115440339</v>
      </c>
      <c r="AO195" s="59">
        <f t="shared" si="144"/>
        <v>217.8880462742099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3.1330377077968752</v>
      </c>
      <c r="AV195" s="21">
        <f>EXP(-LN(2)/25)*AV194+(1-EXP(-LN(2)/25))/(LN(2)/25)*Calculateur!AQ195*Calculateur!AS195*VLOOKUP('Données projet'!$B$10,Paramètres!$A$1:$I$89,3,0)*0.475*44/12</f>
        <v>0.3732280891373112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3.5062657969341862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190.99999999999997</v>
      </c>
      <c r="BE195" s="13">
        <f>BD195*VLOOKUP('Données projet'!$B$11,Paramètres!$A$1:$I$89,3,0)*VLOOKUP('Données projet'!$B$11,Paramètres!$A$1:$I$89,5,0)</f>
        <v>166.85759999999999</v>
      </c>
      <c r="BF195" s="13">
        <f t="shared" si="167"/>
        <v>42.385468111966098</v>
      </c>
      <c r="BG195" s="20">
        <f t="shared" si="168"/>
        <v>364.43167696167421</v>
      </c>
      <c r="BH195" s="59">
        <f t="shared" si="116"/>
        <v>657.76501029500753</v>
      </c>
      <c r="BI195" s="59">
        <f ca="1">AVERAGE(OFFSET($BH$3,0,0,'Données projet'!$E$11+1,1))-AVERAGE(OFFSET($H$3,0,0,'Données projet'!$E$11+1,1))</f>
        <v>175.73188403662408</v>
      </c>
      <c r="BJ195" s="59">
        <f t="shared" si="146"/>
        <v>152.02195399869032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1.5404688154400485</v>
      </c>
      <c r="BQ195" s="21">
        <f>EXP(-LN(2)/25)*BQ194+(1-EXP(-LN(2)/25))/(LN(2)/25)*Calculateur!BL195*Calculateur!BN195*VLOOKUP('Données projet'!$B$11,Paramètres!$A$1:$I$89,3,0)*0.475*44/12</f>
        <v>0.85251876970270613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2.3929875851427544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-4.5474735088646412E-13</v>
      </c>
      <c r="BZ195" s="13">
        <f>BY195*VLOOKUP('Données projet'!$B$12,Paramètres!$A$1:$I$89,3,0)*VLOOKUP('Données projet'!$B$12,Paramètres!$A$1:$I$89,5,0)</f>
        <v>-4.1145540308207271E-13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213.54857791046686</v>
      </c>
      <c r="CE195" s="59">
        <f t="shared" si="148"/>
        <v>138.46877538074244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76.928861437164727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76.928861437164727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213</v>
      </c>
      <c r="CU195" s="17">
        <f>CT195*VLOOKUP('Données projet'!$B$13,Paramètres!$A$1:$I$89,3,0)*VLOOKUP('Données projet'!$B$13,Paramètres!$A$1:$I$89,5,0)</f>
        <v>169.46279999999999</v>
      </c>
      <c r="CV195" s="13">
        <f t="shared" si="173"/>
        <v>42.969686502194378</v>
      </c>
      <c r="CW195" s="20">
        <f t="shared" si="174"/>
        <v>369.9865806579885</v>
      </c>
      <c r="CX195" s="59">
        <f t="shared" si="122"/>
        <v>663.31991399132176</v>
      </c>
      <c r="CY195" s="59">
        <f ca="1">AVERAGE(OFFSET($CX$3,0,0,'Données projet'!$E$13+1,1))-AVERAGE(OFFSET($H$3,0,0,'Données projet'!$E$13+1,1))</f>
        <v>161.87883827031436</v>
      </c>
      <c r="CZ195" s="59">
        <f t="shared" si="150"/>
        <v>163.02076389611869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1.2274661354320462</v>
      </c>
      <c r="DG195" s="21">
        <f>EXP(-LN(2)/25)*DG194+(1-EXP(-LN(2)/25))/(LN(2)/25)*Calculateur!DB195*Calculateur!DD195*VLOOKUP('Données projet'!$B$13,Paramètres!$A$1:$I$89,3,0)*0.475*44/12</f>
        <v>0.39155169516120752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1.6190178305932537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149.0000000000002</v>
      </c>
      <c r="DP195" s="17">
        <f>DO195*VLOOKUP('Données projet'!$B$14,Paramètres!$A$1:$I$89,3,0)*VLOOKUP('Données projet'!$B$14,Paramètres!$A$1:$I$89,5,0)</f>
        <v>120.86880000000016</v>
      </c>
      <c r="DQ195" s="13">
        <f t="shared" si="176"/>
        <v>31.877547472771326</v>
      </c>
      <c r="DR195" s="20">
        <f t="shared" si="177"/>
        <v>266.03322184841039</v>
      </c>
      <c r="DS195" s="59">
        <f t="shared" si="125"/>
        <v>559.36655518174371</v>
      </c>
      <c r="DT195" s="59">
        <f ca="1">AVERAGE(OFFSET($DS$3,0,0,'Données projet'!$E$14+1,1))-AVERAGE(OFFSET($H$3,0,0,'Données projet'!$E$14+1,1))</f>
        <v>96.611230241682733</v>
      </c>
      <c r="DU195" s="59">
        <f t="shared" si="152"/>
        <v>78.711045514042041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0.23724881933593331</v>
      </c>
      <c r="EB195" s="21">
        <f>EXP(-LN(2)/25)*EB194+(1-EXP(-LN(2)/25))/(LN(2)/25)*Calculateur!DW195*Calculateur!DY195*VLOOKUP('Données projet'!$B$14,Paramètres!$A$1:$I$89,3,0)*0.475*44/12</f>
        <v>0.37098995440038862</v>
      </c>
      <c r="EC195" s="21">
        <f>EXP(-LN(2)/2)*EC194+(1-EXP(-LN(2)/2))/(LN(2)/2)*DW195*DZ195*VLOOKUP('Données projet'!$B$14,Paramètres!$A$1:$I$89,3,0)*0.475*44/12</f>
        <v>6.0296671966565433E-16</v>
      </c>
      <c r="ED195" s="22">
        <f t="shared" si="178"/>
        <v>0.60823877373632251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188.61152573050066</v>
      </c>
      <c r="EP195" s="59">
        <f t="shared" si="154"/>
        <v>172.37050503841624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14.856268782601575</v>
      </c>
      <c r="EW195" s="21">
        <f>EXP(-LN(2)/25)*EW194+(1-EXP(-LN(2)/25))/(LN(2)/25)*Calculateur!ER195*Calculateur!ET195*VLOOKUP('Données projet'!$B$15,Paramètres!$A$1:$I$89,3,0)*0.475*44/12</f>
        <v>1.4884296352351523</v>
      </c>
      <c r="EX195" s="21">
        <f>EXP(-LN(2)/2)*EX194+(1-EXP(-LN(2)/2))/(LN(2)/2)*ER195*EU195*VLOOKUP('Données projet'!$B$15,Paramètres!$A$1:$I$89,3,0)*0.475*44/12</f>
        <v>1.3658932779281684E-17</v>
      </c>
      <c r="EY195" s="22">
        <f t="shared" si="181"/>
        <v>16.344698417836728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0</v>
      </c>
      <c r="FK195" s="59">
        <f t="shared" si="156"/>
        <v>0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0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197.78572767493569</v>
      </c>
      <c r="T196" s="59">
        <f t="shared" si="142"/>
        <v>288.66487031729008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266.99999999999983</v>
      </c>
      <c r="AJ196" s="13">
        <f>AI196*VLOOKUP('Données projet'!$B$10,Paramètres!$A$1:$I$89,3,0)*VLOOKUP('Données projet'!$B$10,Paramètres!$A$1:$I$89,5,0)</f>
        <v>212.42519999999985</v>
      </c>
      <c r="AK196" s="13">
        <f t="shared" si="164"/>
        <v>52.465198231787184</v>
      </c>
      <c r="AL196" s="20">
        <f t="shared" si="165"/>
        <v>461.35077692036231</v>
      </c>
      <c r="AM196" s="59">
        <f t="shared" ref="AM196:AM203" si="193">AL196+(AD196+AE196)*44/12</f>
        <v>754.68411025369562</v>
      </c>
      <c r="AN196" s="59">
        <f ca="1">AVERAGE(OFFSET($AM$3,0,0,'Données projet'!$E$10+1,1))-AVERAGE(OFFSET($H$3,0,0,'Données projet'!$E$10+1,1))</f>
        <v>219.43439115440339</v>
      </c>
      <c r="AO196" s="59">
        <f t="shared" si="144"/>
        <v>217.8880462742099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3.0716007493112882</v>
      </c>
      <c r="AV196" s="21">
        <f>EXP(-LN(2)/25)*AV195+(1-EXP(-LN(2)/25))/(LN(2)/25)*Calculateur!AQ196*Calculateur!AS196*VLOOKUP('Données projet'!$B$10,Paramètres!$A$1:$I$89,3,0)*0.475*44/12</f>
        <v>0.36302214741263922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3.4346228967239276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190.99999999999997</v>
      </c>
      <c r="BE196" s="13">
        <f>BD196*VLOOKUP('Données projet'!$B$11,Paramètres!$A$1:$I$89,3,0)*VLOOKUP('Données projet'!$B$11,Paramètres!$A$1:$I$89,5,0)</f>
        <v>166.85759999999999</v>
      </c>
      <c r="BF196" s="13">
        <f t="shared" si="167"/>
        <v>42.385468111966098</v>
      </c>
      <c r="BG196" s="20">
        <f t="shared" si="168"/>
        <v>364.43167696167421</v>
      </c>
      <c r="BH196" s="59">
        <f t="shared" ref="BH196:BH203" si="194">BG196+(AY196+AZ196)*44/12</f>
        <v>657.76501029500753</v>
      </c>
      <c r="BI196" s="59">
        <f ca="1">AVERAGE(OFFSET($BH$3,0,0,'Données projet'!$E$11+1,1))-AVERAGE(OFFSET($H$3,0,0,'Données projet'!$E$11+1,1))</f>
        <v>175.73188403662408</v>
      </c>
      <c r="BJ196" s="59">
        <f t="shared" si="146"/>
        <v>152.02195399869032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1.5102611615624695</v>
      </c>
      <c r="BQ196" s="21">
        <f>EXP(-LN(2)/25)*BQ195+(1-EXP(-LN(2)/25))/(LN(2)/25)*Calculateur!BL196*Calculateur!BN196*VLOOKUP('Données projet'!$B$11,Paramètres!$A$1:$I$89,3,0)*0.475*44/12</f>
        <v>0.82920659911317196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2.3394677606756415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-4.5474735088646412E-13</v>
      </c>
      <c r="BZ196" s="13">
        <f>BY196*VLOOKUP('Données projet'!$B$12,Paramètres!$A$1:$I$89,3,0)*VLOOKUP('Données projet'!$B$12,Paramètres!$A$1:$I$89,5,0)</f>
        <v>-4.1145540308207271E-13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213.54857791046686</v>
      </c>
      <c r="CE196" s="59">
        <f t="shared" si="148"/>
        <v>138.46877538074244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75.420333386354244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75.420333386354244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213</v>
      </c>
      <c r="CU196" s="17">
        <f>CT196*VLOOKUP('Données projet'!$B$13,Paramètres!$A$1:$I$89,3,0)*VLOOKUP('Données projet'!$B$13,Paramètres!$A$1:$I$89,5,0)</f>
        <v>169.46279999999999</v>
      </c>
      <c r="CV196" s="13">
        <f t="shared" si="173"/>
        <v>42.969686502194378</v>
      </c>
      <c r="CW196" s="20">
        <f t="shared" si="174"/>
        <v>369.9865806579885</v>
      </c>
      <c r="CX196" s="59">
        <f t="shared" ref="CX196:CX203" si="196">CW196+(CO196+CP196)*44/12</f>
        <v>663.31991399132176</v>
      </c>
      <c r="CY196" s="59">
        <f ca="1">AVERAGE(OFFSET($CX$3,0,0,'Données projet'!$E$13+1,1))-AVERAGE(OFFSET($H$3,0,0,'Données projet'!$E$13+1,1))</f>
        <v>161.87883827031436</v>
      </c>
      <c r="CZ196" s="59">
        <f t="shared" si="150"/>
        <v>163.02076389611869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1.2033962731966403</v>
      </c>
      <c r="DG196" s="21">
        <f>EXP(-LN(2)/25)*DG195+(1-EXP(-LN(2)/25))/(LN(2)/25)*Calculateur!DB196*Calculateur!DD196*VLOOKUP('Données projet'!$B$13,Paramètres!$A$1:$I$89,3,0)*0.475*44/12</f>
        <v>0.38084469346621558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1.5842409666628559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149.0000000000002</v>
      </c>
      <c r="DP196" s="17">
        <f>DO196*VLOOKUP('Données projet'!$B$14,Paramètres!$A$1:$I$89,3,0)*VLOOKUP('Données projet'!$B$14,Paramètres!$A$1:$I$89,5,0)</f>
        <v>120.86880000000016</v>
      </c>
      <c r="DQ196" s="13">
        <f t="shared" si="176"/>
        <v>31.877547472771326</v>
      </c>
      <c r="DR196" s="20">
        <f t="shared" si="177"/>
        <v>266.03322184841039</v>
      </c>
      <c r="DS196" s="59">
        <f t="shared" ref="DS196:DS203" si="197">DR196+(DJ196+DK196)*44/12</f>
        <v>559.36655518174371</v>
      </c>
      <c r="DT196" s="59">
        <f ca="1">AVERAGE(OFFSET($DS$3,0,0,'Données projet'!$E$14+1,1))-AVERAGE(OFFSET($H$3,0,0,'Données projet'!$E$14+1,1))</f>
        <v>96.611230241682733</v>
      </c>
      <c r="DU196" s="59">
        <f t="shared" si="152"/>
        <v>78.711045514042041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0.23259651469624679</v>
      </c>
      <c r="EB196" s="21">
        <f>EXP(-LN(2)/25)*EB195+(1-EXP(-LN(2)/25))/(LN(2)/25)*Calculateur!DW196*Calculateur!DY196*VLOOKUP('Données projet'!$B$14,Paramètres!$A$1:$I$89,3,0)*0.475*44/12</f>
        <v>0.36084521458779623</v>
      </c>
      <c r="EC196" s="21">
        <f>EXP(-LN(2)/2)*EC195+(1-EXP(-LN(2)/2))/(LN(2)/2)*DW196*DZ196*VLOOKUP('Données projet'!$B$14,Paramètres!$A$1:$I$89,3,0)*0.475*44/12</f>
        <v>4.2636185630539219E-16</v>
      </c>
      <c r="ED196" s="22">
        <f t="shared" si="178"/>
        <v>0.59344172928404348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188.61152573050066</v>
      </c>
      <c r="EP196" s="59">
        <f t="shared" si="154"/>
        <v>172.37050503841624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14.564946413203973</v>
      </c>
      <c r="EW196" s="21">
        <f>EXP(-LN(2)/25)*EW195+(1-EXP(-LN(2)/25))/(LN(2)/25)*Calculateur!ER196*Calculateur!ET196*VLOOKUP('Données projet'!$B$15,Paramètres!$A$1:$I$89,3,0)*0.475*44/12</f>
        <v>1.4477284485865343</v>
      </c>
      <c r="EX196" s="21">
        <f>EXP(-LN(2)/2)*EX195+(1-EXP(-LN(2)/2))/(LN(2)/2)*ER196*EU196*VLOOKUP('Données projet'!$B$15,Paramètres!$A$1:$I$89,3,0)*0.475*44/12</f>
        <v>9.6583239920012966E-18</v>
      </c>
      <c r="EY196" s="22">
        <f t="shared" si="181"/>
        <v>16.012674861790508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0</v>
      </c>
      <c r="FK196" s="59">
        <f t="shared" si="156"/>
        <v>0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0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197.78572767493569</v>
      </c>
      <c r="T197" s="59">
        <f t="shared" ref="T197:T203" si="204">$T$3</f>
        <v>288.66487031729008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266.99999999999983</v>
      </c>
      <c r="AJ197" s="13">
        <f>AI197*VLOOKUP('Données projet'!$B$10,Paramètres!$A$1:$I$89,3,0)*VLOOKUP('Données projet'!$B$10,Paramètres!$A$1:$I$89,5,0)</f>
        <v>212.42519999999985</v>
      </c>
      <c r="AK197" s="13">
        <f t="shared" si="164"/>
        <v>52.465198231787184</v>
      </c>
      <c r="AL197" s="20">
        <f t="shared" si="165"/>
        <v>461.35077692036231</v>
      </c>
      <c r="AM197" s="59">
        <f t="shared" si="193"/>
        <v>754.68411025369562</v>
      </c>
      <c r="AN197" s="59">
        <f ca="1">AVERAGE(OFFSET($AM$3,0,0,'Données projet'!$E$10+1,1))-AVERAGE(OFFSET($H$3,0,0,'Données projet'!$E$10+1,1))</f>
        <v>219.43439115440339</v>
      </c>
      <c r="AO197" s="59">
        <f t="shared" ref="AO197:AO203" si="205">$AO$3</f>
        <v>217.8880462742099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3.0113685321087589</v>
      </c>
      <c r="AV197" s="21">
        <f>EXP(-LN(2)/25)*AV196+(1-EXP(-LN(2)/25))/(LN(2)/25)*Calculateur!AQ197*Calculateur!AS197*VLOOKUP('Données projet'!$B$10,Paramètres!$A$1:$I$89,3,0)*0.475*44/12</f>
        <v>0.35309528770113557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3.3644638198098944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190.99999999999997</v>
      </c>
      <c r="BE197" s="13">
        <f>BD197*VLOOKUP('Données projet'!$B$11,Paramètres!$A$1:$I$89,3,0)*VLOOKUP('Données projet'!$B$11,Paramètres!$A$1:$I$89,5,0)</f>
        <v>166.85759999999999</v>
      </c>
      <c r="BF197" s="13">
        <f t="shared" si="167"/>
        <v>42.385468111966098</v>
      </c>
      <c r="BG197" s="20">
        <f t="shared" si="168"/>
        <v>364.43167696167421</v>
      </c>
      <c r="BH197" s="59">
        <f t="shared" si="194"/>
        <v>657.76501029500753</v>
      </c>
      <c r="BI197" s="59">
        <f ca="1">AVERAGE(OFFSET($BH$3,0,0,'Données projet'!$E$11+1,1))-AVERAGE(OFFSET($H$3,0,0,'Données projet'!$E$11+1,1))</f>
        <v>175.73188403662408</v>
      </c>
      <c r="BJ197" s="59">
        <f t="shared" ref="BJ197:BJ203" si="206">$BJ$3</f>
        <v>152.02195399869032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1.4806458613525801</v>
      </c>
      <c r="BQ197" s="21">
        <f>EXP(-LN(2)/25)*BQ196+(1-EXP(-LN(2)/25))/(LN(2)/25)*Calculateur!BL197*Calculateur!BN197*VLOOKUP('Données projet'!$B$11,Paramètres!$A$1:$I$89,3,0)*0.475*44/12</f>
        <v>0.80653190105434236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2.2871777624069223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-4.5474735088646412E-13</v>
      </c>
      <c r="BZ197" s="13">
        <f>BY197*VLOOKUP('Données projet'!$B$12,Paramètres!$A$1:$I$89,3,0)*VLOOKUP('Données projet'!$B$12,Paramètres!$A$1:$I$89,5,0)</f>
        <v>-4.1145540308207271E-13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213.54857791046686</v>
      </c>
      <c r="CE197" s="59">
        <f t="shared" ref="CE197:CE203" si="207">$CE$3</f>
        <v>138.46877538074244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73.941386650508903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73.941386650508903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213</v>
      </c>
      <c r="CU197" s="17">
        <f>CT197*VLOOKUP('Données projet'!$B$13,Paramètres!$A$1:$I$89,3,0)*VLOOKUP('Données projet'!$B$13,Paramètres!$A$1:$I$89,5,0)</f>
        <v>169.46279999999999</v>
      </c>
      <c r="CV197" s="13">
        <f t="shared" si="173"/>
        <v>42.969686502194378</v>
      </c>
      <c r="CW197" s="20">
        <f t="shared" si="174"/>
        <v>369.9865806579885</v>
      </c>
      <c r="CX197" s="59">
        <f t="shared" si="196"/>
        <v>663.31991399132176</v>
      </c>
      <c r="CY197" s="59">
        <f ca="1">AVERAGE(OFFSET($CX$3,0,0,'Données projet'!$E$13+1,1))-AVERAGE(OFFSET($H$3,0,0,'Données projet'!$E$13+1,1))</f>
        <v>161.87883827031436</v>
      </c>
      <c r="CZ197" s="59">
        <f t="shared" ref="CZ197:CZ203" si="208">$CZ$3</f>
        <v>163.02076389611869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1.1797984062785045</v>
      </c>
      <c r="DG197" s="21">
        <f>EXP(-LN(2)/25)*DG196+(1-EXP(-LN(2)/25))/(LN(2)/25)*Calculateur!DB197*Calculateur!DD197*VLOOKUP('Données projet'!$B$13,Paramètres!$A$1:$I$89,3,0)*0.475*44/12</f>
        <v>0.37043047529562989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1.5502288815741343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149.0000000000002</v>
      </c>
      <c r="DP197" s="17">
        <f>DO197*VLOOKUP('Données projet'!$B$14,Paramètres!$A$1:$I$89,3,0)*VLOOKUP('Données projet'!$B$14,Paramètres!$A$1:$I$89,5,0)</f>
        <v>120.86880000000016</v>
      </c>
      <c r="DQ197" s="13">
        <f t="shared" si="176"/>
        <v>31.877547472771326</v>
      </c>
      <c r="DR197" s="20">
        <f t="shared" si="177"/>
        <v>266.03322184841039</v>
      </c>
      <c r="DS197" s="59">
        <f t="shared" si="197"/>
        <v>559.36655518174371</v>
      </c>
      <c r="DT197" s="59">
        <f ca="1">AVERAGE(OFFSET($DS$3,0,0,'Données projet'!$E$14+1,1))-AVERAGE(OFFSET($H$3,0,0,'Données projet'!$E$14+1,1))</f>
        <v>96.611230241682733</v>
      </c>
      <c r="DU197" s="59">
        <f t="shared" ref="DU197:DU203" si="209">$DU$3</f>
        <v>78.711045514042041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0.22803543891291886</v>
      </c>
      <c r="EB197" s="21">
        <f>EXP(-LN(2)/25)*EB196+(1-EXP(-LN(2)/25))/(LN(2)/25)*Calculateur!DW197*Calculateur!DY197*VLOOKUP('Données projet'!$B$14,Paramètres!$A$1:$I$89,3,0)*0.475*44/12</f>
        <v>0.3509778832188678</v>
      </c>
      <c r="EC197" s="21">
        <f>EXP(-LN(2)/2)*EC196+(1-EXP(-LN(2)/2))/(LN(2)/2)*DW197*DZ197*VLOOKUP('Données projet'!$B$14,Paramètres!$A$1:$I$89,3,0)*0.475*44/12</f>
        <v>3.0148335983282717E-16</v>
      </c>
      <c r="ED197" s="22">
        <f t="shared" si="178"/>
        <v>0.57901332213178702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188.61152573050066</v>
      </c>
      <c r="EP197" s="59">
        <f t="shared" ref="EP197:EP203" si="210">$EP$3</f>
        <v>172.37050503841624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14.279336697781158</v>
      </c>
      <c r="EW197" s="21">
        <f>EXP(-LN(2)/25)*EW196+(1-EXP(-LN(2)/25))/(LN(2)/25)*Calculateur!ER197*Calculateur!ET197*VLOOKUP('Données projet'!$B$15,Paramètres!$A$1:$I$89,3,0)*0.475*44/12</f>
        <v>1.4081402380272052</v>
      </c>
      <c r="EX197" s="21">
        <f>EXP(-LN(2)/2)*EX196+(1-EXP(-LN(2)/2))/(LN(2)/2)*ER197*EU197*VLOOKUP('Données projet'!$B$15,Paramètres!$A$1:$I$89,3,0)*0.475*44/12</f>
        <v>6.8294663896408437E-18</v>
      </c>
      <c r="EY197" s="22">
        <f t="shared" si="181"/>
        <v>15.687476935808363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0</v>
      </c>
      <c r="FK197" s="59">
        <f t="shared" ref="FK197:FK203" si="211">$FK$3</f>
        <v>0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0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197.78572767493569</v>
      </c>
      <c r="T198" s="59">
        <f t="shared" si="204"/>
        <v>288.66487031729008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266.99999999999983</v>
      </c>
      <c r="AJ198" s="13">
        <f>AI198*VLOOKUP('Données projet'!$B$10,Paramètres!$A$1:$I$89,3,0)*VLOOKUP('Données projet'!$B$10,Paramètres!$A$1:$I$89,5,0)</f>
        <v>212.42519999999985</v>
      </c>
      <c r="AK198" s="13">
        <f t="shared" si="164"/>
        <v>52.465198231787184</v>
      </c>
      <c r="AL198" s="20">
        <f t="shared" si="165"/>
        <v>461.35077692036231</v>
      </c>
      <c r="AM198" s="59">
        <f t="shared" si="193"/>
        <v>754.68411025369562</v>
      </c>
      <c r="AN198" s="59">
        <f ca="1">AVERAGE(OFFSET($AM$3,0,0,'Données projet'!$E$10+1,1))-AVERAGE(OFFSET($H$3,0,0,'Données projet'!$E$10+1,1))</f>
        <v>219.43439115440339</v>
      </c>
      <c r="AO198" s="59">
        <f t="shared" si="205"/>
        <v>217.8880462742099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2.9523174319475465</v>
      </c>
      <c r="AV198" s="21">
        <f>EXP(-LN(2)/25)*AV197+(1-EXP(-LN(2)/25))/(LN(2)/25)*Calculateur!AQ198*Calculateur!AS198*VLOOKUP('Données projet'!$B$10,Paramètres!$A$1:$I$89,3,0)*0.475*44/12</f>
        <v>0.34343987849047386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3.2957573104380202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190.99999999999997</v>
      </c>
      <c r="BE198" s="13">
        <f>BD198*VLOOKUP('Données projet'!$B$11,Paramètres!$A$1:$I$89,3,0)*VLOOKUP('Données projet'!$B$11,Paramètres!$A$1:$I$89,5,0)</f>
        <v>166.85759999999999</v>
      </c>
      <c r="BF198" s="13">
        <f t="shared" si="167"/>
        <v>42.385468111966098</v>
      </c>
      <c r="BG198" s="20">
        <f t="shared" si="168"/>
        <v>364.43167696167421</v>
      </c>
      <c r="BH198" s="59">
        <f t="shared" si="194"/>
        <v>657.76501029500753</v>
      </c>
      <c r="BI198" s="59">
        <f ca="1">AVERAGE(OFFSET($BH$3,0,0,'Données projet'!$E$11+1,1))-AVERAGE(OFFSET($H$3,0,0,'Données projet'!$E$11+1,1))</f>
        <v>175.73188403662408</v>
      </c>
      <c r="BJ198" s="59">
        <f t="shared" si="206"/>
        <v>152.02195399869032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1.4516112991162573</v>
      </c>
      <c r="BQ198" s="21">
        <f>EXP(-LN(2)/25)*BQ197+(1-EXP(-LN(2)/25))/(LN(2)/25)*Calculateur!BL198*Calculateur!BN198*VLOOKUP('Données projet'!$B$11,Paramètres!$A$1:$I$89,3,0)*0.475*44/12</f>
        <v>0.78447724380634209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2.2360885429225994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-4.5474735088646412E-13</v>
      </c>
      <c r="BZ198" s="13">
        <f>BY198*VLOOKUP('Données projet'!$B$12,Paramètres!$A$1:$I$89,3,0)*VLOOKUP('Données projet'!$B$12,Paramètres!$A$1:$I$89,5,0)</f>
        <v>-4.1145540308207271E-13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213.54857791046686</v>
      </c>
      <c r="CE198" s="59">
        <f t="shared" si="207"/>
        <v>138.46877538074244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72.491441158085053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72.491441158085053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213</v>
      </c>
      <c r="CU198" s="17">
        <f>CT198*VLOOKUP('Données projet'!$B$13,Paramètres!$A$1:$I$89,3,0)*VLOOKUP('Données projet'!$B$13,Paramètres!$A$1:$I$89,5,0)</f>
        <v>169.46279999999999</v>
      </c>
      <c r="CV198" s="13">
        <f t="shared" si="173"/>
        <v>42.969686502194378</v>
      </c>
      <c r="CW198" s="20">
        <f t="shared" si="174"/>
        <v>369.9865806579885</v>
      </c>
      <c r="CX198" s="59">
        <f t="shared" si="196"/>
        <v>663.31991399132176</v>
      </c>
      <c r="CY198" s="59">
        <f ca="1">AVERAGE(OFFSET($CX$3,0,0,'Données projet'!$E$13+1,1))-AVERAGE(OFFSET($H$3,0,0,'Données projet'!$E$13+1,1))</f>
        <v>161.87883827031436</v>
      </c>
      <c r="CZ198" s="59">
        <f t="shared" si="208"/>
        <v>163.02076389611869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1.1566632791373557</v>
      </c>
      <c r="DG198" s="21">
        <f>EXP(-LN(2)/25)*DG197+(1-EXP(-LN(2)/25))/(LN(2)/25)*Calculateur!DB198*Calculateur!DD198*VLOOKUP('Données projet'!$B$13,Paramètres!$A$1:$I$89,3,0)*0.475*44/12</f>
        <v>0.36030103446857881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1.5169643136059345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149.0000000000002</v>
      </c>
      <c r="DP198" s="17">
        <f>DO198*VLOOKUP('Données projet'!$B$14,Paramètres!$A$1:$I$89,3,0)*VLOOKUP('Données projet'!$B$14,Paramètres!$A$1:$I$89,5,0)</f>
        <v>120.86880000000016</v>
      </c>
      <c r="DQ198" s="13">
        <f t="shared" si="176"/>
        <v>31.877547472771326</v>
      </c>
      <c r="DR198" s="20">
        <f t="shared" si="177"/>
        <v>266.03322184841039</v>
      </c>
      <c r="DS198" s="59">
        <f t="shared" si="197"/>
        <v>559.36655518174371</v>
      </c>
      <c r="DT198" s="59">
        <f ca="1">AVERAGE(OFFSET($DS$3,0,0,'Données projet'!$E$14+1,1))-AVERAGE(OFFSET($H$3,0,0,'Données projet'!$E$14+1,1))</f>
        <v>96.611230241682733</v>
      </c>
      <c r="DU198" s="59">
        <f t="shared" si="209"/>
        <v>78.711045514042041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0.22356380304372048</v>
      </c>
      <c r="EB198" s="21">
        <f>EXP(-LN(2)/25)*EB197+(1-EXP(-LN(2)/25))/(LN(2)/25)*Calculateur!DW198*Calculateur!DY198*VLOOKUP('Données projet'!$B$14,Paramètres!$A$1:$I$89,3,0)*0.475*44/12</f>
        <v>0.34138037454512316</v>
      </c>
      <c r="EC198" s="21">
        <f>EXP(-LN(2)/2)*EC197+(1-EXP(-LN(2)/2))/(LN(2)/2)*DW198*DZ198*VLOOKUP('Données projet'!$B$14,Paramètres!$A$1:$I$89,3,0)*0.475*44/12</f>
        <v>2.1318092815269609E-16</v>
      </c>
      <c r="ED198" s="22">
        <f t="shared" si="178"/>
        <v>0.56494417758884385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188.61152573050066</v>
      </c>
      <c r="EP198" s="59">
        <f t="shared" si="210"/>
        <v>172.37050503841624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13.99932761467306</v>
      </c>
      <c r="EW198" s="21">
        <f>EXP(-LN(2)/25)*EW197+(1-EXP(-LN(2)/25))/(LN(2)/25)*Calculateur!ER198*Calculateur!ET198*VLOOKUP('Données projet'!$B$15,Paramètres!$A$1:$I$89,3,0)*0.475*44/12</f>
        <v>1.3696345691674745</v>
      </c>
      <c r="EX198" s="21">
        <f>EXP(-LN(2)/2)*EX197+(1-EXP(-LN(2)/2))/(LN(2)/2)*ER198*EU198*VLOOKUP('Données projet'!$B$15,Paramètres!$A$1:$I$89,3,0)*0.475*44/12</f>
        <v>4.8291619960006491E-18</v>
      </c>
      <c r="EY198" s="22">
        <f t="shared" si="181"/>
        <v>15.368962183840534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0</v>
      </c>
      <c r="FK198" s="59">
        <f t="shared" si="211"/>
        <v>0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0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197.78572767493569</v>
      </c>
      <c r="T199" s="59">
        <f t="shared" si="204"/>
        <v>288.66487031729008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266.99999999999983</v>
      </c>
      <c r="AJ199" s="13">
        <f>AI199*VLOOKUP('Données projet'!$B$10,Paramètres!$A$1:$I$89,3,0)*VLOOKUP('Données projet'!$B$10,Paramètres!$A$1:$I$89,5,0)</f>
        <v>212.42519999999985</v>
      </c>
      <c r="AK199" s="13">
        <f t="shared" si="164"/>
        <v>52.465198231787184</v>
      </c>
      <c r="AL199" s="20">
        <f t="shared" si="165"/>
        <v>461.35077692036231</v>
      </c>
      <c r="AM199" s="59">
        <f t="shared" si="193"/>
        <v>754.68411025369562</v>
      </c>
      <c r="AN199" s="59">
        <f ca="1">AVERAGE(OFFSET($AM$3,0,0,'Données projet'!$E$10+1,1))-AVERAGE(OFFSET($H$3,0,0,'Données projet'!$E$10+1,1))</f>
        <v>219.43439115440339</v>
      </c>
      <c r="AO199" s="59">
        <f t="shared" si="205"/>
        <v>217.8880462742099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2.8944242878428805</v>
      </c>
      <c r="AV199" s="21">
        <f>EXP(-LN(2)/25)*AV198+(1-EXP(-LN(2)/25))/(LN(2)/25)*Calculateur!AQ199*Calculateur!AS199*VLOOKUP('Données projet'!$B$10,Paramètres!$A$1:$I$89,3,0)*0.475*44/12</f>
        <v>0.3340484969524336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3.2284727847953141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190.99999999999997</v>
      </c>
      <c r="BE199" s="13">
        <f>BD199*VLOOKUP('Données projet'!$B$11,Paramètres!$A$1:$I$89,3,0)*VLOOKUP('Données projet'!$B$11,Paramètres!$A$1:$I$89,5,0)</f>
        <v>166.85759999999999</v>
      </c>
      <c r="BF199" s="13">
        <f t="shared" si="167"/>
        <v>42.385468111966098</v>
      </c>
      <c r="BG199" s="20">
        <f t="shared" si="168"/>
        <v>364.43167696167421</v>
      </c>
      <c r="BH199" s="59">
        <f t="shared" si="194"/>
        <v>657.76501029500753</v>
      </c>
      <c r="BI199" s="59">
        <f ca="1">AVERAGE(OFFSET($BH$3,0,0,'Données projet'!$E$11+1,1))-AVERAGE(OFFSET($H$3,0,0,'Données projet'!$E$11+1,1))</f>
        <v>175.73188403662408</v>
      </c>
      <c r="BJ199" s="59">
        <f t="shared" si="206"/>
        <v>152.02195399869032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1.4231460869360544</v>
      </c>
      <c r="BQ199" s="21">
        <f>EXP(-LN(2)/25)*BQ198+(1-EXP(-LN(2)/25))/(LN(2)/25)*Calculateur!BL199*Calculateur!BN199*VLOOKUP('Données projet'!$B$11,Paramètres!$A$1:$I$89,3,0)*0.475*44/12</f>
        <v>0.76302567232059237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2.1861717592566468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-4.5474735088646412E-13</v>
      </c>
      <c r="BZ199" s="13">
        <f>BY199*VLOOKUP('Données projet'!$B$12,Paramètres!$A$1:$I$89,3,0)*VLOOKUP('Données projet'!$B$12,Paramètres!$A$1:$I$89,5,0)</f>
        <v>-4.1145540308207271E-13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213.54857791046686</v>
      </c>
      <c r="CE199" s="59">
        <f t="shared" si="207"/>
        <v>138.46877538074244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71.069928212388206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71.069928212388206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213</v>
      </c>
      <c r="CU199" s="17">
        <f>CT199*VLOOKUP('Données projet'!$B$13,Paramètres!$A$1:$I$89,3,0)*VLOOKUP('Données projet'!$B$13,Paramètres!$A$1:$I$89,5,0)</f>
        <v>169.46279999999999</v>
      </c>
      <c r="CV199" s="13">
        <f t="shared" si="173"/>
        <v>42.969686502194378</v>
      </c>
      <c r="CW199" s="20">
        <f t="shared" si="174"/>
        <v>369.9865806579885</v>
      </c>
      <c r="CX199" s="59">
        <f t="shared" si="196"/>
        <v>663.31991399132176</v>
      </c>
      <c r="CY199" s="59">
        <f ca="1">AVERAGE(OFFSET($CX$3,0,0,'Données projet'!$E$13+1,1))-AVERAGE(OFFSET($H$3,0,0,'Données projet'!$E$13+1,1))</f>
        <v>161.87883827031436</v>
      </c>
      <c r="CZ199" s="59">
        <f t="shared" si="208"/>
        <v>163.02076389611869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1.1339818177284107</v>
      </c>
      <c r="DG199" s="21">
        <f>EXP(-LN(2)/25)*DG198+(1-EXP(-LN(2)/25))/(LN(2)/25)*Calculateur!DB199*Calculateur!DD199*VLOOKUP('Données projet'!$B$13,Paramètres!$A$1:$I$89,3,0)*0.475*44/12</f>
        <v>0.35044858373362758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1.4844304014620382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149.0000000000002</v>
      </c>
      <c r="DP199" s="17">
        <f>DO199*VLOOKUP('Données projet'!$B$14,Paramètres!$A$1:$I$89,3,0)*VLOOKUP('Données projet'!$B$14,Paramètres!$A$1:$I$89,5,0)</f>
        <v>120.86880000000016</v>
      </c>
      <c r="DQ199" s="13">
        <f t="shared" si="176"/>
        <v>31.877547472771326</v>
      </c>
      <c r="DR199" s="20">
        <f t="shared" si="177"/>
        <v>266.03322184841039</v>
      </c>
      <c r="DS199" s="59">
        <f t="shared" si="197"/>
        <v>559.36655518174371</v>
      </c>
      <c r="DT199" s="59">
        <f ca="1">AVERAGE(OFFSET($DS$3,0,0,'Données projet'!$E$14+1,1))-AVERAGE(OFFSET($H$3,0,0,'Données projet'!$E$14+1,1))</f>
        <v>96.611230241682733</v>
      </c>
      <c r="DU199" s="59">
        <f t="shared" si="209"/>
        <v>78.711045514042041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0.2191798532264885</v>
      </c>
      <c r="EB199" s="21">
        <f>EXP(-LN(2)/25)*EB198+(1-EXP(-LN(2)/25))/(LN(2)/25)*Calculateur!DW199*Calculateur!DY199*VLOOKUP('Données projet'!$B$14,Paramètres!$A$1:$I$89,3,0)*0.475*44/12</f>
        <v>0.33204531025077311</v>
      </c>
      <c r="EC199" s="21">
        <f>EXP(-LN(2)/2)*EC198+(1-EXP(-LN(2)/2))/(LN(2)/2)*DW199*DZ199*VLOOKUP('Données projet'!$B$14,Paramètres!$A$1:$I$89,3,0)*0.475*44/12</f>
        <v>1.5074167991641358E-16</v>
      </c>
      <c r="ED199" s="22">
        <f t="shared" si="178"/>
        <v>0.55122516347726169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188.61152573050066</v>
      </c>
      <c r="EP199" s="59">
        <f t="shared" si="210"/>
        <v>172.37050503841624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13.724809338896035</v>
      </c>
      <c r="EW199" s="21">
        <f>EXP(-LN(2)/25)*EW198+(1-EXP(-LN(2)/25))/(LN(2)/25)*Calculateur!ER199*Calculateur!ET199*VLOOKUP('Données projet'!$B$15,Paramètres!$A$1:$I$89,3,0)*0.475*44/12</f>
        <v>1.3321818398476382</v>
      </c>
      <c r="EX199" s="21">
        <f>EXP(-LN(2)/2)*EX198+(1-EXP(-LN(2)/2))/(LN(2)/2)*ER199*EU199*VLOOKUP('Données projet'!$B$15,Paramètres!$A$1:$I$89,3,0)*0.475*44/12</f>
        <v>3.4147331948204223E-18</v>
      </c>
      <c r="EY199" s="22">
        <f t="shared" si="181"/>
        <v>15.056991178743674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0</v>
      </c>
      <c r="FK199" s="59">
        <f t="shared" si="211"/>
        <v>0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0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197.78572767493569</v>
      </c>
      <c r="T200" s="59">
        <f t="shared" si="204"/>
        <v>288.66487031729008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266.99999999999983</v>
      </c>
      <c r="AJ200" s="13">
        <f>AI200*VLOOKUP('Données projet'!$B$10,Paramètres!$A$1:$I$89,3,0)*VLOOKUP('Données projet'!$B$10,Paramètres!$A$1:$I$89,5,0)</f>
        <v>212.42519999999985</v>
      </c>
      <c r="AK200" s="13">
        <f t="shared" si="164"/>
        <v>52.465198231787184</v>
      </c>
      <c r="AL200" s="20">
        <f t="shared" si="165"/>
        <v>461.35077692036231</v>
      </c>
      <c r="AM200" s="59">
        <f t="shared" si="193"/>
        <v>754.68411025369562</v>
      </c>
      <c r="AN200" s="59">
        <f ca="1">AVERAGE(OFFSET($AM$3,0,0,'Données projet'!$E$10+1,1))-AVERAGE(OFFSET($H$3,0,0,'Données projet'!$E$10+1,1))</f>
        <v>219.43439115440339</v>
      </c>
      <c r="AO200" s="59">
        <f t="shared" si="205"/>
        <v>217.8880462742099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2.8376663929827761</v>
      </c>
      <c r="AV200" s="21">
        <f>EXP(-LN(2)/25)*AV199+(1-EXP(-LN(2)/25))/(LN(2)/25)*Calculateur!AQ200*Calculateur!AS200*VLOOKUP('Données projet'!$B$10,Paramètres!$A$1:$I$89,3,0)*0.475*44/12</f>
        <v>0.32491392323642232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3.1625803162191986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190.99999999999997</v>
      </c>
      <c r="BE200" s="13">
        <f>BD200*VLOOKUP('Données projet'!$B$11,Paramètres!$A$1:$I$89,3,0)*VLOOKUP('Données projet'!$B$11,Paramètres!$A$1:$I$89,5,0)</f>
        <v>166.85759999999999</v>
      </c>
      <c r="BF200" s="13">
        <f t="shared" si="167"/>
        <v>42.385468111966098</v>
      </c>
      <c r="BG200" s="20">
        <f t="shared" si="168"/>
        <v>364.43167696167421</v>
      </c>
      <c r="BH200" s="59">
        <f t="shared" si="194"/>
        <v>657.76501029500753</v>
      </c>
      <c r="BI200" s="59">
        <f ca="1">AVERAGE(OFFSET($BH$3,0,0,'Données projet'!$E$11+1,1))-AVERAGE(OFFSET($H$3,0,0,'Données projet'!$E$11+1,1))</f>
        <v>175.73188403662408</v>
      </c>
      <c r="BJ200" s="59">
        <f t="shared" si="206"/>
        <v>152.02195399869032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1.3952390602046403</v>
      </c>
      <c r="BQ200" s="21">
        <f>EXP(-LN(2)/25)*BQ199+(1-EXP(-LN(2)/25))/(LN(2)/25)*Calculateur!BL200*Calculateur!BN200*VLOOKUP('Données projet'!$B$11,Paramètres!$A$1:$I$89,3,0)*0.475*44/12</f>
        <v>0.74216069518520955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2.1373997553898496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-4.5474735088646412E-13</v>
      </c>
      <c r="BZ200" s="13">
        <f>BY200*VLOOKUP('Données projet'!$B$12,Paramètres!$A$1:$I$89,3,0)*VLOOKUP('Données projet'!$B$12,Paramètres!$A$1:$I$89,5,0)</f>
        <v>-4.1145540308207271E-13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213.54857791046686</v>
      </c>
      <c r="CE200" s="59">
        <f t="shared" si="207"/>
        <v>138.46877538074244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69.676290268519182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69.676290268519182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213</v>
      </c>
      <c r="CU200" s="17">
        <f>CT200*VLOOKUP('Données projet'!$B$13,Paramètres!$A$1:$I$89,3,0)*VLOOKUP('Données projet'!$B$13,Paramètres!$A$1:$I$89,5,0)</f>
        <v>169.46279999999999</v>
      </c>
      <c r="CV200" s="13">
        <f t="shared" si="173"/>
        <v>42.969686502194378</v>
      </c>
      <c r="CW200" s="20">
        <f t="shared" si="174"/>
        <v>369.9865806579885</v>
      </c>
      <c r="CX200" s="59">
        <f t="shared" si="196"/>
        <v>663.31991399132176</v>
      </c>
      <c r="CY200" s="59">
        <f ca="1">AVERAGE(OFFSET($CX$3,0,0,'Données projet'!$E$13+1,1))-AVERAGE(OFFSET($H$3,0,0,'Données projet'!$E$13+1,1))</f>
        <v>161.87883827031436</v>
      </c>
      <c r="CZ200" s="59">
        <f t="shared" si="208"/>
        <v>163.02076389611869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1.1117451259433695</v>
      </c>
      <c r="DG200" s="21">
        <f>EXP(-LN(2)/25)*DG199+(1-EXP(-LN(2)/25))/(LN(2)/25)*Calculateur!DB200*Calculateur!DD200*VLOOKUP('Données projet'!$B$13,Paramètres!$A$1:$I$89,3,0)*0.475*44/12</f>
        <v>0.34086554878214148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1.452610674725511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149.0000000000002</v>
      </c>
      <c r="DP200" s="17">
        <f>DO200*VLOOKUP('Données projet'!$B$14,Paramètres!$A$1:$I$89,3,0)*VLOOKUP('Données projet'!$B$14,Paramètres!$A$1:$I$89,5,0)</f>
        <v>120.86880000000016</v>
      </c>
      <c r="DQ200" s="13">
        <f t="shared" si="176"/>
        <v>31.877547472771326</v>
      </c>
      <c r="DR200" s="20">
        <f t="shared" si="177"/>
        <v>266.03322184841039</v>
      </c>
      <c r="DS200" s="59">
        <f t="shared" si="197"/>
        <v>559.36655518174371</v>
      </c>
      <c r="DT200" s="59">
        <f ca="1">AVERAGE(OFFSET($DS$3,0,0,'Données projet'!$E$14+1,1))-AVERAGE(OFFSET($H$3,0,0,'Données projet'!$E$14+1,1))</f>
        <v>96.611230241682733</v>
      </c>
      <c r="DU200" s="59">
        <f t="shared" si="209"/>
        <v>78.711045514042041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0.21488186999122708</v>
      </c>
      <c r="EB200" s="21">
        <f>EXP(-LN(2)/25)*EB199+(1-EXP(-LN(2)/25))/(LN(2)/25)*Calculateur!DW200*Calculateur!DY200*VLOOKUP('Données projet'!$B$14,Paramètres!$A$1:$I$89,3,0)*0.475*44/12</f>
        <v>0.32296551378046173</v>
      </c>
      <c r="EC200" s="21">
        <f>EXP(-LN(2)/2)*EC199+(1-EXP(-LN(2)/2))/(LN(2)/2)*DW200*DZ200*VLOOKUP('Données projet'!$B$14,Paramètres!$A$1:$I$89,3,0)*0.475*44/12</f>
        <v>1.0659046407634805E-16</v>
      </c>
      <c r="ED200" s="22">
        <f t="shared" si="178"/>
        <v>0.53784738377168895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188.61152573050066</v>
      </c>
      <c r="EP200" s="59">
        <f t="shared" si="210"/>
        <v>172.37050503841624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13.455674199067383</v>
      </c>
      <c r="EW200" s="21">
        <f>EXP(-LN(2)/25)*EW199+(1-EXP(-LN(2)/25))/(LN(2)/25)*Calculateur!ER200*Calculateur!ET200*VLOOKUP('Données projet'!$B$15,Paramètres!$A$1:$I$89,3,0)*0.475*44/12</f>
        <v>1.2957532573806063</v>
      </c>
      <c r="EX200" s="21">
        <f>EXP(-LN(2)/2)*EX199+(1-EXP(-LN(2)/2))/(LN(2)/2)*ER200*EU200*VLOOKUP('Données projet'!$B$15,Paramètres!$A$1:$I$89,3,0)*0.475*44/12</f>
        <v>2.4145809980003249E-18</v>
      </c>
      <c r="EY200" s="22">
        <f t="shared" si="181"/>
        <v>14.75142745644799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0</v>
      </c>
      <c r="FK200" s="59">
        <f t="shared" si="211"/>
        <v>0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0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197.78572767493569</v>
      </c>
      <c r="T201" s="59">
        <f t="shared" si="204"/>
        <v>288.66487031729008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266.99999999999983</v>
      </c>
      <c r="AJ201" s="13">
        <f>AI201*VLOOKUP('Données projet'!$B$10,Paramètres!$A$1:$I$89,3,0)*VLOOKUP('Données projet'!$B$10,Paramètres!$A$1:$I$89,5,0)</f>
        <v>212.42519999999985</v>
      </c>
      <c r="AK201" s="13">
        <f t="shared" si="164"/>
        <v>52.465198231787184</v>
      </c>
      <c r="AL201" s="20">
        <f t="shared" si="165"/>
        <v>461.35077692036231</v>
      </c>
      <c r="AM201" s="59">
        <f t="shared" si="193"/>
        <v>754.68411025369562</v>
      </c>
      <c r="AN201" s="59">
        <f ca="1">AVERAGE(OFFSET($AM$3,0,0,'Données projet'!$E$10+1,1))-AVERAGE(OFFSET($H$3,0,0,'Données projet'!$E$10+1,1))</f>
        <v>219.43439115440339</v>
      </c>
      <c r="AO201" s="59">
        <f t="shared" si="205"/>
        <v>217.8880462742099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2.7820214858219807</v>
      </c>
      <c r="AV201" s="21">
        <f>EXP(-LN(2)/25)*AV200+(1-EXP(-LN(2)/25))/(LN(2)/25)*Calculateur!AQ201*Calculateur!AS201*VLOOKUP('Données projet'!$B$10,Paramètres!$A$1:$I$89,3,0)*0.475*44/12</f>
        <v>0.31602913491904172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3.0980506207410223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190.99999999999997</v>
      </c>
      <c r="BE201" s="13">
        <f>BD201*VLOOKUP('Données projet'!$B$11,Paramètres!$A$1:$I$89,3,0)*VLOOKUP('Données projet'!$B$11,Paramètres!$A$1:$I$89,5,0)</f>
        <v>166.85759999999999</v>
      </c>
      <c r="BF201" s="13">
        <f t="shared" si="167"/>
        <v>42.385468111966098</v>
      </c>
      <c r="BG201" s="20">
        <f t="shared" si="168"/>
        <v>364.43167696167421</v>
      </c>
      <c r="BH201" s="59">
        <f t="shared" si="194"/>
        <v>657.76501029500753</v>
      </c>
      <c r="BI201" s="59">
        <f ca="1">AVERAGE(OFFSET($BH$3,0,0,'Données projet'!$E$11+1,1))-AVERAGE(OFFSET($H$3,0,0,'Données projet'!$E$11+1,1))</f>
        <v>175.73188403662408</v>
      </c>
      <c r="BJ201" s="59">
        <f t="shared" si="206"/>
        <v>152.02195399869032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1.3678792732458236</v>
      </c>
      <c r="BQ201" s="21">
        <f>EXP(-LN(2)/25)*BQ200+(1-EXP(-LN(2)/25))/(LN(2)/25)*Calculateur!BL201*Calculateur!BN201*VLOOKUP('Données projet'!$B$11,Paramètres!$A$1:$I$89,3,0)*0.475*44/12</f>
        <v>0.72186627194683528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2.0897455451926588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-4.5474735088646412E-13</v>
      </c>
      <c r="BZ201" s="13">
        <f>BY201*VLOOKUP('Données projet'!$B$12,Paramètres!$A$1:$I$89,3,0)*VLOOKUP('Données projet'!$B$12,Paramètres!$A$1:$I$89,5,0)</f>
        <v>-4.1145540308207271E-13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213.54857791046686</v>
      </c>
      <c r="CE201" s="59">
        <f t="shared" si="207"/>
        <v>138.46877538074244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68.30998071469422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68.30998071469422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213</v>
      </c>
      <c r="CU201" s="17">
        <f>CT201*VLOOKUP('Données projet'!$B$13,Paramètres!$A$1:$I$89,3,0)*VLOOKUP('Données projet'!$B$13,Paramètres!$A$1:$I$89,5,0)</f>
        <v>169.46279999999999</v>
      </c>
      <c r="CV201" s="13">
        <f t="shared" si="173"/>
        <v>42.969686502194378</v>
      </c>
      <c r="CW201" s="20">
        <f t="shared" si="174"/>
        <v>369.9865806579885</v>
      </c>
      <c r="CX201" s="59">
        <f t="shared" si="196"/>
        <v>663.31991399132176</v>
      </c>
      <c r="CY201" s="59">
        <f ca="1">AVERAGE(OFFSET($CX$3,0,0,'Données projet'!$E$13+1,1))-AVERAGE(OFFSET($H$3,0,0,'Données projet'!$E$13+1,1))</f>
        <v>161.87883827031436</v>
      </c>
      <c r="CZ201" s="59">
        <f t="shared" si="208"/>
        <v>163.02076389611869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1.0899444821211903</v>
      </c>
      <c r="DG201" s="21">
        <f>EXP(-LN(2)/25)*DG200+(1-EXP(-LN(2)/25))/(LN(2)/25)*Calculateur!DB201*Calculateur!DD201*VLOOKUP('Données projet'!$B$13,Paramètres!$A$1:$I$89,3,0)*0.475*44/12</f>
        <v>0.33154456242535368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1.421489044546544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149.0000000000002</v>
      </c>
      <c r="DP201" s="17">
        <f>DO201*VLOOKUP('Données projet'!$B$14,Paramètres!$A$1:$I$89,3,0)*VLOOKUP('Données projet'!$B$14,Paramètres!$A$1:$I$89,5,0)</f>
        <v>120.86880000000016</v>
      </c>
      <c r="DQ201" s="13">
        <f t="shared" si="176"/>
        <v>31.877547472771326</v>
      </c>
      <c r="DR201" s="20">
        <f t="shared" si="177"/>
        <v>266.03322184841039</v>
      </c>
      <c r="DS201" s="59">
        <f t="shared" si="197"/>
        <v>559.36655518174371</v>
      </c>
      <c r="DT201" s="59">
        <f ca="1">AVERAGE(OFFSET($DS$3,0,0,'Données projet'!$E$14+1,1))-AVERAGE(OFFSET($H$3,0,0,'Données projet'!$E$14+1,1))</f>
        <v>96.611230241682733</v>
      </c>
      <c r="DU201" s="59">
        <f t="shared" si="209"/>
        <v>78.711045514042041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0.2106681675856982</v>
      </c>
      <c r="EB201" s="21">
        <f>EXP(-LN(2)/25)*EB200+(1-EXP(-LN(2)/25))/(LN(2)/25)*Calculateur!DW201*Calculateur!DY201*VLOOKUP('Données projet'!$B$14,Paramètres!$A$1:$I$89,3,0)*0.475*44/12</f>
        <v>0.31413400482211679</v>
      </c>
      <c r="EC201" s="21">
        <f>EXP(-LN(2)/2)*EC200+(1-EXP(-LN(2)/2))/(LN(2)/2)*DW201*DZ201*VLOOKUP('Données projet'!$B$14,Paramètres!$A$1:$I$89,3,0)*0.475*44/12</f>
        <v>7.5370839958206792E-17</v>
      </c>
      <c r="ED201" s="22">
        <f t="shared" si="178"/>
        <v>0.52480217240781513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188.61152573050066</v>
      </c>
      <c r="EP201" s="59">
        <f t="shared" si="210"/>
        <v>172.37050503841624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13.191816635174545</v>
      </c>
      <c r="EW201" s="21">
        <f>EXP(-LN(2)/25)*EW200+(1-EXP(-LN(2)/25))/(LN(2)/25)*Calculateur!ER201*Calculateur!ET201*VLOOKUP('Données projet'!$B$15,Paramètres!$A$1:$I$89,3,0)*0.475*44/12</f>
        <v>1.2603208164168314</v>
      </c>
      <c r="EX201" s="21">
        <f>EXP(-LN(2)/2)*EX200+(1-EXP(-LN(2)/2))/(LN(2)/2)*ER201*EU201*VLOOKUP('Données projet'!$B$15,Paramètres!$A$1:$I$89,3,0)*0.475*44/12</f>
        <v>1.7073665974102115E-18</v>
      </c>
      <c r="EY201" s="22">
        <f t="shared" si="181"/>
        <v>14.452137451591376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0</v>
      </c>
      <c r="FK201" s="59">
        <f t="shared" si="211"/>
        <v>0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0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197.78572767493569</v>
      </c>
      <c r="T202" s="59">
        <f t="shared" si="204"/>
        <v>288.66487031729008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266.99999999999983</v>
      </c>
      <c r="AJ202" s="13">
        <f>AI202*VLOOKUP('Données projet'!$B$10,Paramètres!$A$1:$I$89,3,0)*VLOOKUP('Données projet'!$B$10,Paramètres!$A$1:$I$89,5,0)</f>
        <v>212.42519999999985</v>
      </c>
      <c r="AK202" s="13">
        <f t="shared" si="164"/>
        <v>52.465198231787184</v>
      </c>
      <c r="AL202" s="20">
        <f t="shared" si="165"/>
        <v>461.35077692036231</v>
      </c>
      <c r="AM202" s="59">
        <f t="shared" si="193"/>
        <v>754.68411025369562</v>
      </c>
      <c r="AN202" s="59">
        <f ca="1">AVERAGE(OFFSET($AM$3,0,0,'Données projet'!$E$10+1,1))-AVERAGE(OFFSET($H$3,0,0,'Données projet'!$E$10+1,1))</f>
        <v>219.43439115440339</v>
      </c>
      <c r="AO202" s="59">
        <f t="shared" si="205"/>
        <v>217.8880462742099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2.7274677413505666</v>
      </c>
      <c r="AV202" s="21">
        <f>EXP(-LN(2)/25)*AV201+(1-EXP(-LN(2)/25))/(LN(2)/25)*Calculateur!AQ202*Calculateur!AS202*VLOOKUP('Données projet'!$B$10,Paramètres!$A$1:$I$89,3,0)*0.475*44/12</f>
        <v>0.3073873016054306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3.0348550429559973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190.99999999999997</v>
      </c>
      <c r="BE202" s="13">
        <f>BD202*VLOOKUP('Données projet'!$B$11,Paramètres!$A$1:$I$89,3,0)*VLOOKUP('Données projet'!$B$11,Paramètres!$A$1:$I$89,5,0)</f>
        <v>166.85759999999999</v>
      </c>
      <c r="BF202" s="13">
        <f t="shared" si="167"/>
        <v>42.385468111966098</v>
      </c>
      <c r="BG202" s="20">
        <f t="shared" si="168"/>
        <v>364.43167696167421</v>
      </c>
      <c r="BH202" s="59">
        <f t="shared" si="194"/>
        <v>657.76501029500753</v>
      </c>
      <c r="BI202" s="59">
        <f ca="1">AVERAGE(OFFSET($BH$3,0,0,'Données projet'!$E$11+1,1))-AVERAGE(OFFSET($H$3,0,0,'Données projet'!$E$11+1,1))</f>
        <v>175.73188403662408</v>
      </c>
      <c r="BJ202" s="59">
        <f t="shared" si="206"/>
        <v>152.02195399869032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1.3410559950214471</v>
      </c>
      <c r="BQ202" s="21">
        <f>EXP(-LN(2)/25)*BQ201+(1-EXP(-LN(2)/25))/(LN(2)/25)*Calculateur!BL202*Calculateur!BN202*VLOOKUP('Données projet'!$B$11,Paramètres!$A$1:$I$89,3,0)*0.475*44/12</f>
        <v>0.70212680077915168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2.0431827958005986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-4.5474735088646412E-13</v>
      </c>
      <c r="BZ202" s="13">
        <f>BY202*VLOOKUP('Données projet'!$B$12,Paramètres!$A$1:$I$89,3,0)*VLOOKUP('Données projet'!$B$12,Paramètres!$A$1:$I$89,5,0)</f>
        <v>-4.1145540308207271E-13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213.54857791046686</v>
      </c>
      <c r="CE202" s="59">
        <f t="shared" si="207"/>
        <v>138.46877538074244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66.97046365785323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66.97046365785323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213</v>
      </c>
      <c r="CU202" s="17">
        <f>CT202*VLOOKUP('Données projet'!$B$13,Paramètres!$A$1:$I$89,3,0)*VLOOKUP('Données projet'!$B$13,Paramètres!$A$1:$I$89,5,0)</f>
        <v>169.46279999999999</v>
      </c>
      <c r="CV202" s="13">
        <f t="shared" si="173"/>
        <v>42.969686502194378</v>
      </c>
      <c r="CW202" s="20">
        <f t="shared" si="174"/>
        <v>369.9865806579885</v>
      </c>
      <c r="CX202" s="59">
        <f t="shared" si="196"/>
        <v>663.31991399132176</v>
      </c>
      <c r="CY202" s="59">
        <f ca="1">AVERAGE(OFFSET($CX$3,0,0,'Données projet'!$E$13+1,1))-AVERAGE(OFFSET($H$3,0,0,'Données projet'!$E$13+1,1))</f>
        <v>161.87883827031436</v>
      </c>
      <c r="CZ202" s="59">
        <f t="shared" si="208"/>
        <v>163.02076389611869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1.0685713356272843</v>
      </c>
      <c r="DG202" s="21">
        <f>EXP(-LN(2)/25)*DG201+(1-EXP(-LN(2)/25))/(LN(2)/25)*Calculateur!DB202*Calculateur!DD202*VLOOKUP('Données projet'!$B$13,Paramètres!$A$1:$I$89,3,0)*0.475*44/12</f>
        <v>0.32247845893066163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1.3910497945579459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149.0000000000002</v>
      </c>
      <c r="DP202" s="17">
        <f>DO202*VLOOKUP('Données projet'!$B$14,Paramètres!$A$1:$I$89,3,0)*VLOOKUP('Données projet'!$B$14,Paramètres!$A$1:$I$89,5,0)</f>
        <v>120.86880000000016</v>
      </c>
      <c r="DQ202" s="13">
        <f t="shared" si="176"/>
        <v>31.877547472771326</v>
      </c>
      <c r="DR202" s="20">
        <f t="shared" si="177"/>
        <v>266.03322184841039</v>
      </c>
      <c r="DS202" s="59">
        <f t="shared" si="197"/>
        <v>559.36655518174371</v>
      </c>
      <c r="DT202" s="59">
        <f ca="1">AVERAGE(OFFSET($DS$3,0,0,'Données projet'!$E$14+1,1))-AVERAGE(OFFSET($H$3,0,0,'Données projet'!$E$14+1,1))</f>
        <v>96.611230241682733</v>
      </c>
      <c r="DU202" s="59">
        <f t="shared" si="209"/>
        <v>78.711045514042041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0.20653709331423706</v>
      </c>
      <c r="EB202" s="21">
        <f>EXP(-LN(2)/25)*EB201+(1-EXP(-LN(2)/25))/(LN(2)/25)*Calculateur!DW202*Calculateur!DY202*VLOOKUP('Données projet'!$B$14,Paramètres!$A$1:$I$89,3,0)*0.475*44/12</f>
        <v>0.30554399394066667</v>
      </c>
      <c r="EC202" s="21">
        <f>EXP(-LN(2)/2)*EC201+(1-EXP(-LN(2)/2))/(LN(2)/2)*DW202*DZ202*VLOOKUP('Données projet'!$B$14,Paramètres!$A$1:$I$89,3,0)*0.475*44/12</f>
        <v>5.3295232038174023E-17</v>
      </c>
      <c r="ED202" s="22">
        <f t="shared" si="178"/>
        <v>0.51208108725490376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188.61152573050066</v>
      </c>
      <c r="EP202" s="59">
        <f t="shared" si="210"/>
        <v>172.37050503841624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12.933133157172422</v>
      </c>
      <c r="EW202" s="21">
        <f>EXP(-LN(2)/25)*EW201+(1-EXP(-LN(2)/25))/(LN(2)/25)*Calculateur!ER202*Calculateur!ET202*VLOOKUP('Données projet'!$B$15,Paramètres!$A$1:$I$89,3,0)*0.475*44/12</f>
        <v>1.2258572774145218</v>
      </c>
      <c r="EX202" s="21">
        <f>EXP(-LN(2)/2)*EX201+(1-EXP(-LN(2)/2))/(LN(2)/2)*ER202*EU202*VLOOKUP('Données projet'!$B$15,Paramètres!$A$1:$I$89,3,0)*0.475*44/12</f>
        <v>1.2072904990001627E-18</v>
      </c>
      <c r="EY202" s="22">
        <f t="shared" si="181"/>
        <v>14.158990434586944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0</v>
      </c>
      <c r="FK202" s="59">
        <f t="shared" si="211"/>
        <v>0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0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197.78572767493569</v>
      </c>
      <c r="T203" s="59">
        <f t="shared" si="204"/>
        <v>288.66487031729008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266.99999999999983</v>
      </c>
      <c r="AJ203" s="13">
        <f>AI203*VLOOKUP('Données projet'!$B$10,Paramètres!$A$1:$I$89,3,0)*VLOOKUP('Données projet'!$B$10,Paramètres!$A$1:$I$89,5,0)</f>
        <v>212.42519999999985</v>
      </c>
      <c r="AK203" s="13">
        <f t="shared" si="164"/>
        <v>52.465198231787184</v>
      </c>
      <c r="AL203" s="20">
        <f t="shared" si="165"/>
        <v>461.35077692036231</v>
      </c>
      <c r="AM203" s="59">
        <f t="shared" si="193"/>
        <v>754.68411025369562</v>
      </c>
      <c r="AN203" s="59">
        <f ca="1">AVERAGE(OFFSET($AM$3,0,0,'Données projet'!$E$10+1,1))-AVERAGE(OFFSET($H$3,0,0,'Données projet'!$E$10+1,1))</f>
        <v>219.43439115440339</v>
      </c>
      <c r="AO203" s="59">
        <f t="shared" si="205"/>
        <v>217.8880462742099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2.6739837625337382</v>
      </c>
      <c r="AV203" s="21">
        <f>EXP(-LN(2)/25)*AV202+(1-EXP(-LN(2)/25))/(LN(2)/25)*Calculateur!AQ203*Calculateur!AS203*VLOOKUP('Données projet'!$B$10,Paramètres!$A$1:$I$89,3,0)*0.475*44/12</f>
        <v>0.29898177967823447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2.9729655422119725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190.99999999999997</v>
      </c>
      <c r="BE203" s="13">
        <f>BD203*VLOOKUP('Données projet'!$B$11,Paramètres!$A$1:$I$89,3,0)*VLOOKUP('Données projet'!$B$11,Paramètres!$A$1:$I$89,5,0)</f>
        <v>166.85759999999999</v>
      </c>
      <c r="BF203" s="13">
        <f t="shared" si="167"/>
        <v>42.385468111966098</v>
      </c>
      <c r="BG203" s="20">
        <f t="shared" si="168"/>
        <v>364.43167696167421</v>
      </c>
      <c r="BH203" s="59">
        <f t="shared" si="194"/>
        <v>657.76501029500753</v>
      </c>
      <c r="BI203" s="59">
        <f ca="1">AVERAGE(OFFSET($BH$3,0,0,'Données projet'!$E$11+1,1))-AVERAGE(OFFSET($H$3,0,0,'Données projet'!$E$11+1,1))</f>
        <v>175.73188403662408</v>
      </c>
      <c r="BJ203" s="59">
        <f t="shared" si="206"/>
        <v>152.02195399869032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1.3147587049224663</v>
      </c>
      <c r="BQ203" s="21">
        <f>EXP(-LN(2)/25)*BQ202+(1-EXP(-LN(2)/25))/(LN(2)/25)*Calculateur!BL203*Calculateur!BN203*VLOOKUP('Données projet'!$B$11,Paramètres!$A$1:$I$89,3,0)*0.475*44/12</f>
        <v>0.68292710648860211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1.9976858114110683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-4.5474735088646412E-13</v>
      </c>
      <c r="BZ203" s="13">
        <f>BY203*VLOOKUP('Données projet'!$B$12,Paramètres!$A$1:$I$89,3,0)*VLOOKUP('Données projet'!$B$12,Paramètres!$A$1:$I$89,5,0)</f>
        <v>-4.1145540308207271E-13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213.54857791046686</v>
      </c>
      <c r="CE203" s="59">
        <f t="shared" si="207"/>
        <v>138.46877538074244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65.65721371347216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65.65721371347216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213</v>
      </c>
      <c r="CU203" s="17">
        <f>CT203*VLOOKUP('Données projet'!$B$13,Paramètres!$A$1:$I$89,3,0)*VLOOKUP('Données projet'!$B$13,Paramètres!$A$1:$I$89,5,0)</f>
        <v>169.46279999999999</v>
      </c>
      <c r="CV203" s="13">
        <f t="shared" si="173"/>
        <v>42.969686502194378</v>
      </c>
      <c r="CW203" s="20">
        <f t="shared" si="174"/>
        <v>369.9865806579885</v>
      </c>
      <c r="CX203" s="59">
        <f t="shared" si="196"/>
        <v>663.31991399132176</v>
      </c>
      <c r="CY203" s="59">
        <f ca="1">AVERAGE(OFFSET($CX$3,0,0,'Données projet'!$E$13+1,1))-AVERAGE(OFFSET($H$3,0,0,'Données projet'!$E$13+1,1))</f>
        <v>161.87883827031436</v>
      </c>
      <c r="CZ203" s="59">
        <f t="shared" si="208"/>
        <v>163.02076389611869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1.0476173034997918</v>
      </c>
      <c r="DG203" s="21">
        <f>EXP(-LN(2)/25)*DG202+(1-EXP(-LN(2)/25))/(LN(2)/25)*Calculateur!DB203*Calculateur!DD203*VLOOKUP('Données projet'!$B$13,Paramètres!$A$1:$I$89,3,0)*0.475*44/12</f>
        <v>0.31366026851279755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1.3612775720125894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149.0000000000002</v>
      </c>
      <c r="DP203" s="17">
        <f>DO203*VLOOKUP('Données projet'!$B$14,Paramètres!$A$1:$I$89,3,0)*VLOOKUP('Données projet'!$B$14,Paramètres!$A$1:$I$89,5,0)</f>
        <v>120.86880000000016</v>
      </c>
      <c r="DQ203" s="13">
        <f t="shared" si="176"/>
        <v>31.877547472771326</v>
      </c>
      <c r="DR203" s="20">
        <f t="shared" si="177"/>
        <v>266.03322184841039</v>
      </c>
      <c r="DS203" s="59">
        <f t="shared" si="197"/>
        <v>559.36655518174371</v>
      </c>
      <c r="DT203" s="59">
        <f ca="1">AVERAGE(OFFSET($DS$3,0,0,'Données projet'!$E$14+1,1))-AVERAGE(OFFSET($H$3,0,0,'Données projet'!$E$14+1,1))</f>
        <v>96.611230241682733</v>
      </c>
      <c r="DU203" s="59">
        <f t="shared" si="209"/>
        <v>78.711045514042041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0.20248702688953277</v>
      </c>
      <c r="EB203" s="21">
        <f>EXP(-LN(2)/25)*EB202+(1-EXP(-LN(2)/25))/(LN(2)/25)*Calculateur!DW203*Calculateur!DY203*VLOOKUP('Données projet'!$B$14,Paramètres!$A$1:$I$89,3,0)*0.475*44/12</f>
        <v>0.2971888773584988</v>
      </c>
      <c r="EC203" s="21">
        <f>EXP(-LN(2)/2)*EC202+(1-EXP(-LN(2)/2))/(LN(2)/2)*DW203*DZ203*VLOOKUP('Données projet'!$B$14,Paramètres!$A$1:$I$89,3,0)*0.475*44/12</f>
        <v>3.7685419979103396E-17</v>
      </c>
      <c r="ED203" s="22">
        <f t="shared" si="178"/>
        <v>0.4996759042480316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188.61152573050066</v>
      </c>
      <c r="EP203" s="59">
        <f t="shared" si="210"/>
        <v>172.37050503841624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12.679522304392579</v>
      </c>
      <c r="EW203" s="21">
        <f>EXP(-LN(2)/25)*EW202+(1-EXP(-LN(2)/25))/(LN(2)/25)*Calculateur!ER203*Calculateur!ET203*VLOOKUP('Données projet'!$B$15,Paramètres!$A$1:$I$89,3,0)*0.475*44/12</f>
        <v>1.1923361456985893</v>
      </c>
      <c r="EX203" s="21">
        <f>EXP(-LN(2)/2)*EX202+(1-EXP(-LN(2)/2))/(LN(2)/2)*ER203*EU203*VLOOKUP('Données projet'!$B$15,Paramètres!$A$1:$I$89,3,0)*0.475*44/12</f>
        <v>8.5368329870510585E-19</v>
      </c>
      <c r="EY203" s="22">
        <f t="shared" si="181"/>
        <v>13.871858450091167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0</v>
      </c>
      <c r="FK203" s="59">
        <f t="shared" si="211"/>
        <v>0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0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1.2721747796233518</v>
      </c>
      <c r="BA205" s="82">
        <f>EXP(LN('Données projet'!B88)/'Données projet'!A88)</f>
        <v>1.2923922207808318</v>
      </c>
      <c r="BV205" s="82">
        <f>EXP(LN('Données projet'!B114)/'Données projet'!A114)</f>
        <v>1.1608269964373037</v>
      </c>
      <c r="CQ205" s="82">
        <f>EXP(LN('Données projet'!B140)/'Données projet'!A140)</f>
        <v>1.1577536725165907</v>
      </c>
      <c r="DL205" s="82">
        <f>EXP(LN('Données projet'!B166)/'Données projet'!A166)</f>
        <v>1.199469418763945</v>
      </c>
      <c r="EG205" s="82">
        <f>EXP(LN('Données projet'!B192)/'Données projet'!A192)</f>
        <v>1.2805631431945952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22" sqref="N22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177.215</v>
      </c>
      <c r="C6" s="147">
        <f ca="1">IF(OR('Données projet'!B9="",'Données projet'!C9="",'Données projet'!C9=0%),0,Calculateur!S3)</f>
        <v>197.78572767493569</v>
      </c>
      <c r="D6" s="147">
        <f>IF(OR('Données projet'!B9="",'Données projet'!C9="",'Données projet'!C9=0%),0,Calculateur!T3)</f>
        <v>288.66487031729008</v>
      </c>
      <c r="E6" s="147">
        <f ca="1">MIN(C6,D6)</f>
        <v>197.78572767493569</v>
      </c>
      <c r="F6" s="147">
        <f ca="1">E6*B6</f>
        <v>35050.59772991373</v>
      </c>
      <c r="G6" s="147">
        <f ca="1">F6*(100%-'Données projet'!$C$24)*(100%-'Données projet'!$C$25)*(100%-'Données projet'!$C$26)*(100%-'Données projet'!$C$27)</f>
        <v>26813.707263384003</v>
      </c>
      <c r="H6" s="148">
        <f>IF(OR('Données projet'!B9="",'Données projet'!C9="",'Données projet'!C9=0%),0,AVERAGE(Calculateur!$AC$3:$AC$33)*B6)</f>
        <v>2339.0933412006466</v>
      </c>
      <c r="I6" s="149">
        <f>H6*(100%-'Données projet'!$C$24)*(100%-'Données projet'!$C$25)*(100%-'Données projet'!$C$26)*(100%-'Données projet'!$C$27)</f>
        <v>1789.4064060184946</v>
      </c>
      <c r="J6" s="150">
        <f>IF(OR('Données projet'!B9="",'Données projet'!C9="",'Données projet'!C9=0%),0,SUM(Calculateur!$V$3:$V$33)*VLOOKUP('Données projet'!$B$9,Paramètres!$A$1:$I$89,9,0)*B6)</f>
        <v>15032.862179615386</v>
      </c>
      <c r="K6" s="151">
        <f>J6*(100%-'Données projet'!$C$24)*(100%-'Données projet'!$C$25)*(100%-'Données projet'!$C$26)*(100%-'Données projet'!$C$27)</f>
        <v>11500.139567405769</v>
      </c>
      <c r="L6" s="152">
        <f ca="1">G6+I6+K6</f>
        <v>40103.253236808268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Erable sycomore</v>
      </c>
      <c r="B7" s="154">
        <f>'Données projet'!D10</f>
        <v>10.351379999999999</v>
      </c>
      <c r="C7" s="147">
        <f ca="1">IF(OR('Données projet'!B10="",'Données projet'!C10="",'Données projet'!C10=0%),0,Calculateur!AN3)</f>
        <v>219.43439115440339</v>
      </c>
      <c r="D7" s="147">
        <f>IF(OR('Données projet'!B10="",'Données projet'!C10="",'Données projet'!C10=0%),0,Calculateur!AO3)</f>
        <v>217.8880462742099</v>
      </c>
      <c r="E7" s="147">
        <f t="shared" ref="E7:E15" ca="1" si="0">MIN(C7,D7)</f>
        <v>217.8880462742099</v>
      </c>
      <c r="F7" s="147">
        <f t="shared" ref="F7:F15" ca="1" si="1">E7*B7</f>
        <v>2255.4419644419304</v>
      </c>
      <c r="G7" s="147">
        <f ca="1">F7*(100%-'Données projet'!$C$24)*(100%-'Données projet'!$C$25)*(100%-'Données projet'!$C$26)*(100%-'Données projet'!$C$27)</f>
        <v>1725.4131027980768</v>
      </c>
      <c r="H7" s="155">
        <f>IF(OR('Données projet'!B10="",'Données projet'!C10="",'Données projet'!C10=0%),0,AVERAGE(Calculateur!$AX$3:$AX$33)*B7)</f>
        <v>3.1363149118659841</v>
      </c>
      <c r="I7" s="149">
        <f>H7*(100%-'Données projet'!$C$24)*(100%-'Données projet'!$C$25)*(100%-'Données projet'!$C$26)*(100%-'Données projet'!$C$27)</f>
        <v>2.3992809075774777</v>
      </c>
      <c r="J7" s="150">
        <f>IF(OR('Données projet'!B10="",'Données projet'!C10="",'Données projet'!C10=0%),0,SUM(Calculateur!$AQ$3:$AQ$33)*VLOOKUP('Données projet'!$B$10,Paramètres!$A$1:$I$89,9,0)*B7)</f>
        <v>256.19665499999996</v>
      </c>
      <c r="K7" s="151">
        <f>J7*(100%-'Données projet'!$C$24)*(100%-'Données projet'!$C$25)*(100%-'Données projet'!$C$26)*(100%-'Données projet'!$C$27)</f>
        <v>195.99044107499998</v>
      </c>
      <c r="L7" s="152">
        <f t="shared" ref="L7:L15" ca="1" si="2">G7+I7+K7</f>
        <v>1923.8028247806544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rouge d'Amérique</v>
      </c>
      <c r="B8" s="154">
        <f>'Données projet'!D11</f>
        <v>10.351379999999999</v>
      </c>
      <c r="C8" s="147">
        <f ca="1">IF(OR('Données projet'!B11="",'Données projet'!C11="",'Données projet'!C11=0%),0,Calculateur!BI3)</f>
        <v>175.73188403662408</v>
      </c>
      <c r="D8" s="147">
        <f>IF(OR('Données projet'!B11="",'Données projet'!C11="",'Données projet'!C11=0%),0,Calculateur!BJ3)</f>
        <v>152.02195399869032</v>
      </c>
      <c r="E8" s="147">
        <f t="shared" ca="1" si="0"/>
        <v>152.02195399869032</v>
      </c>
      <c r="F8" s="147">
        <f t="shared" ca="1" si="1"/>
        <v>1573.637014182963</v>
      </c>
      <c r="G8" s="147">
        <f ca="1">F8*(100%-'Données projet'!$C$24)*(100%-'Données projet'!$C$25)*(100%-'Données projet'!$C$26)*(100%-'Données projet'!$C$27)</f>
        <v>1203.8323158499668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1203.8323158499668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Chêne sessile</v>
      </c>
      <c r="B9" s="154">
        <f>'Données projet'!D12</f>
        <v>4.1406900000000002</v>
      </c>
      <c r="C9" s="147">
        <f ca="1">IF(OR('Données projet'!B12="",'Données projet'!C12="",'Données projet'!C12=0%),0,Calculateur!CD3)</f>
        <v>213.54857791046686</v>
      </c>
      <c r="D9" s="147">
        <f>IF(OR('Données projet'!B12="",'Données projet'!C12="",'Données projet'!C12=0%),0,Calculateur!CE3)</f>
        <v>138.46877538074244</v>
      </c>
      <c r="E9" s="147">
        <f t="shared" ca="1" si="0"/>
        <v>138.46877538074244</v>
      </c>
      <c r="F9" s="147">
        <f t="shared" ca="1" si="1"/>
        <v>573.35627353128643</v>
      </c>
      <c r="G9" s="147">
        <f ca="1">F9*(100%-'Données projet'!$C$24)*(100%-'Données projet'!$C$25)*(100%-'Données projet'!$C$26)*(100%-'Données projet'!$C$27)</f>
        <v>438.61754925143413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438.61754925143413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Erable sycomore</v>
      </c>
      <c r="B10" s="154">
        <f>'Données projet'!D13</f>
        <v>6.2106899999999996</v>
      </c>
      <c r="C10" s="147">
        <f ca="1">IF(OR('Données projet'!B13="",'Données projet'!C13="",'Données projet'!C13=0%),0,Calculateur!CY3)</f>
        <v>161.87883827031436</v>
      </c>
      <c r="D10" s="147">
        <f>IF(OR('Données projet'!B13="",'Données projet'!C13="",'Données projet'!C13=0%),0,Calculateur!CZ3)</f>
        <v>163.02076389611869</v>
      </c>
      <c r="E10" s="147">
        <f t="shared" ca="1" si="0"/>
        <v>161.87883827031436</v>
      </c>
      <c r="F10" s="147">
        <f t="shared" ca="1" si="1"/>
        <v>1005.3792820570586</v>
      </c>
      <c r="G10" s="147">
        <f ca="1">F10*(100%-'Données projet'!$C$24)*(100%-'Données projet'!$C$25)*(100%-'Données projet'!$C$26)*(100%-'Données projet'!$C$27)</f>
        <v>769.11515077364982</v>
      </c>
      <c r="H10" s="155">
        <f>IF(OR('Données projet'!B13="",'Données projet'!C13="",'Données projet'!C13=0%),0,AVERAGE(Calculateur!$DI$3:$DI$33)*B10)</f>
        <v>9.767239880062599E-2</v>
      </c>
      <c r="I10" s="149">
        <f>H10*(100%-'Données projet'!$C$24)*(100%-'Données projet'!$C$25)*(100%-'Données projet'!$C$26)*(100%-'Données projet'!$C$27)</f>
        <v>7.471938508247887E-2</v>
      </c>
      <c r="J10" s="150">
        <f>IF(OR('Données projet'!B13="",'Données projet'!C13="",'Données projet'!C13=0%),0,SUM(Calculateur!$DB$3:$DB$33)*VLOOKUP('Données projet'!$B$13,Paramètres!$A$1:$I$89,9,0)*B10)</f>
        <v>97.818367499999994</v>
      </c>
      <c r="K10" s="151">
        <f>J10*(100%-'Données projet'!$C$24)*(100%-'Données projet'!$C$25)*(100%-'Données projet'!$C$26)*(100%-'Données projet'!$C$27)</f>
        <v>74.831051137499998</v>
      </c>
      <c r="L10" s="152">
        <f t="shared" ca="1" si="2"/>
        <v>844.02092129623236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Bouleau verruqueux</v>
      </c>
      <c r="B11" s="154">
        <f>'Données projet'!D14</f>
        <v>4.1406900000000002</v>
      </c>
      <c r="C11" s="147">
        <f ca="1">IF(OR('Données projet'!B14="",'Données projet'!C14="",'Données projet'!C14=0%),0,Calculateur!DT3)</f>
        <v>96.611230241682733</v>
      </c>
      <c r="D11" s="147">
        <f>IF(OR('Données projet'!B14="",'Données projet'!C14="",'Données projet'!C14=0%),0,Calculateur!DU3)</f>
        <v>78.711045514042041</v>
      </c>
      <c r="E11" s="147">
        <f t="shared" ca="1" si="0"/>
        <v>78.711045514042041</v>
      </c>
      <c r="F11" s="147">
        <f t="shared" ca="1" si="1"/>
        <v>325.91803904953878</v>
      </c>
      <c r="G11" s="147">
        <f ca="1">F11*(100%-'Données projet'!$C$24)*(100%-'Données projet'!$C$25)*(100%-'Données projet'!$C$26)*(100%-'Données projet'!$C$27)</f>
        <v>249.32729987289719</v>
      </c>
      <c r="H11" s="155">
        <f>IF(OR('Données projet'!B14="",'Données projet'!C14="",'Données projet'!C14=0%),0,AVERAGE(Calculateur!$ED$3:$ED$33)*B11)</f>
        <v>1.2225636520987726</v>
      </c>
      <c r="I11" s="149">
        <f>H11*(100%-'Données projet'!$C$24)*(100%-'Données projet'!$C$25)*(100%-'Données projet'!$C$26)*(100%-'Données projet'!$C$27)</f>
        <v>0.93526119385556106</v>
      </c>
      <c r="J11" s="150">
        <f>IF(OR('Données projet'!B14="",'Données projet'!C14="",'Données projet'!C14=0%),0,SUM(Calculateur!$DW$3:$DW$33)*VLOOKUP('Données projet'!$B$14,Paramètres!$A$1:$I$89,9,0)*B11)</f>
        <v>18.633105</v>
      </c>
      <c r="K11" s="151">
        <f>J11*(100%-'Données projet'!$C$24)*(100%-'Données projet'!$C$25)*(100%-'Données projet'!$C$26)*(100%-'Données projet'!$C$27)</f>
        <v>14.254325325</v>
      </c>
      <c r="L11" s="152">
        <f t="shared" ca="1" si="2"/>
        <v>264.51688639175273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Séquoia toujours vert</v>
      </c>
      <c r="B12" s="154">
        <f>'Données projet'!D15</f>
        <v>6.2106899999999996</v>
      </c>
      <c r="C12" s="147">
        <f ca="1">IF(OR('Données projet'!B15="",'Données projet'!C15="",'Données projet'!C15=0%),0,Calculateur!EO3)</f>
        <v>188.61152573050066</v>
      </c>
      <c r="D12" s="147">
        <f>IF(OR('Données projet'!B15="",'Données projet'!C15="",'Données projet'!C15=0%),0,Calculateur!EP3)</f>
        <v>172.37050503841624</v>
      </c>
      <c r="E12" s="147">
        <f t="shared" ca="1" si="0"/>
        <v>172.37050503841624</v>
      </c>
      <c r="F12" s="147">
        <f t="shared" ca="1" si="1"/>
        <v>1070.5397719370412</v>
      </c>
      <c r="G12" s="147">
        <f ca="1">F12*(100%-'Données projet'!$C$24)*(100%-'Données projet'!$C$25)*(100%-'Données projet'!$C$26)*(100%-'Données projet'!$C$27)</f>
        <v>818.9629255318365</v>
      </c>
      <c r="H12" s="155">
        <f>IF(OR('Données projet'!B15="",'Données projet'!C15="",'Données projet'!C15=0%),0,AVERAGE(Calculateur!$EY$3:$EY$33)*B12)</f>
        <v>39.97416207474329</v>
      </c>
      <c r="I12" s="149">
        <f>H12*(100%-'Données projet'!$C$24)*(100%-'Données projet'!$C$25)*(100%-'Données projet'!$C$26)*(100%-'Données projet'!$C$27)</f>
        <v>30.580233987178616</v>
      </c>
      <c r="J12" s="150">
        <f>IF(OR('Données projet'!B15="",'Données projet'!C15="",'Données projet'!C15=0%),0,SUM(Calculateur!$ER$3:$ER$33)*VLOOKUP('Données projet'!$B$15,Paramètres!$A$1:$I$89,9,0)*B12)</f>
        <v>315.35638416692302</v>
      </c>
      <c r="K12" s="151">
        <f>J12*(100%-'Données projet'!$C$24)*(100%-'Données projet'!$C$25)*(100%-'Données projet'!$C$26)*(100%-'Données projet'!$C$27)</f>
        <v>241.24763388769611</v>
      </c>
      <c r="L12" s="152">
        <f t="shared" ca="1" si="2"/>
        <v>1090.7907934067111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Alisier torminal</v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41854.870075113548</v>
      </c>
      <c r="G16" s="166">
        <f t="shared" ca="1" si="3"/>
        <v>32018.975607461864</v>
      </c>
      <c r="H16" s="167">
        <f t="shared" si="3"/>
        <v>2383.5240542381553</v>
      </c>
      <c r="I16" s="167">
        <f t="shared" si="3"/>
        <v>1823.3959014921888</v>
      </c>
      <c r="J16" s="168">
        <f t="shared" si="3"/>
        <v>15720.86669128231</v>
      </c>
      <c r="K16" s="168">
        <f t="shared" si="3"/>
        <v>12026.463018830967</v>
      </c>
      <c r="L16" s="169">
        <f t="shared" ca="1" si="3"/>
        <v>45868.834527785024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Erable sycomore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rouge d'Amérique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Bouleau verruqueux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Séquoia toujours vert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Alisier torminal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3191.6506928130912</v>
      </c>
      <c r="U10" s="178">
        <f>'Données projet'!D9</f>
        <v>177.215</v>
      </c>
      <c r="V10" s="177">
        <f>U10*T10</f>
        <v>565608.37752687198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sycomore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987.1086174185001</v>
      </c>
      <c r="U11" s="178">
        <f>'Données projet'!D10</f>
        <v>10.351379999999999</v>
      </c>
      <c r="V11" s="177">
        <f t="shared" ref="V11" si="0">U11*T11</f>
        <v>10217.936400173512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rouge d'Amérique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1203.4667412877823</v>
      </c>
      <c r="U12" s="178">
        <f>'Données projet'!D11</f>
        <v>10.351379999999999</v>
      </c>
      <c r="V12" s="177">
        <f t="shared" ref="V12:V19" si="1">U12*T12</f>
        <v>12457.541556431523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708.90487280046784</v>
      </c>
      <c r="U13" s="178">
        <f>'Données projet'!D12</f>
        <v>4.1406900000000002</v>
      </c>
      <c r="V13" s="177">
        <f t="shared" si="1"/>
        <v>2935.3553177561694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527.72410468533371</v>
      </c>
      <c r="U14" s="178">
        <f>'Données projet'!D13</f>
        <v>6.2106899999999996</v>
      </c>
      <c r="V14" s="177">
        <f t="shared" si="1"/>
        <v>3277.5308197281552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Bouleau verruqueux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104.84554833831214</v>
      </c>
      <c r="U15" s="178">
        <f>'Données projet'!D14</f>
        <v>4.1406900000000002</v>
      </c>
      <c r="V15" s="177">
        <f t="shared" si="1"/>
        <v>434.13291354896575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>
        <v>30</v>
      </c>
      <c r="O16" s="23"/>
      <c r="P16" s="23"/>
      <c r="Q16" s="234"/>
      <c r="R16" s="23"/>
      <c r="S16" s="36" t="str">
        <f>B200</f>
        <v>Séquoia toujours vert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2770.6734510926881</v>
      </c>
      <c r="U16" s="178">
        <f>'Données projet'!D15</f>
        <v>6.2106899999999996</v>
      </c>
      <c r="V16" s="177">
        <f t="shared" si="1"/>
        <v>17207.793895966846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Alisier torminal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1199.9999999999998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5401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-576598.173674786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73692.004279932822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-650290.17795471882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Erable sycomore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15</v>
      </c>
      <c r="B54" s="181">
        <f>'Données projet'!D62</f>
        <v>15</v>
      </c>
      <c r="C54" s="191">
        <v>10</v>
      </c>
      <c r="D54" s="179">
        <f>B54*C54</f>
        <v>150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20</v>
      </c>
      <c r="B55" s="181">
        <f>'Données projet'!D63</f>
        <v>28</v>
      </c>
      <c r="C55" s="191">
        <v>10</v>
      </c>
      <c r="D55" s="179">
        <f t="shared" ref="D55:D73" si="4">B55*C55</f>
        <v>280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25</v>
      </c>
      <c r="B56" s="181">
        <f>'Données projet'!D64</f>
        <v>28</v>
      </c>
      <c r="C56" s="191">
        <v>15</v>
      </c>
      <c r="D56" s="179">
        <f t="shared" si="4"/>
        <v>420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30</v>
      </c>
      <c r="B57" s="181">
        <f>'Données projet'!D65</f>
        <v>28</v>
      </c>
      <c r="C57" s="191">
        <v>15</v>
      </c>
      <c r="D57" s="179">
        <f t="shared" si="4"/>
        <v>420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35</v>
      </c>
      <c r="B58" s="181">
        <f>'Données projet'!D66</f>
        <v>28</v>
      </c>
      <c r="C58" s="191">
        <v>50</v>
      </c>
      <c r="D58" s="179">
        <f t="shared" si="4"/>
        <v>1400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40</v>
      </c>
      <c r="B59" s="181">
        <f>'Données projet'!D67</f>
        <v>28</v>
      </c>
      <c r="C59" s="191">
        <v>50</v>
      </c>
      <c r="D59" s="179">
        <f t="shared" si="4"/>
        <v>1400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45</v>
      </c>
      <c r="B60" s="181">
        <f>'Données projet'!D68</f>
        <v>22</v>
      </c>
      <c r="C60" s="191">
        <v>50</v>
      </c>
      <c r="D60" s="179">
        <f t="shared" si="4"/>
        <v>1100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50</v>
      </c>
      <c r="B61" s="181">
        <f>'Données projet'!D69</f>
        <v>17</v>
      </c>
      <c r="C61" s="191">
        <v>50</v>
      </c>
      <c r="D61" s="179">
        <f t="shared" si="4"/>
        <v>850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55</v>
      </c>
      <c r="B62" s="181">
        <f>'Données projet'!D70</f>
        <v>13</v>
      </c>
      <c r="C62" s="191">
        <v>50</v>
      </c>
      <c r="D62" s="179">
        <f t="shared" si="4"/>
        <v>650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60</v>
      </c>
      <c r="B63" s="181">
        <f>'Données projet'!D71</f>
        <v>12</v>
      </c>
      <c r="C63" s="191">
        <v>50</v>
      </c>
      <c r="D63" s="179">
        <f t="shared" si="4"/>
        <v>600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65</v>
      </c>
      <c r="B64" s="181">
        <f>'Données projet'!D72</f>
        <v>11</v>
      </c>
      <c r="C64" s="191">
        <v>50</v>
      </c>
      <c r="D64" s="179">
        <f t="shared" si="4"/>
        <v>550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70</v>
      </c>
      <c r="B65" s="181">
        <f>'Données projet'!D73</f>
        <v>10</v>
      </c>
      <c r="C65" s="191">
        <v>50</v>
      </c>
      <c r="D65" s="179">
        <f t="shared" si="4"/>
        <v>500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75</v>
      </c>
      <c r="B66" s="181">
        <f>'Données projet'!D74</f>
        <v>9</v>
      </c>
      <c r="C66" s="191">
        <v>50</v>
      </c>
      <c r="D66" s="179">
        <f t="shared" si="4"/>
        <v>450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80</v>
      </c>
      <c r="B67" s="181">
        <f>'Données projet'!D75</f>
        <v>8</v>
      </c>
      <c r="C67" s="191">
        <v>50</v>
      </c>
      <c r="D67" s="179">
        <f t="shared" si="4"/>
        <v>400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Chêne rouge d'Amérique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15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25</v>
      </c>
      <c r="B88" s="181" t="str">
        <f>'Données projet'!D91</f>
        <v>38</v>
      </c>
      <c r="C88" s="191">
        <v>10</v>
      </c>
      <c r="D88" s="179">
        <f t="shared" si="6"/>
        <v>380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30</v>
      </c>
      <c r="B89" s="181" t="str">
        <f>'Données projet'!D92</f>
        <v>16</v>
      </c>
      <c r="C89" s="191">
        <v>10</v>
      </c>
      <c r="D89" s="179">
        <f t="shared" si="6"/>
        <v>160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35</v>
      </c>
      <c r="B90" s="181" t="str">
        <f>'Données projet'!D93</f>
        <v>16</v>
      </c>
      <c r="C90" s="191">
        <v>50</v>
      </c>
      <c r="D90" s="179">
        <f t="shared" si="6"/>
        <v>800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40</v>
      </c>
      <c r="B91" s="181" t="str">
        <f>'Données projet'!D94</f>
        <v>16</v>
      </c>
      <c r="C91" s="191">
        <v>50</v>
      </c>
      <c r="D91" s="179">
        <f t="shared" si="6"/>
        <v>800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45</v>
      </c>
      <c r="B92" s="181" t="str">
        <f>'Données projet'!D95</f>
        <v>15</v>
      </c>
      <c r="C92" s="191">
        <v>50</v>
      </c>
      <c r="D92" s="179">
        <f t="shared" si="6"/>
        <v>750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50</v>
      </c>
      <c r="B93" s="181" t="str">
        <f>'Données projet'!D96</f>
        <v>15</v>
      </c>
      <c r="C93" s="191">
        <v>100</v>
      </c>
      <c r="D93" s="179">
        <f t="shared" si="6"/>
        <v>1500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55</v>
      </c>
      <c r="B94" s="181" t="str">
        <f>'Données projet'!D97</f>
        <v>14</v>
      </c>
      <c r="C94" s="191">
        <v>100</v>
      </c>
      <c r="D94" s="179">
        <f t="shared" si="6"/>
        <v>1400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60</v>
      </c>
      <c r="B95" s="181" t="str">
        <f>'Données projet'!D98</f>
        <v>13</v>
      </c>
      <c r="C95" s="191">
        <v>150</v>
      </c>
      <c r="D95" s="179">
        <f t="shared" si="6"/>
        <v>1950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65</v>
      </c>
      <c r="B96" s="181" t="str">
        <f>'Données projet'!D99</f>
        <v>12</v>
      </c>
      <c r="C96" s="191">
        <v>150</v>
      </c>
      <c r="D96" s="179">
        <f t="shared" si="6"/>
        <v>1800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70</v>
      </c>
      <c r="B97" s="181" t="str">
        <f>'Données projet'!D100</f>
        <v>11</v>
      </c>
      <c r="C97" s="191">
        <v>150</v>
      </c>
      <c r="D97" s="179">
        <f t="shared" si="6"/>
        <v>1650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75</v>
      </c>
      <c r="B98" s="181" t="str">
        <f>'Données projet'!D101</f>
        <v>10</v>
      </c>
      <c r="C98" s="191">
        <v>200</v>
      </c>
      <c r="D98" s="179">
        <f t="shared" si="6"/>
        <v>2000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80</v>
      </c>
      <c r="B99" s="181" t="str">
        <f>'Données projet'!D102</f>
        <v>9</v>
      </c>
      <c r="C99" s="191">
        <v>200</v>
      </c>
      <c r="D99" s="179">
        <f t="shared" si="6"/>
        <v>1800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85</v>
      </c>
      <c r="B100" s="181" t="str">
        <f>'Données projet'!D103</f>
        <v>9</v>
      </c>
      <c r="C100" s="191">
        <v>200</v>
      </c>
      <c r="D100" s="179">
        <f t="shared" si="6"/>
        <v>1800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90</v>
      </c>
      <c r="B101" s="181" t="str">
        <f>'Données projet'!D104</f>
        <v>9</v>
      </c>
      <c r="C101" s="191">
        <v>200</v>
      </c>
      <c r="D101" s="179">
        <f t="shared" si="6"/>
        <v>1800</v>
      </c>
      <c r="E101" s="193">
        <v>150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95</v>
      </c>
      <c r="B102" s="181" t="str">
        <f>'Données projet'!D105</f>
        <v>10</v>
      </c>
      <c r="C102" s="191">
        <v>200</v>
      </c>
      <c r="D102" s="179">
        <f t="shared" si="6"/>
        <v>2000</v>
      </c>
      <c r="E102" s="193">
        <v>150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100</v>
      </c>
      <c r="B103" s="181" t="str">
        <f>'Données projet'!D106</f>
        <v>10</v>
      </c>
      <c r="C103" s="191">
        <v>200</v>
      </c>
      <c r="D103" s="179">
        <f t="shared" si="6"/>
        <v>2000</v>
      </c>
      <c r="E103" s="193">
        <v>150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30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44</v>
      </c>
      <c r="B117" s="181">
        <f>'Données projet'!D115</f>
        <v>64.416666666666657</v>
      </c>
      <c r="C117" s="191">
        <v>10</v>
      </c>
      <c r="D117" s="179">
        <f t="shared" ref="D117:D135" si="8">B117*C117</f>
        <v>644.16666666666652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51</v>
      </c>
      <c r="B118" s="181">
        <f>'Données projet'!D116</f>
        <v>37.685897435897431</v>
      </c>
      <c r="C118" s="191">
        <v>10</v>
      </c>
      <c r="D118" s="179">
        <f t="shared" si="8"/>
        <v>376.85897435897431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59</v>
      </c>
      <c r="B119" s="181">
        <f>'Données projet'!D117</f>
        <v>38.942307692307693</v>
      </c>
      <c r="C119" s="191">
        <v>50</v>
      </c>
      <c r="D119" s="179">
        <f t="shared" si="8"/>
        <v>1947.1153846153848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67</v>
      </c>
      <c r="B120" s="181">
        <f>'Données projet'!D118</f>
        <v>31.993589743589741</v>
      </c>
      <c r="C120" s="191">
        <v>50</v>
      </c>
      <c r="D120" s="179">
        <f t="shared" si="8"/>
        <v>1599.6794871794871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75</v>
      </c>
      <c r="B121" s="181">
        <f>'Données projet'!D119</f>
        <v>30.916666666666664</v>
      </c>
      <c r="C121" s="191">
        <v>50</v>
      </c>
      <c r="D121" s="179">
        <f t="shared" si="8"/>
        <v>1545.8333333333333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84</v>
      </c>
      <c r="B122" s="181">
        <f>'Données projet'!D120</f>
        <v>35.083333333333329</v>
      </c>
      <c r="C122" s="191">
        <v>100</v>
      </c>
      <c r="D122" s="179">
        <f t="shared" si="8"/>
        <v>3508.333333333333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93</v>
      </c>
      <c r="B123" s="181">
        <f>'Données projet'!D121</f>
        <v>30.083333333333332</v>
      </c>
      <c r="C123" s="191">
        <v>100</v>
      </c>
      <c r="D123" s="179">
        <f t="shared" si="8"/>
        <v>3008.333333333333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103</v>
      </c>
      <c r="B124" s="181">
        <f>'Données projet'!D122</f>
        <v>39.512820512820511</v>
      </c>
      <c r="C124" s="191">
        <v>150</v>
      </c>
      <c r="D124" s="179">
        <f t="shared" si="8"/>
        <v>5926.9230769230762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113</v>
      </c>
      <c r="B125" s="181">
        <f>'Données projet'!D123</f>
        <v>31.602564102564099</v>
      </c>
      <c r="C125" s="191">
        <v>150</v>
      </c>
      <c r="D125" s="179">
        <f t="shared" si="8"/>
        <v>4740.3846153846152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125</v>
      </c>
      <c r="B126" s="181">
        <f>'Données projet'!D124</f>
        <v>48.160256410256409</v>
      </c>
      <c r="C126" s="191">
        <v>150</v>
      </c>
      <c r="D126" s="179">
        <f t="shared" si="8"/>
        <v>7224.038461538461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137</v>
      </c>
      <c r="B127" s="181">
        <f>'Données projet'!D125</f>
        <v>51.160256410256409</v>
      </c>
      <c r="C127" s="191">
        <v>200</v>
      </c>
      <c r="D127" s="179">
        <f t="shared" si="8"/>
        <v>10232.051282051281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149</v>
      </c>
      <c r="B128" s="181">
        <f>'Données projet'!D126</f>
        <v>120.50641025641026</v>
      </c>
      <c r="C128" s="191">
        <v>200</v>
      </c>
      <c r="D128" s="179">
        <f t="shared" si="8"/>
        <v>24101.282051282051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153</v>
      </c>
      <c r="B129" s="181">
        <f>'Données projet'!D127</f>
        <v>70.115384615384613</v>
      </c>
      <c r="C129" s="191">
        <v>200</v>
      </c>
      <c r="D129" s="179">
        <f t="shared" si="8"/>
        <v>14023.076923076922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157</v>
      </c>
      <c r="B130" s="181">
        <f>'Données projet'!D128</f>
        <v>45.71153846153846</v>
      </c>
      <c r="C130" s="191">
        <v>200</v>
      </c>
      <c r="D130" s="179">
        <f t="shared" si="8"/>
        <v>9142.3076923076915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161</v>
      </c>
      <c r="B131" s="181">
        <f>'Données projet'!D129</f>
        <v>91.365384615384613</v>
      </c>
      <c r="C131" s="191">
        <v>200</v>
      </c>
      <c r="D131" s="179">
        <f t="shared" si="8"/>
        <v>18273.076923076922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21</v>
      </c>
      <c r="C148" s="191">
        <v>10</v>
      </c>
      <c r="D148" s="182">
        <f t="shared" ref="D148:D166" si="10">B148*C148</f>
        <v>210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21</v>
      </c>
      <c r="C149" s="191">
        <v>10</v>
      </c>
      <c r="D149" s="182">
        <f t="shared" si="10"/>
        <v>210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21</v>
      </c>
      <c r="C150" s="191">
        <v>15</v>
      </c>
      <c r="D150" s="182">
        <f t="shared" si="10"/>
        <v>315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35</v>
      </c>
      <c r="B151" s="175">
        <f>'Données projet'!D144</f>
        <v>21</v>
      </c>
      <c r="C151" s="191">
        <v>15</v>
      </c>
      <c r="D151" s="182">
        <f t="shared" si="10"/>
        <v>315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40</v>
      </c>
      <c r="B152" s="175">
        <f>'Données projet'!D145</f>
        <v>21</v>
      </c>
      <c r="C152" s="191">
        <v>50</v>
      </c>
      <c r="D152" s="182">
        <f t="shared" si="10"/>
        <v>1050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45</v>
      </c>
      <c r="B153" s="175">
        <f>'Données projet'!D146</f>
        <v>18</v>
      </c>
      <c r="C153" s="191">
        <v>50</v>
      </c>
      <c r="D153" s="182">
        <f t="shared" si="10"/>
        <v>900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50</v>
      </c>
      <c r="B154" s="175">
        <f>'Données projet'!D147</f>
        <v>13</v>
      </c>
      <c r="C154" s="191">
        <v>50</v>
      </c>
      <c r="D154" s="182">
        <f t="shared" si="10"/>
        <v>650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55</v>
      </c>
      <c r="B155" s="175">
        <f>'Données projet'!D148</f>
        <v>11</v>
      </c>
      <c r="C155" s="191">
        <v>50</v>
      </c>
      <c r="D155" s="182">
        <f t="shared" si="10"/>
        <v>550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60</v>
      </c>
      <c r="B156" s="175">
        <f>'Données projet'!D149</f>
        <v>9</v>
      </c>
      <c r="C156" s="191">
        <v>50</v>
      </c>
      <c r="D156" s="182">
        <f t="shared" si="10"/>
        <v>450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65</v>
      </c>
      <c r="B157" s="175">
        <f>'Données projet'!D150</f>
        <v>8</v>
      </c>
      <c r="C157" s="191">
        <v>50</v>
      </c>
      <c r="D157" s="182">
        <f t="shared" si="10"/>
        <v>400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70</v>
      </c>
      <c r="B158" s="175">
        <f>'Données projet'!D151</f>
        <v>6</v>
      </c>
      <c r="C158" s="191">
        <v>50</v>
      </c>
      <c r="D158" s="182">
        <f t="shared" si="10"/>
        <v>300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75</v>
      </c>
      <c r="B159" s="175">
        <f>'Données projet'!D152</f>
        <v>7</v>
      </c>
      <c r="C159" s="191">
        <v>50</v>
      </c>
      <c r="D159" s="182">
        <f t="shared" si="10"/>
        <v>350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80</v>
      </c>
      <c r="B160" s="175">
        <f>'Données projet'!D153</f>
        <v>6</v>
      </c>
      <c r="C160" s="191">
        <v>50</v>
      </c>
      <c r="D160" s="182">
        <f t="shared" si="10"/>
        <v>300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>Bouleau verruqueux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20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25</v>
      </c>
      <c r="B179" s="181">
        <f>'Données projet'!D167</f>
        <v>11</v>
      </c>
      <c r="C179" s="193">
        <v>10</v>
      </c>
      <c r="D179" s="179">
        <f t="shared" ref="D179:D197" si="11">B179*C179</f>
        <v>110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30</v>
      </c>
      <c r="B180" s="181">
        <f>'Données projet'!D168</f>
        <v>7</v>
      </c>
      <c r="C180" s="193">
        <v>10</v>
      </c>
      <c r="D180" s="179">
        <f t="shared" si="11"/>
        <v>70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35</v>
      </c>
      <c r="B181" s="181">
        <f>'Données projet'!D169</f>
        <v>7</v>
      </c>
      <c r="C181" s="193">
        <v>15</v>
      </c>
      <c r="D181" s="179">
        <f t="shared" si="11"/>
        <v>105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40</v>
      </c>
      <c r="B182" s="181">
        <f>'Données projet'!D170</f>
        <v>8</v>
      </c>
      <c r="C182" s="193">
        <v>15</v>
      </c>
      <c r="D182" s="179">
        <f t="shared" si="11"/>
        <v>120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45</v>
      </c>
      <c r="B183" s="181">
        <f>'Données projet'!D171</f>
        <v>8</v>
      </c>
      <c r="C183" s="193">
        <v>50</v>
      </c>
      <c r="D183" s="179">
        <f t="shared" si="11"/>
        <v>400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50</v>
      </c>
      <c r="B184" s="181">
        <f>'Données projet'!D172</f>
        <v>8</v>
      </c>
      <c r="C184" s="193">
        <v>50</v>
      </c>
      <c r="D184" s="179">
        <f t="shared" si="11"/>
        <v>400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55</v>
      </c>
      <c r="B185" s="181">
        <f>'Données projet'!D173</f>
        <v>8</v>
      </c>
      <c r="C185" s="193">
        <v>50</v>
      </c>
      <c r="D185" s="179">
        <f t="shared" si="11"/>
        <v>400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60</v>
      </c>
      <c r="B186" s="181">
        <f>'Données projet'!D174</f>
        <v>8</v>
      </c>
      <c r="C186" s="193">
        <v>50</v>
      </c>
      <c r="D186" s="179">
        <f t="shared" si="11"/>
        <v>400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65</v>
      </c>
      <c r="B187" s="181">
        <f>'Données projet'!D175</f>
        <v>8</v>
      </c>
      <c r="C187" s="193">
        <v>50</v>
      </c>
      <c r="D187" s="179">
        <f t="shared" si="11"/>
        <v>400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70</v>
      </c>
      <c r="B188" s="181">
        <f>'Données projet'!D176</f>
        <v>8</v>
      </c>
      <c r="C188" s="193">
        <v>50</v>
      </c>
      <c r="D188" s="179">
        <f t="shared" si="11"/>
        <v>400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75</v>
      </c>
      <c r="B189" s="181">
        <f>'Données projet'!D177</f>
        <v>8</v>
      </c>
      <c r="C189" s="193">
        <v>50</v>
      </c>
      <c r="D189" s="179">
        <f t="shared" si="11"/>
        <v>400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80</v>
      </c>
      <c r="B190" s="181">
        <f>'Données projet'!D178</f>
        <v>8</v>
      </c>
      <c r="C190" s="193">
        <v>50</v>
      </c>
      <c r="D190" s="179">
        <f t="shared" si="11"/>
        <v>400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85</v>
      </c>
      <c r="B191" s="181">
        <f>'Données projet'!D179</f>
        <v>8</v>
      </c>
      <c r="C191" s="193">
        <v>50</v>
      </c>
      <c r="D191" s="179">
        <f t="shared" si="11"/>
        <v>400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90</v>
      </c>
      <c r="B192" s="181">
        <f>'Données projet'!D180</f>
        <v>7</v>
      </c>
      <c r="C192" s="193">
        <v>50</v>
      </c>
      <c r="D192" s="179">
        <f t="shared" si="11"/>
        <v>350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>Séquoia toujours vert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21</v>
      </c>
      <c r="B209" s="181">
        <f>'Données projet'!D192</f>
        <v>61.169230769230765</v>
      </c>
      <c r="C209" s="193">
        <v>10</v>
      </c>
      <c r="D209" s="179">
        <f>B209*C209</f>
        <v>611.69230769230762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28</v>
      </c>
      <c r="B210" s="181">
        <f>'Données projet'!D193</f>
        <v>56.91538461538461</v>
      </c>
      <c r="C210" s="193">
        <v>18</v>
      </c>
      <c r="D210" s="179">
        <f t="shared" ref="D210:D228" si="12">B210*C210</f>
        <v>1024.476923076923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30</v>
      </c>
      <c r="B211" s="181">
        <f>'Données projet'!D194</f>
        <v>0</v>
      </c>
      <c r="C211" s="193">
        <v>25</v>
      </c>
      <c r="D211" s="179">
        <f t="shared" si="12"/>
        <v>0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35</v>
      </c>
      <c r="B212" s="181">
        <f>'Données projet'!D195</f>
        <v>70.5</v>
      </c>
      <c r="C212" s="193">
        <v>25</v>
      </c>
      <c r="D212" s="179">
        <f t="shared" si="12"/>
        <v>1762.5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42</v>
      </c>
      <c r="B213" s="181">
        <f>'Données projet'!D196</f>
        <v>80.669230769230765</v>
      </c>
      <c r="C213" s="193">
        <v>35</v>
      </c>
      <c r="D213" s="179">
        <f t="shared" si="12"/>
        <v>2823.4230769230767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49</v>
      </c>
      <c r="B214" s="181">
        <f>'Données projet'!D197</f>
        <v>90.453846153846158</v>
      </c>
      <c r="C214" s="193">
        <v>35</v>
      </c>
      <c r="D214" s="179">
        <f t="shared" si="12"/>
        <v>3165.8846153846157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56</v>
      </c>
      <c r="B215" s="181">
        <f>'Données projet'!D198</f>
        <v>75.869230769230768</v>
      </c>
      <c r="C215" s="193">
        <v>35</v>
      </c>
      <c r="D215" s="179">
        <f t="shared" si="12"/>
        <v>2655.4230769230767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63</v>
      </c>
      <c r="B216" s="181">
        <f>'Données projet'!D199</f>
        <v>79.723076923076917</v>
      </c>
      <c r="C216" s="193">
        <v>40</v>
      </c>
      <c r="D216" s="179">
        <f t="shared" si="12"/>
        <v>3188.9230769230767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70</v>
      </c>
      <c r="B217" s="181">
        <f>'Données projet'!D200</f>
        <v>469.06923076923073</v>
      </c>
      <c r="C217" s="193">
        <v>40</v>
      </c>
      <c r="D217" s="179">
        <f t="shared" si="12"/>
        <v>18762.76923076923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>Alisier torminal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70F97-7F44-4676-BAD0-93D32C399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2025-07-22T15:52:48Z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