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0027 ST-CHRISTOPHE-DE-DOUBLE [BARRETEAU]\Documents LBC\"/>
    </mc:Choice>
  </mc:AlternateContent>
  <xr:revisionPtr revIDLastSave="0" documentId="13_ncr:1_{F91568AD-5342-4620-9B68-B50B5CF026A4}" xr6:coauthVersionLast="47" xr6:coauthVersionMax="47" xr10:uidLastSave="{00000000-0000-0000-0000-000000000000}"/>
  <bookViews>
    <workbookView xWindow="-108" yWindow="-108" windowWidth="23256" windowHeight="1245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B129" i="6" l="1"/>
  <c r="B98" i="6"/>
  <c r="I147" i="1"/>
  <c r="B126" i="6"/>
  <c r="B124" i="6"/>
  <c r="B122" i="6"/>
  <c r="B120" i="6"/>
  <c r="B11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HI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C28" i="2"/>
  <c r="EB28" i="2"/>
  <c r="FS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H85" i="2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A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G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EX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V128" i="2"/>
  <c r="FS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X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HG145" i="2"/>
  <c r="HH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B156" i="2" l="1"/>
  <c r="DH156" i="2"/>
  <c r="HI156" i="2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CN156" i="2"/>
  <c r="EB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W158" i="2" l="1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H159" i="2"/>
  <c r="EC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D159" i="2"/>
  <c r="DG160" i="2"/>
  <c r="HG160" i="2"/>
  <c r="HH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B161" i="2"/>
  <c r="FS161" i="2"/>
  <c r="AB161" i="2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D161" i="2"/>
  <c r="EC162" i="2"/>
  <c r="EB162" i="2"/>
  <c r="EW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V163" i="2"/>
  <c r="EA163" i="2"/>
  <c r="HH163" i="2"/>
  <c r="HG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DI163" i="2"/>
  <c r="DH164" i="2"/>
  <c r="HH164" i="2"/>
  <c r="EA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CN165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X167" i="2"/>
  <c r="EY166" i="2"/>
  <c r="EB167" i="2"/>
  <c r="EC167" i="2"/>
  <c r="HI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B168" i="2"/>
  <c r="HH168" i="2"/>
  <c r="EV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A169" i="2"/>
  <c r="FS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Y171" i="2"/>
  <c r="EV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B175" i="2"/>
  <c r="EW175" i="2"/>
  <c r="EA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W178" i="2"/>
  <c r="EA178" i="2"/>
  <c r="FQ178" i="2"/>
  <c r="HH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V179" i="2"/>
  <c r="DF179" i="2"/>
  <c r="EA179" i="2"/>
  <c r="ED179" i="2" s="1"/>
  <c r="HG179" i="2"/>
  <c r="FS179" i="2"/>
  <c r="EX179" i="2"/>
  <c r="EY179" i="2" s="1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V185" i="2"/>
  <c r="EB185" i="2"/>
  <c r="EA185" i="2"/>
  <c r="EW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D185" i="2"/>
  <c r="EW186" i="2"/>
  <c r="HH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B192" i="2"/>
  <c r="EW192" i="2"/>
  <c r="HG192" i="2"/>
  <c r="EA192" i="2"/>
  <c r="ED192" i="2" s="1"/>
  <c r="EV192" i="2"/>
  <c r="EY192" i="2" s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X193" i="2" l="1"/>
  <c r="EA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Y194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D197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B199" i="2" l="1"/>
  <c r="EY198" i="2"/>
  <c r="EA199" i="2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X202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83" i="2" l="1" a="1"/>
  <c r="BC83" i="2" s="1"/>
  <c r="BC82" i="2" a="1"/>
  <c r="BC82" i="2" s="1"/>
  <c r="BC164" i="2" a="1"/>
  <c r="BC164" i="2" s="1"/>
  <c r="BC38" i="2" a="1"/>
  <c r="BC38" i="2" s="1"/>
  <c r="BC32" i="2" a="1"/>
  <c r="BC32" i="2" s="1"/>
  <c r="BC126" i="2" a="1"/>
  <c r="BC126" i="2" s="1"/>
  <c r="BC151" i="2" a="1"/>
  <c r="BC151" i="2" s="1"/>
  <c r="BC192" i="2" a="1"/>
  <c r="BC192" i="2" s="1"/>
  <c r="BC47" i="2" a="1"/>
  <c r="BC47" i="2" s="1"/>
  <c r="BC7" i="2" a="1"/>
  <c r="BC7" i="2" s="1"/>
  <c r="BD7" i="2" s="1"/>
  <c r="BC55" i="2" a="1"/>
  <c r="BC55" i="2" s="1"/>
  <c r="BC68" i="2" a="1"/>
  <c r="BC68" i="2" s="1"/>
  <c r="HG203" i="2"/>
  <c r="BC185" i="2" a="1"/>
  <c r="BC18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BC18" i="2" a="1"/>
  <c r="BC18" i="2" s="1"/>
  <c r="BC84" i="2" a="1"/>
  <c r="BC84" i="2" s="1"/>
  <c r="BC114" i="2" a="1"/>
  <c r="BC11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DI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60" i="2" l="1"/>
  <c r="CD203" i="2"/>
  <c r="CD45" i="2"/>
  <c r="CD121" i="2"/>
  <c r="CD51" i="2"/>
  <c r="CD169" i="2"/>
  <c r="CD43" i="2"/>
  <c r="CD186" i="2"/>
  <c r="CD21" i="2"/>
  <c r="CD138" i="2"/>
  <c r="CD115" i="2"/>
  <c r="CD114" i="2"/>
  <c r="CD33" i="2"/>
  <c r="CD171" i="2"/>
  <c r="CD181" i="2"/>
  <c r="CD107" i="2"/>
  <c r="CD159" i="2"/>
  <c r="CD95" i="2"/>
  <c r="CD112" i="2"/>
  <c r="CD194" i="2"/>
  <c r="CD88" i="2"/>
  <c r="CD197" i="2"/>
  <c r="CD23" i="2"/>
  <c r="CD90" i="2"/>
  <c r="CD180" i="2"/>
  <c r="CD139" i="2"/>
  <c r="CD127" i="2"/>
  <c r="CD68" i="2"/>
  <c r="CD155" i="2"/>
  <c r="CD147" i="2"/>
  <c r="CD105" i="2"/>
  <c r="CD122" i="2"/>
  <c r="CD96" i="2"/>
  <c r="CD184" i="2"/>
  <c r="CD103" i="2"/>
  <c r="CD17" i="2"/>
  <c r="CD76" i="2"/>
  <c r="CD58" i="2"/>
  <c r="CD42" i="2"/>
  <c r="CD61" i="2"/>
  <c r="CD74" i="2"/>
  <c r="CD18" i="2"/>
  <c r="CD59" i="2"/>
  <c r="CD124" i="2"/>
  <c r="CD113" i="2"/>
  <c r="CD75" i="2"/>
  <c r="CD134" i="2"/>
  <c r="CD120" i="2"/>
  <c r="CD132" i="2"/>
  <c r="CD7" i="2"/>
  <c r="CD173" i="2"/>
  <c r="CD38" i="2"/>
  <c r="CD109" i="2"/>
  <c r="CD183" i="2"/>
  <c r="CD157" i="2"/>
  <c r="CD47" i="2"/>
  <c r="CD177" i="2"/>
  <c r="CD165" i="2"/>
  <c r="CD117" i="2"/>
  <c r="CD192" i="2"/>
  <c r="CD175" i="2"/>
  <c r="CD116" i="2"/>
  <c r="CD108" i="2"/>
  <c r="CD178" i="2"/>
  <c r="CD44" i="2"/>
  <c r="CD156" i="2"/>
  <c r="CD135" i="2"/>
  <c r="CD71" i="2"/>
  <c r="CD8" i="2"/>
  <c r="CD146" i="2"/>
  <c r="CD16" i="2"/>
  <c r="CD19" i="2"/>
  <c r="CD25" i="2"/>
  <c r="CD3" i="2"/>
  <c r="C9" i="4" s="1"/>
  <c r="E9" i="4" s="1"/>
  <c r="F9" i="4" s="1"/>
  <c r="G9" i="4" s="1"/>
  <c r="L9" i="4" s="1"/>
  <c r="CD48" i="2"/>
  <c r="CD77" i="2"/>
  <c r="CD28" i="2"/>
  <c r="CD40" i="2"/>
  <c r="CD153" i="2"/>
  <c r="CD195" i="2"/>
  <c r="CD144" i="2"/>
  <c r="CD32" i="2"/>
  <c r="CD172" i="2"/>
  <c r="CD101" i="2"/>
  <c r="CD198" i="2"/>
  <c r="CD110" i="2"/>
  <c r="CD104" i="2"/>
  <c r="CD62" i="2"/>
  <c r="CD148" i="2"/>
  <c r="CD49" i="2"/>
  <c r="CD66" i="2"/>
  <c r="CD31" i="2"/>
  <c r="CD123" i="2"/>
  <c r="CD83" i="2"/>
  <c r="CD193" i="2"/>
  <c r="CD4" i="2"/>
  <c r="CD26" i="2"/>
  <c r="CD152" i="2"/>
  <c r="CD102" i="2"/>
  <c r="CD72" i="2"/>
  <c r="CD87" i="2"/>
  <c r="CD190" i="2"/>
  <c r="CD69" i="2"/>
  <c r="CD64" i="2"/>
  <c r="CD133" i="2"/>
  <c r="CD118" i="2"/>
  <c r="CD93" i="2"/>
  <c r="CD141" i="2"/>
  <c r="CD56" i="2"/>
  <c r="CD149" i="2"/>
  <c r="CD191" i="2"/>
  <c r="CD163" i="2"/>
  <c r="CD63" i="2"/>
  <c r="CD94" i="2"/>
  <c r="CD57" i="2"/>
  <c r="CD41" i="2"/>
  <c r="CD128" i="2"/>
  <c r="CD140" i="2"/>
  <c r="CD143" i="2"/>
  <c r="CD130" i="2"/>
  <c r="CD14" i="2"/>
  <c r="CD199" i="2"/>
  <c r="CD166" i="2"/>
  <c r="CD36" i="2"/>
  <c r="CD142" i="2"/>
  <c r="CD22" i="2"/>
  <c r="CD100" i="2"/>
  <c r="CD111" i="2"/>
  <c r="CD27" i="2"/>
  <c r="CD150" i="2"/>
  <c r="CD91" i="2"/>
  <c r="CD34" i="2"/>
  <c r="CD106" i="2"/>
  <c r="CD137" i="2"/>
  <c r="CD70" i="2"/>
  <c r="CD151" i="2"/>
  <c r="CD168" i="2"/>
  <c r="CD136" i="2"/>
  <c r="CD145" i="2"/>
  <c r="CD65" i="2"/>
  <c r="CD78" i="2"/>
  <c r="CD15" i="2"/>
  <c r="CD55" i="2"/>
  <c r="CD13" i="2"/>
  <c r="CD52" i="2"/>
  <c r="CD182" i="2"/>
  <c r="CD162" i="2"/>
  <c r="CD37" i="2"/>
  <c r="CD188" i="2"/>
  <c r="CD160" i="2"/>
  <c r="CD86" i="2"/>
  <c r="CD129" i="2"/>
  <c r="CD200" i="2"/>
  <c r="CD12" i="2"/>
  <c r="CD39" i="2"/>
  <c r="CD29" i="2"/>
  <c r="CD187" i="2"/>
  <c r="CD89" i="2"/>
  <c r="CD125" i="2"/>
  <c r="CD92" i="2"/>
  <c r="CD5" i="2"/>
  <c r="CD20" i="2"/>
  <c r="CD9" i="2"/>
  <c r="CD201" i="2"/>
  <c r="CD46" i="2"/>
  <c r="CD174" i="2"/>
  <c r="CD154" i="2"/>
  <c r="CD54" i="2"/>
  <c r="CD158" i="2"/>
  <c r="CD185" i="2"/>
  <c r="CD202" i="2"/>
  <c r="CD81" i="2"/>
  <c r="CD179" i="2"/>
  <c r="CD167" i="2"/>
  <c r="CD170" i="2"/>
  <c r="CD82" i="2"/>
  <c r="CD67" i="2"/>
  <c r="CD176" i="2"/>
  <c r="CD97" i="2"/>
  <c r="CD79" i="2"/>
  <c r="CD53" i="2"/>
  <c r="CD164" i="2"/>
  <c r="CD73" i="2"/>
  <c r="CD30" i="2"/>
  <c r="CD84" i="2"/>
  <c r="CD119" i="2"/>
  <c r="CD35" i="2"/>
  <c r="CD6" i="2"/>
  <c r="CD99" i="2"/>
  <c r="CD189" i="2"/>
  <c r="CD161" i="2"/>
  <c r="CD10" i="2"/>
  <c r="CD98" i="2"/>
  <c r="CD131" i="2"/>
  <c r="CD196" i="2"/>
  <c r="CD11" i="2"/>
  <c r="CD24" i="2"/>
  <c r="CD126" i="2"/>
  <c r="CD85" i="2"/>
  <c r="CD50" i="2"/>
  <c r="CD80" i="2"/>
  <c r="DT158" i="2"/>
  <c r="DT186" i="2"/>
  <c r="DT165" i="2"/>
  <c r="DT37" i="2"/>
  <c r="DT121" i="2"/>
  <c r="DT105" i="2"/>
  <c r="DT86" i="2"/>
  <c r="DT13" i="2"/>
  <c r="DT8" i="2"/>
  <c r="DT180" i="2"/>
  <c r="DT161" i="2"/>
  <c r="DT107" i="2"/>
  <c r="DT178" i="2"/>
  <c r="DT35" i="2"/>
  <c r="DT48" i="2"/>
  <c r="DT57" i="2"/>
  <c r="DT27" i="2"/>
  <c r="DT139" i="2"/>
  <c r="DT171" i="2"/>
  <c r="DT110" i="2"/>
  <c r="DT145" i="2"/>
  <c r="DT49" i="2"/>
  <c r="DT124" i="2"/>
  <c r="DT61" i="2"/>
  <c r="DT201" i="2"/>
  <c r="DT187" i="2"/>
  <c r="DT102" i="2"/>
  <c r="DT197" i="2"/>
  <c r="DT143" i="2"/>
  <c r="DT3" i="2"/>
  <c r="C11" i="4" s="1"/>
  <c r="E11" i="4" s="1"/>
  <c r="F11" i="4" s="1"/>
  <c r="G11" i="4" s="1"/>
  <c r="L11" i="4" s="1"/>
  <c r="DT170" i="2"/>
  <c r="DT53" i="2"/>
  <c r="DT142" i="2"/>
  <c r="DT92" i="2"/>
  <c r="DT115" i="2"/>
  <c r="DT155" i="2"/>
  <c r="DT203" i="2"/>
  <c r="DT52" i="2"/>
  <c r="DT43" i="2"/>
  <c r="DT54" i="2"/>
  <c r="DT39" i="2"/>
  <c r="DT199" i="2"/>
  <c r="DT94" i="2"/>
  <c r="DT93" i="2"/>
  <c r="DT157" i="2"/>
  <c r="DT117" i="2"/>
  <c r="DT193" i="2"/>
  <c r="DT15" i="2"/>
  <c r="DT38" i="2"/>
  <c r="DT5" i="2"/>
  <c r="DT69" i="2"/>
  <c r="DT164" i="2"/>
  <c r="DT149" i="2"/>
  <c r="DT88" i="2"/>
  <c r="DT64" i="2"/>
  <c r="DT99" i="2"/>
  <c r="DT65" i="2"/>
  <c r="DT60" i="2"/>
  <c r="DT131" i="2"/>
  <c r="DT160" i="2"/>
  <c r="DT146" i="2"/>
  <c r="DT128" i="2"/>
  <c r="DT46" i="2"/>
  <c r="DT42" i="2"/>
  <c r="DT136" i="2"/>
  <c r="DT34" i="2"/>
  <c r="DT148" i="2"/>
  <c r="DT28" i="2"/>
  <c r="DT198" i="2"/>
  <c r="DT100" i="2"/>
  <c r="DT138" i="2"/>
  <c r="DT190" i="2"/>
  <c r="DT84" i="2"/>
  <c r="DT19" i="2"/>
  <c r="DT41" i="2"/>
  <c r="DT196" i="2"/>
  <c r="DT147" i="2"/>
  <c r="DT70" i="2"/>
  <c r="DT40" i="2"/>
  <c r="DT83" i="2"/>
  <c r="DT134" i="2"/>
  <c r="DT90" i="2"/>
  <c r="DT125" i="2"/>
  <c r="DT156" i="2"/>
  <c r="DT73" i="2"/>
  <c r="DT174" i="2"/>
  <c r="DT130" i="2"/>
  <c r="DT122" i="2"/>
  <c r="DT98" i="2"/>
  <c r="DT163" i="2"/>
  <c r="DT62" i="2"/>
  <c r="DT45" i="2"/>
  <c r="DT17" i="2"/>
  <c r="DT159" i="2"/>
  <c r="DT50" i="2"/>
  <c r="DT183" i="2"/>
  <c r="DT72" i="2"/>
  <c r="DT114" i="2"/>
  <c r="DT96" i="2"/>
  <c r="DT135" i="2"/>
  <c r="DT10" i="2"/>
  <c r="DT81" i="2"/>
  <c r="DT44" i="2"/>
  <c r="DT78" i="2"/>
  <c r="DT133" i="2"/>
  <c r="DT68" i="2"/>
  <c r="DT55" i="2"/>
  <c r="DT118" i="2"/>
  <c r="DT172" i="2"/>
  <c r="DT47" i="2"/>
  <c r="DT179" i="2"/>
  <c r="DT181" i="2"/>
  <c r="DT36" i="2"/>
  <c r="DT76" i="2"/>
  <c r="DT23" i="2"/>
  <c r="DT22" i="2"/>
  <c r="DT151" i="2"/>
  <c r="DT127" i="2"/>
  <c r="DT6" i="2"/>
  <c r="DT154" i="2"/>
  <c r="DT51" i="2"/>
  <c r="DT25" i="2"/>
  <c r="DT189" i="2"/>
  <c r="DT191" i="2"/>
  <c r="DT177" i="2"/>
  <c r="DT59" i="2"/>
  <c r="DT116" i="2"/>
  <c r="DT184" i="2"/>
  <c r="DT152" i="2"/>
  <c r="DT29" i="2"/>
  <c r="DT95" i="2"/>
  <c r="DT101" i="2"/>
  <c r="DT113" i="2"/>
  <c r="DT75" i="2"/>
  <c r="DT63" i="2"/>
  <c r="DT20" i="2"/>
  <c r="DT111" i="2"/>
  <c r="DT16" i="2"/>
  <c r="DT97" i="2"/>
  <c r="DT119" i="2"/>
  <c r="DT66" i="2"/>
  <c r="DT26" i="2"/>
  <c r="DT12" i="2"/>
  <c r="DT79" i="2"/>
  <c r="DT153" i="2"/>
  <c r="DT182" i="2"/>
  <c r="DT109" i="2"/>
  <c r="DT140" i="2"/>
  <c r="DT80" i="2"/>
  <c r="DT123" i="2"/>
  <c r="DT82" i="2"/>
  <c r="DT150" i="2"/>
  <c r="DT104" i="2"/>
  <c r="DT31" i="2"/>
  <c r="DT126" i="2"/>
  <c r="DT106" i="2"/>
  <c r="DT87" i="2"/>
  <c r="DT74" i="2"/>
  <c r="DT169" i="2"/>
  <c r="DT9" i="2"/>
  <c r="DT137" i="2"/>
  <c r="DT167" i="2"/>
  <c r="DT200" i="2"/>
  <c r="DT141" i="2"/>
  <c r="DT188" i="2"/>
  <c r="DT85" i="2"/>
  <c r="DT91" i="2"/>
  <c r="DT4" i="2"/>
  <c r="DT33" i="2"/>
  <c r="DT120" i="2"/>
  <c r="DT144" i="2"/>
  <c r="DT18" i="2"/>
  <c r="DT166" i="2"/>
  <c r="DT192" i="2"/>
  <c r="DT195" i="2"/>
  <c r="DT77" i="2"/>
  <c r="DT194" i="2"/>
  <c r="DT129" i="2"/>
  <c r="DT185" i="2"/>
  <c r="DT108" i="2"/>
  <c r="DT7" i="2"/>
  <c r="DT67" i="2"/>
  <c r="DT71" i="2"/>
  <c r="DT89" i="2"/>
  <c r="DT21" i="2"/>
  <c r="DT175" i="2"/>
  <c r="DT112" i="2"/>
  <c r="DT162" i="2"/>
  <c r="DT56" i="2"/>
  <c r="DT24" i="2"/>
  <c r="DT173" i="2"/>
  <c r="DT202" i="2"/>
  <c r="DT168" i="2"/>
  <c r="DT14" i="2"/>
  <c r="DT132" i="2"/>
  <c r="DT32" i="2"/>
  <c r="DT30" i="2"/>
  <c r="DT58" i="2"/>
  <c r="DT11" i="2"/>
  <c r="DT103" i="2"/>
  <c r="DT176" i="2"/>
  <c r="CY24" i="2"/>
  <c r="CY183" i="2"/>
  <c r="CY159" i="2"/>
  <c r="CY36" i="2"/>
  <c r="CY182" i="2"/>
  <c r="CY30" i="2"/>
  <c r="CY38" i="2"/>
  <c r="CY138" i="2"/>
  <c r="CY66" i="2"/>
  <c r="CY53" i="2"/>
  <c r="CY78" i="2"/>
  <c r="CY177" i="2"/>
  <c r="CY17" i="2"/>
  <c r="CY79" i="2"/>
  <c r="CY187" i="2"/>
  <c r="CY106" i="2"/>
  <c r="CY16" i="2"/>
  <c r="CY157" i="2"/>
  <c r="CY4" i="2"/>
  <c r="CY54" i="2"/>
  <c r="CY21" i="2"/>
  <c r="CY35" i="2"/>
  <c r="CY62" i="2"/>
  <c r="CY149" i="2"/>
  <c r="CY47" i="2"/>
  <c r="CY18" i="2"/>
  <c r="CY25" i="2"/>
  <c r="CY86" i="2"/>
  <c r="CY117" i="2"/>
  <c r="CY175" i="2"/>
  <c r="CY85" i="2"/>
  <c r="CY179" i="2"/>
  <c r="CY90" i="2"/>
  <c r="CY77" i="2"/>
  <c r="CY104" i="2"/>
  <c r="CY110" i="2"/>
  <c r="CY194" i="2"/>
  <c r="CY15" i="2"/>
  <c r="CY130" i="2"/>
  <c r="CY171" i="2"/>
  <c r="CY125" i="2"/>
  <c r="CY9" i="2"/>
  <c r="CY203" i="2"/>
  <c r="CY97" i="2"/>
  <c r="CY57" i="2"/>
  <c r="CY195" i="2"/>
  <c r="CY196" i="2"/>
  <c r="CY185" i="2"/>
  <c r="CY162" i="2"/>
  <c r="CY49" i="2"/>
  <c r="CY118" i="2"/>
  <c r="CY147" i="2"/>
  <c r="CY11" i="2"/>
  <c r="CY131" i="2"/>
  <c r="CY148" i="2"/>
  <c r="CY52" i="2"/>
  <c r="CY92" i="2"/>
  <c r="CY151" i="2"/>
  <c r="CY153" i="2"/>
  <c r="CY73" i="2"/>
  <c r="CY43" i="2"/>
  <c r="CY83" i="2"/>
  <c r="CY142" i="2"/>
  <c r="CY193" i="2"/>
  <c r="CY19" i="2"/>
  <c r="CY123" i="2"/>
  <c r="CY67" i="2"/>
  <c r="CY45" i="2"/>
  <c r="CY186" i="2"/>
  <c r="CY59" i="2"/>
  <c r="CY176" i="2"/>
  <c r="CY172" i="2"/>
  <c r="CY88" i="2"/>
  <c r="CY115" i="2"/>
  <c r="CY40" i="2"/>
  <c r="CY64" i="2"/>
  <c r="CY63" i="2"/>
  <c r="CY111" i="2"/>
  <c r="CY44" i="2"/>
  <c r="CY135" i="2"/>
  <c r="CY33" i="2"/>
  <c r="CY188" i="2"/>
  <c r="CY173" i="2"/>
  <c r="CY164" i="2"/>
  <c r="CY26" i="2"/>
  <c r="CY99" i="2"/>
  <c r="CY126" i="2"/>
  <c r="CY10" i="2"/>
  <c r="CY94" i="2"/>
  <c r="CY201" i="2"/>
  <c r="CY199" i="2"/>
  <c r="CY51" i="2"/>
  <c r="CY100" i="2"/>
  <c r="CY197" i="2"/>
  <c r="CY160" i="2"/>
  <c r="CY120" i="2"/>
  <c r="CY6" i="2"/>
  <c r="CY121" i="2"/>
  <c r="CY12" i="2"/>
  <c r="CY184" i="2"/>
  <c r="CY34" i="2"/>
  <c r="CY165" i="2"/>
  <c r="CY139" i="2"/>
  <c r="CY144" i="2"/>
  <c r="CY69" i="2"/>
  <c r="CY143" i="2"/>
  <c r="CY192" i="2"/>
  <c r="CY166" i="2"/>
  <c r="CY167" i="2"/>
  <c r="CY42" i="2"/>
  <c r="CY109" i="2"/>
  <c r="CY114" i="2"/>
  <c r="CY76" i="2"/>
  <c r="CY3" i="2"/>
  <c r="C10" i="4" s="1"/>
  <c r="E10" i="4" s="1"/>
  <c r="F10" i="4" s="1"/>
  <c r="G10" i="4" s="1"/>
  <c r="L10" i="4" s="1"/>
  <c r="CY140" i="2"/>
  <c r="CY181" i="2"/>
  <c r="CY80" i="2"/>
  <c r="CY5" i="2"/>
  <c r="CY46" i="2"/>
  <c r="CY28" i="2"/>
  <c r="CY154" i="2"/>
  <c r="CY8" i="2"/>
  <c r="CY129" i="2"/>
  <c r="CY75" i="2"/>
  <c r="CY32" i="2"/>
  <c r="CY141" i="2"/>
  <c r="CY102" i="2"/>
  <c r="CY14" i="2"/>
  <c r="CY119" i="2"/>
  <c r="CY72" i="2"/>
  <c r="CY134" i="2"/>
  <c r="CY58" i="2"/>
  <c r="CY133" i="2"/>
  <c r="CY178" i="2"/>
  <c r="CY174" i="2"/>
  <c r="CY87" i="2"/>
  <c r="CY116" i="2"/>
  <c r="CY96" i="2"/>
  <c r="CY180" i="2"/>
  <c r="CY89" i="2"/>
  <c r="CY190" i="2"/>
  <c r="CY56" i="2"/>
  <c r="CY156" i="2"/>
  <c r="CY112" i="2"/>
  <c r="CY170" i="2"/>
  <c r="CY191" i="2"/>
  <c r="CY50" i="2"/>
  <c r="CY48" i="2"/>
  <c r="CY68" i="2"/>
  <c r="CY81" i="2"/>
  <c r="CY150" i="2"/>
  <c r="CY101" i="2"/>
  <c r="CY29" i="2"/>
  <c r="CY128" i="2"/>
  <c r="CY163" i="2"/>
  <c r="CY161" i="2"/>
  <c r="CY200" i="2"/>
  <c r="CY20" i="2"/>
  <c r="CY108" i="2"/>
  <c r="CY39" i="2"/>
  <c r="CY145" i="2"/>
  <c r="CY13" i="2"/>
  <c r="CY136" i="2"/>
  <c r="CY198" i="2"/>
  <c r="CY152" i="2"/>
  <c r="CY127" i="2"/>
  <c r="CY124" i="2"/>
  <c r="CY113" i="2"/>
  <c r="CY84" i="2"/>
  <c r="CY169" i="2"/>
  <c r="CY27" i="2"/>
  <c r="CY95" i="2"/>
  <c r="CY82" i="2"/>
  <c r="CY31" i="2"/>
  <c r="CY122" i="2"/>
  <c r="CY155" i="2"/>
  <c r="CY74" i="2"/>
  <c r="CY98" i="2"/>
  <c r="CY91" i="2"/>
  <c r="CY70" i="2"/>
  <c r="CY71" i="2"/>
  <c r="CY55" i="2"/>
  <c r="CY132" i="2"/>
  <c r="CY7" i="2"/>
  <c r="CY158" i="2"/>
  <c r="CY60" i="2"/>
  <c r="CY103" i="2"/>
  <c r="CY93" i="2"/>
  <c r="CY168" i="2"/>
  <c r="CY41" i="2"/>
  <c r="CY146" i="2"/>
  <c r="CY137" i="2"/>
  <c r="CY37" i="2"/>
  <c r="CY22" i="2"/>
  <c r="CY23" i="2"/>
  <c r="CY61" i="2"/>
  <c r="CY65" i="2"/>
  <c r="CY189" i="2"/>
  <c r="CY105" i="2"/>
  <c r="CY107" i="2"/>
  <c r="CY202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03" i="2" l="1"/>
  <c r="BI82" i="2"/>
  <c r="BI183" i="2"/>
  <c r="BI85" i="2"/>
  <c r="BI149" i="2"/>
  <c r="BI159" i="2"/>
  <c r="BI123" i="2"/>
  <c r="BI72" i="2"/>
  <c r="BI148" i="2"/>
  <c r="BI60" i="2"/>
  <c r="BI73" i="2"/>
  <c r="BI43" i="2"/>
  <c r="BI191" i="2"/>
  <c r="BI192" i="2"/>
  <c r="BI74" i="2"/>
  <c r="BI3" i="2"/>
  <c r="C8" i="4" s="1"/>
  <c r="E8" i="4" s="1"/>
  <c r="F8" i="4" s="1"/>
  <c r="G8" i="4" s="1"/>
  <c r="L8" i="4" s="1"/>
  <c r="BI172" i="2"/>
  <c r="BI84" i="2"/>
  <c r="BI66" i="2"/>
  <c r="BI25" i="2"/>
  <c r="BI64" i="2"/>
  <c r="BI145" i="2"/>
  <c r="BI121" i="2"/>
  <c r="BI134" i="2"/>
  <c r="BI8" i="2"/>
  <c r="BI14" i="2"/>
  <c r="BI42" i="2"/>
  <c r="BI21" i="2"/>
  <c r="BI78" i="2"/>
  <c r="BI9" i="2"/>
  <c r="BI144" i="2"/>
  <c r="BI132" i="2"/>
  <c r="BI153" i="2"/>
  <c r="BI108" i="2"/>
  <c r="BI112" i="2"/>
  <c r="BI77" i="2"/>
  <c r="BI105" i="2"/>
  <c r="BI92" i="2"/>
  <c r="BI155" i="2"/>
  <c r="BI58" i="2"/>
  <c r="BI177" i="2"/>
  <c r="BI12" i="2"/>
  <c r="BI167" i="2"/>
  <c r="BI37" i="2"/>
  <c r="BI56" i="2"/>
  <c r="BI97" i="2"/>
  <c r="BI10" i="2"/>
  <c r="BI68" i="2"/>
  <c r="BI163" i="2"/>
  <c r="BI96" i="2"/>
  <c r="BI79" i="2"/>
  <c r="BI190" i="2"/>
  <c r="BI62" i="2"/>
  <c r="BI147" i="2"/>
  <c r="BI86" i="2"/>
  <c r="BI176" i="2"/>
  <c r="BI150" i="2"/>
  <c r="BI70" i="2"/>
  <c r="BI28" i="2"/>
  <c r="BI63" i="2"/>
  <c r="BI24" i="2"/>
  <c r="BI194" i="2"/>
  <c r="BI36" i="2"/>
  <c r="BI130" i="2"/>
  <c r="BI201" i="2"/>
  <c r="BI44" i="2"/>
  <c r="BI89" i="2"/>
  <c r="BI119" i="2"/>
  <c r="BI40" i="2"/>
  <c r="BI157" i="2"/>
  <c r="BI31" i="2"/>
  <c r="BI17" i="2"/>
  <c r="BI180" i="2"/>
  <c r="BI189" i="2"/>
  <c r="BI169" i="2"/>
  <c r="BI124" i="2"/>
  <c r="BI39" i="2"/>
  <c r="BI140" i="2"/>
  <c r="BI178" i="2"/>
  <c r="BI5" i="2"/>
  <c r="BI116" i="2"/>
  <c r="BI198" i="2"/>
  <c r="BI41" i="2"/>
  <c r="BI109" i="2"/>
  <c r="BI154" i="2"/>
  <c r="BI135" i="2"/>
  <c r="BI47" i="2"/>
  <c r="BI165" i="2"/>
  <c r="BI27" i="2"/>
  <c r="BI179" i="2"/>
  <c r="BI59" i="2"/>
  <c r="BI139" i="2"/>
  <c r="BI120" i="2"/>
  <c r="BI6" i="2"/>
  <c r="BI128" i="2"/>
  <c r="BI11" i="2"/>
  <c r="BI38" i="2"/>
  <c r="BI4" i="2"/>
  <c r="BI76" i="2"/>
  <c r="BI125" i="2"/>
  <c r="BI50" i="2"/>
  <c r="BI127" i="2"/>
  <c r="BI126" i="2"/>
  <c r="BI142" i="2"/>
  <c r="BI184" i="2"/>
  <c r="BI164" i="2"/>
  <c r="BI55" i="2"/>
  <c r="BI173" i="2"/>
  <c r="BI106" i="2"/>
  <c r="BI80" i="2"/>
  <c r="BI30" i="2"/>
  <c r="BI170" i="2"/>
  <c r="BI166" i="2"/>
  <c r="BI13" i="2"/>
  <c r="BI93" i="2"/>
  <c r="BI193" i="2"/>
  <c r="BI75" i="2"/>
  <c r="BI29" i="2"/>
  <c r="BI182" i="2"/>
  <c r="BI143" i="2"/>
  <c r="BI171" i="2"/>
  <c r="BI7" i="2"/>
  <c r="BI104" i="2"/>
  <c r="BI26" i="2"/>
  <c r="BI57" i="2"/>
  <c r="BI115" i="2"/>
  <c r="BI111" i="2"/>
  <c r="BI162" i="2"/>
  <c r="BI23" i="2"/>
  <c r="BI186" i="2"/>
  <c r="BI91" i="2"/>
  <c r="BI196" i="2"/>
  <c r="BI71" i="2"/>
  <c r="BI45" i="2"/>
  <c r="BI65" i="2"/>
  <c r="BI99" i="2"/>
  <c r="BI174" i="2"/>
  <c r="BI141" i="2"/>
  <c r="BI168" i="2"/>
  <c r="BI35" i="2"/>
  <c r="BI100" i="2"/>
  <c r="BI195" i="2"/>
  <c r="BI15" i="2"/>
  <c r="BI117" i="2"/>
  <c r="BI202" i="2"/>
  <c r="BI88" i="2"/>
  <c r="BI107" i="2"/>
  <c r="BI19" i="2"/>
  <c r="BI187" i="2"/>
  <c r="BI113" i="2"/>
  <c r="BI158" i="2"/>
  <c r="BI175" i="2"/>
  <c r="BI90" i="2"/>
  <c r="BI101" i="2"/>
  <c r="BI197" i="2"/>
  <c r="BI98" i="2"/>
  <c r="BI83" i="2"/>
  <c r="BI95" i="2"/>
  <c r="BI94" i="2"/>
  <c r="BI199" i="2"/>
  <c r="BI20" i="2"/>
  <c r="BI118" i="2"/>
  <c r="BI87" i="2"/>
  <c r="BI18" i="2"/>
  <c r="BI53" i="2"/>
  <c r="BI152" i="2"/>
  <c r="BI52" i="2"/>
  <c r="BI114" i="2"/>
  <c r="BI156" i="2"/>
  <c r="BI22" i="2"/>
  <c r="BI69" i="2"/>
  <c r="BI160" i="2"/>
  <c r="BI33" i="2"/>
  <c r="BI54" i="2"/>
  <c r="BI51" i="2"/>
  <c r="BI136" i="2"/>
  <c r="BI146" i="2"/>
  <c r="BI129" i="2"/>
  <c r="BI133" i="2"/>
  <c r="BI138" i="2"/>
  <c r="BI81" i="2"/>
  <c r="BI67" i="2"/>
  <c r="BI32" i="2"/>
  <c r="BI200" i="2"/>
  <c r="BI61" i="2"/>
  <c r="BI16" i="2"/>
  <c r="BI137" i="2"/>
  <c r="BI49" i="2"/>
  <c r="BI188" i="2"/>
  <c r="BI185" i="2"/>
  <c r="BI110" i="2"/>
  <c r="BI48" i="2"/>
  <c r="BI203" i="2"/>
  <c r="BI181" i="2"/>
  <c r="BI34" i="2"/>
  <c r="BI122" i="2"/>
  <c r="BI161" i="2"/>
  <c r="BI46" i="2"/>
  <c r="BI102" i="2"/>
  <c r="BI131" i="2"/>
  <c r="BI151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<sst xmlns="http://schemas.openxmlformats.org/spreadsheetml/2006/main" count="1174" uniqueCount="324">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</sst>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3.1463256798428652</c:v>
                </c:pt>
                <c:pt idx="2">
                  <c:v>4.4332159935494238</c:v>
                </c:pt>
                <c:pt idx="3">
                  <c:v>6.2487139749565381</c:v>
                </c:pt>
                <c:pt idx="4">
                  <c:v>8.8108200015367082</c:v>
                </c:pt>
                <c:pt idx="5">
                  <c:v>12.427771710375517</c:v>
                </c:pt>
                <c:pt idx="6">
                  <c:v>17.535523238916209</c:v>
                </c:pt>
                <c:pt idx="7">
                  <c:v>24.750839551757284</c:v>
                </c:pt>
                <c:pt idx="8">
                  <c:v>34.946529982645565</c:v>
                </c:pt>
                <c:pt idx="9">
                  <c:v>49.358077911135503</c:v>
                </c:pt>
                <c:pt idx="10">
                  <c:v>69.734803600053766</c:v>
                </c:pt>
                <c:pt idx="11">
                  <c:v>90.203304019109893</c:v>
                </c:pt>
                <c:pt idx="12">
                  <c:v>110.55482267025504</c:v>
                </c:pt>
                <c:pt idx="13">
                  <c:v>130.81405145417179</c:v>
                </c:pt>
                <c:pt idx="14">
                  <c:v>150.99733996220459</c:v>
                </c:pt>
                <c:pt idx="15">
                  <c:v>171.1162849602724</c:v>
                </c:pt>
                <c:pt idx="16">
                  <c:v>136.5334356381903</c:v>
                </c:pt>
                <c:pt idx="17">
                  <c:v>158.97616013715958</c:v>
                </c:pt>
                <c:pt idx="18">
                  <c:v>181.34368368345903</c:v>
                </c:pt>
                <c:pt idx="19">
                  <c:v>203.64659563079599</c:v>
                </c:pt>
                <c:pt idx="20">
                  <c:v>225.89297020726829</c:v>
                </c:pt>
                <c:pt idx="21">
                  <c:v>192.69166645650375</c:v>
                </c:pt>
                <c:pt idx="22">
                  <c:v>214.21082329400193</c:v>
                </c:pt>
                <c:pt idx="23">
                  <c:v>235.68019914177421</c:v>
                </c:pt>
                <c:pt idx="24">
                  <c:v>257.10496630927094</c:v>
                </c:pt>
                <c:pt idx="25">
                  <c:v>278.48936400091276</c:v>
                </c:pt>
                <c:pt idx="26">
                  <c:v>240.94637860003544</c:v>
                </c:pt>
                <c:pt idx="27">
                  <c:v>261.61017170872901</c:v>
                </c:pt>
                <c:pt idx="28">
                  <c:v>282.23712370144091</c:v>
                </c:pt>
                <c:pt idx="29">
                  <c:v>302.8303048722828</c:v>
                </c:pt>
                <c:pt idx="30">
                  <c:v>323.39233379750692</c:v>
                </c:pt>
                <c:pt idx="31">
                  <c:v>282.98654127638628</c:v>
                </c:pt>
                <c:pt idx="32">
                  <c:v>302.45616879398887</c:v>
                </c:pt>
                <c:pt idx="33">
                  <c:v>321.89791317588953</c:v>
                </c:pt>
                <c:pt idx="34">
                  <c:v>341.31369475960304</c:v>
                </c:pt>
                <c:pt idx="35">
                  <c:v>360.70519760433922</c:v>
                </c:pt>
                <c:pt idx="36">
                  <c:v>319.28230720978155</c:v>
                </c:pt>
                <c:pt idx="37">
                  <c:v>337.58182519139058</c:v>
                </c:pt>
                <c:pt idx="38">
                  <c:v>355.85951361436696</c:v>
                </c:pt>
                <c:pt idx="39">
                  <c:v>374.11665105684864</c:v>
                </c:pt>
                <c:pt idx="40">
                  <c:v>392.35438115419737</c:v>
                </c:pt>
                <c:pt idx="41">
                  <c:v>351.01238382795663</c:v>
                </c:pt>
                <c:pt idx="42">
                  <c:v>367.41226056988836</c:v>
                </c:pt>
                <c:pt idx="43">
                  <c:v>383.79616295666938</c:v>
                </c:pt>
                <c:pt idx="44">
                  <c:v>400.16486874659699</c:v>
                </c:pt>
                <c:pt idx="45">
                  <c:v>416.51908689232158</c:v>
                </c:pt>
                <c:pt idx="46">
                  <c:v>375.97851488636047</c:v>
                </c:pt>
                <c:pt idx="47">
                  <c:v>391.23832354179859</c:v>
                </c:pt>
                <c:pt idx="48">
                  <c:v>406.48522456571527</c:v>
                </c:pt>
                <c:pt idx="49">
                  <c:v>421.71977019610949</c:v>
                </c:pt>
                <c:pt idx="50">
                  <c:v>436.94246952460452</c:v>
                </c:pt>
                <c:pt idx="51">
                  <c:v>398.67741344442743</c:v>
                </c:pt>
                <c:pt idx="52">
                  <c:v>412.43185413738075</c:v>
                </c:pt>
                <c:pt idx="53">
                  <c:v>426.17639891086469</c:v>
                </c:pt>
                <c:pt idx="54">
                  <c:v>439.91141184608824</c:v>
                </c:pt>
                <c:pt idx="55">
                  <c:v>453.63723243721955</c:v>
                </c:pt>
                <c:pt idx="56">
                  <c:v>417.6336362599788</c:v>
                </c:pt>
                <c:pt idx="57">
                  <c:v>429.88948992506448</c:v>
                </c:pt>
                <c:pt idx="58">
                  <c:v>442.1378364455868</c:v>
                </c:pt>
                <c:pt idx="59">
                  <c:v>454.37891309932888</c:v>
                </c:pt>
                <c:pt idx="60">
                  <c:v>466.61294333655428</c:v>
                </c:pt>
                <c:pt idx="61">
                  <c:v>433.2306823305874</c:v>
                </c:pt>
                <c:pt idx="62">
                  <c:v>444.3640207556935</c:v>
                </c:pt>
                <c:pt idx="63">
                  <c:v>455.49138558575561</c:v>
                </c:pt>
                <c:pt idx="64">
                  <c:v>466.61294333655428</c:v>
                </c:pt>
                <c:pt idx="65">
                  <c:v>477.72885193803239</c:v>
                </c:pt>
                <c:pt idx="66">
                  <c:v>446.96093391901189</c:v>
                </c:pt>
                <c:pt idx="67">
                  <c:v>456.97459194094745</c:v>
                </c:pt>
                <c:pt idx="68">
                  <c:v>466.983563784024</c:v>
                </c:pt>
                <c:pt idx="69">
                  <c:v>476.98796406826068</c:v>
                </c:pt>
                <c:pt idx="70">
                  <c:v>486.98790221252966</c:v>
                </c:pt>
                <c:pt idx="71">
                  <c:v>457.34537744583645</c:v>
                </c:pt>
                <c:pt idx="72">
                  <c:v>466.61294333655451</c:v>
                </c:pt>
                <c:pt idx="73">
                  <c:v>475.87658634735868</c:v>
                </c:pt>
                <c:pt idx="74">
                  <c:v>485.13639362991444</c:v>
                </c:pt>
                <c:pt idx="75">
                  <c:v>494.39244873679655</c:v>
                </c:pt>
                <c:pt idx="76">
                  <c:v>467.35417796108709</c:v>
                </c:pt>
                <c:pt idx="77">
                  <c:v>475.50611484095458</c:v>
                </c:pt>
                <c:pt idx="78">
                  <c:v>483.65507874042197</c:v>
                </c:pt>
                <c:pt idx="79">
                  <c:v>491.8011268325622</c:v>
                </c:pt>
                <c:pt idx="80">
                  <c:v>499.94431424130994</c:v>
                </c:pt>
                <c:pt idx="81">
                  <c:v>475.87658634735857</c:v>
                </c:pt>
                <c:pt idx="82">
                  <c:v>483.28473497109502</c:v>
                </c:pt>
                <c:pt idx="83">
                  <c:v>490.69047175093164</c:v>
                </c:pt>
                <c:pt idx="84">
                  <c:v>498.09383823712568</c:v>
                </c:pt>
                <c:pt idx="85">
                  <c:v>505.49487464351961</c:v>
                </c:pt>
                <c:pt idx="86">
                  <c:v>482.17366746606058</c:v>
                </c:pt>
                <c:pt idx="87">
                  <c:v>488.46900146193275</c:v>
                </c:pt>
                <c:pt idx="88">
                  <c:v>494.76261404078542</c:v>
                </c:pt>
                <c:pt idx="89">
                  <c:v>501.05453020073901</c:v>
                </c:pt>
                <c:pt idx="90">
                  <c:v>507.34477426054747</c:v>
                </c:pt>
                <c:pt idx="91">
                  <c:v>487.35818597735943</c:v>
                </c:pt>
                <c:pt idx="92">
                  <c:v>493.28191755597277</c:v>
                </c:pt>
                <c:pt idx="93">
                  <c:v>499.20414127497389</c:v>
                </c:pt>
                <c:pt idx="94">
                  <c:v>505.12487755644207</c:v>
                </c:pt>
                <c:pt idx="95">
                  <c:v>511.04414630438487</c:v>
                </c:pt>
                <c:pt idx="96">
                  <c:v>492.91172872261944</c:v>
                </c:pt>
                <c:pt idx="97">
                  <c:v>498.83404607906238</c:v>
                </c:pt>
                <c:pt idx="98">
                  <c:v>504.7548747369737</c:v>
                </c:pt>
                <c:pt idx="99">
                  <c:v>510.67423463217045</c:v>
                </c:pt>
                <c:pt idx="100">
                  <c:v>516.59214520035391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2.8875888423264051</c:v>
                </c:pt>
                <c:pt idx="2">
                  <c:v>3.2824237588845584</c:v>
                </c:pt>
                <c:pt idx="3">
                  <c:v>3.7314372891226193</c:v>
                </c:pt>
                <c:pt idx="4">
                  <c:v>4.2420884748581491</c:v>
                </c:pt>
                <c:pt idx="5">
                  <c:v>4.8228664781159045</c:v>
                </c:pt>
                <c:pt idx="6">
                  <c:v>5.4834332560231127</c:v>
                </c:pt>
                <c:pt idx="7">
                  <c:v>6.2347860494714276</c:v>
                </c:pt>
                <c:pt idx="8">
                  <c:v>7.0894424439176804</c:v>
                </c:pt>
                <c:pt idx="9">
                  <c:v>8.0616511455658273</c:v>
                </c:pt>
                <c:pt idx="10">
                  <c:v>9.1676320548526427</c:v>
                </c:pt>
                <c:pt idx="11">
                  <c:v>10.425849719187742</c:v>
                </c:pt>
                <c:pt idx="12">
                  <c:v>11.857324816868635</c:v>
                </c:pt>
                <c:pt idx="13">
                  <c:v>13.485988973805474</c:v>
                </c:pt>
                <c:pt idx="14">
                  <c:v>15.339088955324259</c:v>
                </c:pt>
                <c:pt idx="15">
                  <c:v>17.447647119617695</c:v>
                </c:pt>
                <c:pt idx="16">
                  <c:v>19.846985981914891</c:v>
                </c:pt>
                <c:pt idx="17">
                  <c:v>22.577325835721691</c:v>
                </c:pt>
                <c:pt idx="18">
                  <c:v>25.68446562844774</c:v>
                </c:pt>
                <c:pt idx="19">
                  <c:v>29.220558714945312</c:v>
                </c:pt>
                <c:pt idx="20">
                  <c:v>33.24499673852975</c:v>
                </c:pt>
                <c:pt idx="21">
                  <c:v>37.825416742977161</c:v>
                </c:pt>
                <c:pt idx="22">
                  <c:v>43.038848732792189</c:v>
                </c:pt>
                <c:pt idx="23">
                  <c:v>48.973023309190324</c:v>
                </c:pt>
                <c:pt idx="24">
                  <c:v>55.727861757362895</c:v>
                </c:pt>
                <c:pt idx="25">
                  <c:v>63.417174094153772</c:v>
                </c:pt>
                <c:pt idx="26">
                  <c:v>72.170594158420201</c:v>
                </c:pt>
                <c:pt idx="27">
                  <c:v>82.135784900834963</c:v>
                </c:pt>
                <c:pt idx="28">
                  <c:v>93.480951676161524</c:v>
                </c:pt>
                <c:pt idx="29">
                  <c:v>106.39770663946034</c:v>
                </c:pt>
                <c:pt idx="30">
                  <c:v>121.10433338993421</c:v>
                </c:pt>
                <c:pt idx="31">
                  <c:v>132.44876587407171</c:v>
                </c:pt>
                <c:pt idx="32">
                  <c:v>143.76974745978904</c:v>
                </c:pt>
                <c:pt idx="33">
                  <c:v>155.06938697591292</c:v>
                </c:pt>
                <c:pt idx="34">
                  <c:v>166.34946025802392</c:v>
                </c:pt>
                <c:pt idx="35">
                  <c:v>177.61148225294497</c:v>
                </c:pt>
                <c:pt idx="36">
                  <c:v>188.85675982725391</c:v>
                </c:pt>
                <c:pt idx="37">
                  <c:v>200.08643130981031</c:v>
                </c:pt>
                <c:pt idx="38">
                  <c:v>211.30149667418831</c:v>
                </c:pt>
                <c:pt idx="39">
                  <c:v>222.50284096633979</c:v>
                </c:pt>
                <c:pt idx="40">
                  <c:v>233.69125276028578</c:v>
                </c:pt>
                <c:pt idx="41">
                  <c:v>187.56004452662785</c:v>
                </c:pt>
                <c:pt idx="42">
                  <c:v>199.65479696514799</c:v>
                </c:pt>
                <c:pt idx="43">
                  <c:v>211.73256599717899</c:v>
                </c:pt>
                <c:pt idx="44">
                  <c:v>223.79445748130729</c:v>
                </c:pt>
                <c:pt idx="45">
                  <c:v>235.84144823137376</c:v>
                </c:pt>
                <c:pt idx="46">
                  <c:v>247.87440704039238</c:v>
                </c:pt>
                <c:pt idx="47">
                  <c:v>259.89411140327815</c:v>
                </c:pt>
                <c:pt idx="48">
                  <c:v>271.9012609806943</c:v>
                </c:pt>
                <c:pt idx="49">
                  <c:v>283.89648855794519</c:v>
                </c:pt>
                <c:pt idx="50">
                  <c:v>295.88036905328914</c:v>
                </c:pt>
                <c:pt idx="51">
                  <c:v>247.87440704039238</c:v>
                </c:pt>
                <c:pt idx="52">
                  <c:v>259.89411140327809</c:v>
                </c:pt>
                <c:pt idx="53">
                  <c:v>271.9012609806943</c:v>
                </c:pt>
                <c:pt idx="54">
                  <c:v>283.89648855794513</c:v>
                </c:pt>
                <c:pt idx="55">
                  <c:v>295.88036905328909</c:v>
                </c:pt>
                <c:pt idx="56">
                  <c:v>307.85342698942821</c:v>
                </c:pt>
                <c:pt idx="57">
                  <c:v>319.81614274115583</c:v>
                </c:pt>
                <c:pt idx="58">
                  <c:v>331.76895779885047</c:v>
                </c:pt>
                <c:pt idx="59">
                  <c:v>343.71227923344219</c:v>
                </c:pt>
                <c:pt idx="60">
                  <c:v>355.64648350810177</c:v>
                </c:pt>
                <c:pt idx="61">
                  <c:v>306.99855700209656</c:v>
                </c:pt>
                <c:pt idx="62">
                  <c:v>318.10779941827195</c:v>
                </c:pt>
                <c:pt idx="63">
                  <c:v>329.20845287578493</c:v>
                </c:pt>
                <c:pt idx="64">
                  <c:v>340.30084792807554</c:v>
                </c:pt>
                <c:pt idx="65">
                  <c:v>351.38529181133816</c:v>
                </c:pt>
                <c:pt idx="66">
                  <c:v>362.46207078875068</c:v>
                </c:pt>
                <c:pt idx="67">
                  <c:v>373.53145219308021</c:v>
                </c:pt>
                <c:pt idx="68">
                  <c:v>384.5936862144477</c:v>
                </c:pt>
                <c:pt idx="69">
                  <c:v>395.64900747161136</c:v>
                </c:pt>
                <c:pt idx="70">
                  <c:v>406.6976363984254</c:v>
                </c:pt>
                <c:pt idx="71">
                  <c:v>357.13763565807432</c:v>
                </c:pt>
                <c:pt idx="72">
                  <c:v>367.14615856720428</c:v>
                </c:pt>
                <c:pt idx="73">
                  <c:v>377.14872642721144</c:v>
                </c:pt>
                <c:pt idx="74">
                  <c:v>387.14551950995337</c:v>
                </c:pt>
                <c:pt idx="75">
                  <c:v>397.13670801387667</c:v>
                </c:pt>
                <c:pt idx="76">
                  <c:v>407.12245287163904</c:v>
                </c:pt>
                <c:pt idx="77">
                  <c:v>417.10290647433982</c:v>
                </c:pt>
                <c:pt idx="78">
                  <c:v>427.07821332280338</c:v>
                </c:pt>
                <c:pt idx="79">
                  <c:v>437.04851061482668</c:v>
                </c:pt>
                <c:pt idx="80">
                  <c:v>447.01392877603877</c:v>
                </c:pt>
                <c:pt idx="81">
                  <c:v>396.71166305865222</c:v>
                </c:pt>
                <c:pt idx="82">
                  <c:v>405.84797466597297</c:v>
                </c:pt>
                <c:pt idx="83">
                  <c:v>414.97984151769521</c:v>
                </c:pt>
                <c:pt idx="84">
                  <c:v>424.10737525778148</c:v>
                </c:pt>
                <c:pt idx="85">
                  <c:v>433.23068233058666</c:v>
                </c:pt>
                <c:pt idx="86">
                  <c:v>442.34986432978945</c:v>
                </c:pt>
                <c:pt idx="87">
                  <c:v>451.46501831704364</c:v>
                </c:pt>
                <c:pt idx="88">
                  <c:v>460.57623711354853</c:v>
                </c:pt>
                <c:pt idx="89">
                  <c:v>469.68360956734114</c:v>
                </c:pt>
                <c:pt idx="90">
                  <c:v>478.78722079877406</c:v>
                </c:pt>
                <c:pt idx="91">
                  <c:v>427.29039899318741</c:v>
                </c:pt>
                <c:pt idx="92">
                  <c:v>435.1396863664466</c:v>
                </c:pt>
                <c:pt idx="93">
                  <c:v>442.98593491742645</c:v>
                </c:pt>
                <c:pt idx="94">
                  <c:v>450.82920608930732</c:v>
                </c:pt>
                <c:pt idx="95">
                  <c:v>458.669559011893</c:v>
                </c:pt>
                <c:pt idx="96">
                  <c:v>466.50705062763012</c:v>
                </c:pt>
                <c:pt idx="97">
                  <c:v>474.34173580871521</c:v>
                </c:pt>
                <c:pt idx="98">
                  <c:v>482.17366746605984</c:v>
                </c:pt>
                <c:pt idx="99">
                  <c:v>490.00289665080459</c:v>
                </c:pt>
                <c:pt idx="100">
                  <c:v>497.82947264900849</c:v>
                </c:pt>
                <c:pt idx="101">
                  <c:v>445.31802652910477</c:v>
                </c:pt>
                <c:pt idx="102">
                  <c:v>452.10081139185741</c:v>
                </c:pt>
                <c:pt idx="103">
                  <c:v>458.88142047940238</c:v>
                </c:pt>
                <c:pt idx="104">
                  <c:v>465.65989049624</c:v>
                </c:pt>
                <c:pt idx="105">
                  <c:v>472.43625699048044</c:v>
                </c:pt>
                <c:pt idx="106">
                  <c:v>479.21055440670642</c:v>
                </c:pt>
                <c:pt idx="107">
                  <c:v>485.98281613568821</c:v>
                </c:pt>
                <c:pt idx="108">
                  <c:v>492.75307456118395</c:v>
                </c:pt>
                <c:pt idx="109">
                  <c:v>499.521361104032</c:v>
                </c:pt>
                <c:pt idx="110">
                  <c:v>506.28770626372926</c:v>
                </c:pt>
                <c:pt idx="111">
                  <c:v>454.64379277604957</c:v>
                </c:pt>
                <c:pt idx="112">
                  <c:v>460.15254545728777</c:v>
                </c:pt>
                <c:pt idx="113">
                  <c:v>465.65989049623994</c:v>
                </c:pt>
                <c:pt idx="114">
                  <c:v>471.16584690222726</c:v>
                </c:pt>
                <c:pt idx="115">
                  <c:v>476.67043320372454</c:v>
                </c:pt>
                <c:pt idx="116">
                  <c:v>482.17366746605938</c:v>
                </c:pt>
                <c:pt idx="117">
                  <c:v>487.67556730825953</c:v>
                </c:pt>
                <c:pt idx="118">
                  <c:v>493.17614991910222</c:v>
                </c:pt>
                <c:pt idx="119">
                  <c:v>498.67543207240942</c:v>
                </c:pt>
                <c:pt idx="120">
                  <c:v>504.17343014163106</c:v>
                </c:pt>
                <c:pt idx="121">
                  <c:v>455.9151693464151</c:v>
                </c:pt>
                <c:pt idx="122">
                  <c:v>460.57623711354785</c:v>
                </c:pt>
                <c:pt idx="123">
                  <c:v>465.23629811001996</c:v>
                </c:pt>
                <c:pt idx="124">
                  <c:v>469.89536385177502</c:v>
                </c:pt>
                <c:pt idx="125">
                  <c:v>474.55344560756913</c:v>
                </c:pt>
                <c:pt idx="126">
                  <c:v>479.21055440670602</c:v>
                </c:pt>
                <c:pt idx="127">
                  <c:v>483.86670104645395</c:v>
                </c:pt>
                <c:pt idx="128">
                  <c:v>488.52189609916417</c:v>
                </c:pt>
                <c:pt idx="129">
                  <c:v>493.1761499191021</c:v>
                </c:pt>
                <c:pt idx="130">
                  <c:v>497.82947264900781</c:v>
                </c:pt>
                <c:pt idx="131">
                  <c:v>457.18647015898131</c:v>
                </c:pt>
                <c:pt idx="132">
                  <c:v>460.99992044956343</c:v>
                </c:pt>
                <c:pt idx="133">
                  <c:v>464.81269749872303</c:v>
                </c:pt>
                <c:pt idx="134">
                  <c:v>468.62480761365782</c:v>
                </c:pt>
                <c:pt idx="135">
                  <c:v>472.43625699048022</c:v>
                </c:pt>
                <c:pt idx="136">
                  <c:v>476.24705171707495</c:v>
                </c:pt>
                <c:pt idx="137">
                  <c:v>480.05719777585983</c:v>
                </c:pt>
                <c:pt idx="138">
                  <c:v>483.86670104645435</c:v>
                </c:pt>
                <c:pt idx="139">
                  <c:v>487.67556730825936</c:v>
                </c:pt>
                <c:pt idx="140">
                  <c:v>491.48380224295357</c:v>
                </c:pt>
                <c:pt idx="141">
                  <c:v>458.24582980593453</c:v>
                </c:pt>
                <c:pt idx="142">
                  <c:v>460.99992044956366</c:v>
                </c:pt>
                <c:pt idx="143">
                  <c:v>463.75365992951328</c:v>
                </c:pt>
                <c:pt idx="144">
                  <c:v>466.50705062762967</c:v>
                </c:pt>
                <c:pt idx="145">
                  <c:v>469.26009489531788</c:v>
                </c:pt>
                <c:pt idx="146">
                  <c:v>472.0127950541102</c:v>
                </c:pt>
                <c:pt idx="147">
                  <c:v>474.76515339622262</c:v>
                </c:pt>
                <c:pt idx="148">
                  <c:v>477.51717218509634</c:v>
                </c:pt>
                <c:pt idx="149">
                  <c:v>480.26885365592619</c:v>
                </c:pt>
                <c:pt idx="150">
                  <c:v>483.02020001617757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141.70314168283105</c:v>
                </c:pt>
                <c:pt idx="22">
                  <c:v>156.7381873159442</c:v>
                </c:pt>
                <c:pt idx="23">
                  <c:v>171.73898922232453</c:v>
                </c:pt>
                <c:pt idx="24">
                  <c:v>186.70896148611726</c:v>
                </c:pt>
                <c:pt idx="25">
                  <c:v>201.65092519188457</c:v>
                </c:pt>
                <c:pt idx="26">
                  <c:v>216.56724871446315</c:v>
                </c:pt>
                <c:pt idx="27">
                  <c:v>231.45994723108015</c:v>
                </c:pt>
                <c:pt idx="28">
                  <c:v>246.33075522558093</c:v>
                </c:pt>
                <c:pt idx="29">
                  <c:v>261.18118053705035</c:v>
                </c:pt>
                <c:pt idx="30">
                  <c:v>276.01254545472335</c:v>
                </c:pt>
                <c:pt idx="31">
                  <c:v>194.36550298334649</c:v>
                </c:pt>
                <c:pt idx="32">
                  <c:v>214.38589248354251</c:v>
                </c:pt>
                <c:pt idx="33">
                  <c:v>234.36323716840602</c:v>
                </c:pt>
                <c:pt idx="34">
                  <c:v>254.30172220416441</c:v>
                </c:pt>
                <c:pt idx="35">
                  <c:v>274.20482243650338</c:v>
                </c:pt>
                <c:pt idx="36">
                  <c:v>294.07546687495898</c:v>
                </c:pt>
                <c:pt idx="37">
                  <c:v>313.91615631143912</c:v>
                </c:pt>
                <c:pt idx="38">
                  <c:v>333.72904960580678</c:v>
                </c:pt>
                <c:pt idx="39">
                  <c:v>353.51602838820548</c:v>
                </c:pt>
                <c:pt idx="40">
                  <c:v>373.27874650728057</c:v>
                </c:pt>
                <c:pt idx="41">
                  <c:v>292.63136713800856</c:v>
                </c:pt>
                <c:pt idx="42">
                  <c:v>312.83467185841931</c:v>
                </c:pt>
                <c:pt idx="43">
                  <c:v>333.00904545770453</c:v>
                </c:pt>
                <c:pt idx="44">
                  <c:v>353.15648638435545</c:v>
                </c:pt>
                <c:pt idx="45">
                  <c:v>373.27874650728046</c:v>
                </c:pt>
                <c:pt idx="46">
                  <c:v>393.37737346788646</c:v>
                </c:pt>
                <c:pt idx="47">
                  <c:v>413.45374392164439</c:v>
                </c:pt>
                <c:pt idx="48">
                  <c:v>433.50908998495447</c:v>
                </c:pt>
                <c:pt idx="49">
                  <c:v>453.54452053248133</c:v>
                </c:pt>
                <c:pt idx="50">
                  <c:v>473.56103853531016</c:v>
                </c:pt>
                <c:pt idx="51">
                  <c:v>390.86628899650503</c:v>
                </c:pt>
                <c:pt idx="52">
                  <c:v>408.43666822000955</c:v>
                </c:pt>
                <c:pt idx="53">
                  <c:v>425.99072614453195</c:v>
                </c:pt>
                <c:pt idx="54">
                  <c:v>443.52922971069125</c:v>
                </c:pt>
                <c:pt idx="55">
                  <c:v>461.05288028198476</c:v>
                </c:pt>
                <c:pt idx="56">
                  <c:v>478.56232158259263</c:v>
                </c:pt>
                <c:pt idx="57">
                  <c:v>496.0581464132178</c:v>
                </c:pt>
                <c:pt idx="58">
                  <c:v>513.54090237038565</c:v>
                </c:pt>
                <c:pt idx="59">
                  <c:v>531.01109674664531</c:v>
                </c:pt>
                <c:pt idx="60">
                  <c:v>548.46920075259288</c:v>
                </c:pt>
                <c:pt idx="61">
                  <c:v>463.73380248274316</c:v>
                </c:pt>
                <c:pt idx="62">
                  <c:v>478.91951340591186</c:v>
                </c:pt>
                <c:pt idx="63">
                  <c:v>494.09499021774013</c:v>
                </c:pt>
                <c:pt idx="64">
                  <c:v>509.26059140461649</c:v>
                </c:pt>
                <c:pt idx="65">
                  <c:v>524.41665236850611</c:v>
                </c:pt>
                <c:pt idx="66">
                  <c:v>539.56348755148167</c:v>
                </c:pt>
                <c:pt idx="67">
                  <c:v>554.70139230936422</c:v>
                </c:pt>
                <c:pt idx="68">
                  <c:v>569.83064457027274</c:v>
                </c:pt>
                <c:pt idx="69">
                  <c:v>584.95150630794706</c:v>
                </c:pt>
                <c:pt idx="70">
                  <c:v>600.06422485487678</c:v>
                </c:pt>
                <c:pt idx="71">
                  <c:v>513.54090237038565</c:v>
                </c:pt>
                <c:pt idx="72">
                  <c:v>526.73381719865961</c:v>
                </c:pt>
                <c:pt idx="73">
                  <c:v>539.91977501567953</c:v>
                </c:pt>
                <c:pt idx="74">
                  <c:v>553.09896961944332</c:v>
                </c:pt>
                <c:pt idx="75">
                  <c:v>566.27158482196944</c:v>
                </c:pt>
                <c:pt idx="76">
                  <c:v>579.43779518903796</c:v>
                </c:pt>
                <c:pt idx="77">
                  <c:v>592.59776670922179</c:v>
                </c:pt>
                <c:pt idx="78">
                  <c:v>605.75165740042166</c:v>
                </c:pt>
                <c:pt idx="79">
                  <c:v>618.89961786100014</c:v>
                </c:pt>
                <c:pt idx="80">
                  <c:v>632.0417917716685</c:v>
                </c:pt>
                <c:pt idx="81">
                  <c:v>544.19484035365758</c:v>
                </c:pt>
                <c:pt idx="82">
                  <c:v>555.94765399766129</c:v>
                </c:pt>
                <c:pt idx="83">
                  <c:v>567.69526466939328</c:v>
                </c:pt>
                <c:pt idx="84">
                  <c:v>579.43779518903796</c:v>
                </c:pt>
                <c:pt idx="85">
                  <c:v>591.17536299398307</c:v>
                </c:pt>
                <c:pt idx="86">
                  <c:v>602.90808047917312</c:v>
                </c:pt>
                <c:pt idx="87">
                  <c:v>614.63605530959683</c:v>
                </c:pt>
                <c:pt idx="88">
                  <c:v>626.35939070769689</c:v>
                </c:pt>
                <c:pt idx="89">
                  <c:v>638.07818571814698</c:v>
                </c:pt>
                <c:pt idx="90">
                  <c:v>649.79253545217807</c:v>
                </c:pt>
                <c:pt idx="91">
                  <c:v>560.7541165002707</c:v>
                </c:pt>
                <c:pt idx="92">
                  <c:v>571.25413823451788</c:v>
                </c:pt>
                <c:pt idx="93">
                  <c:v>581.75012922929784</c:v>
                </c:pt>
                <c:pt idx="94">
                  <c:v>592.24217245006037</c:v>
                </c:pt>
                <c:pt idx="95">
                  <c:v>602.73034768336277</c:v>
                </c:pt>
                <c:pt idx="96">
                  <c:v>613.2147317130424</c:v>
                </c:pt>
                <c:pt idx="97">
                  <c:v>623.69539848371835</c:v>
                </c:pt>
                <c:pt idx="98">
                  <c:v>634.17241925273436</c:v>
                </c:pt>
                <c:pt idx="99">
                  <c:v>644.64586273154202</c:v>
                </c:pt>
                <c:pt idx="100">
                  <c:v>655.11579521742192</c:v>
                </c:pt>
                <c:pt idx="101">
                  <c:v>566.62751179237432</c:v>
                </c:pt>
                <c:pt idx="102">
                  <c:v>575.87998196277465</c:v>
                </c:pt>
                <c:pt idx="103">
                  <c:v>585.12934986312894</c:v>
                </c:pt>
                <c:pt idx="104">
                  <c:v>594.37567144551679</c:v>
                </c:pt>
                <c:pt idx="105">
                  <c:v>603.61900077928829</c:v>
                </c:pt>
                <c:pt idx="106">
                  <c:v>612.85939014289318</c:v>
                </c:pt>
                <c:pt idx="107">
                  <c:v>622.09689010988507</c:v>
                </c:pt>
                <c:pt idx="108">
                  <c:v>631.33154962955348</c:v>
                </c:pt>
                <c:pt idx="109">
                  <c:v>640.56341610259108</c:v>
                </c:pt>
                <c:pt idx="110">
                  <c:v>649.79253545217739</c:v>
                </c:pt>
                <c:pt idx="111">
                  <c:v>567.16139348415504</c:v>
                </c:pt>
                <c:pt idx="112">
                  <c:v>575.16836435383277</c:v>
                </c:pt>
                <c:pt idx="113">
                  <c:v>583.17300871029261</c:v>
                </c:pt>
                <c:pt idx="114">
                  <c:v>591.17536299398284</c:v>
                </c:pt>
                <c:pt idx="115">
                  <c:v>599.17546257825927</c:v>
                </c:pt>
                <c:pt idx="116">
                  <c:v>607.17334181477145</c:v>
                </c:pt>
                <c:pt idx="117">
                  <c:v>615.1690340763322</c:v>
                </c:pt>
                <c:pt idx="118">
                  <c:v>623.16257179744446</c:v>
                </c:pt>
                <c:pt idx="119">
                  <c:v>631.15398651263843</c:v>
                </c:pt>
                <c:pt idx="120">
                  <c:v>639.1433088927696</c:v>
                </c:pt>
                <c:pt idx="121">
                  <c:v>562.89004481391976</c:v>
                </c:pt>
                <c:pt idx="122">
                  <c:v>570.18652494495871</c:v>
                </c:pt>
                <c:pt idx="123">
                  <c:v>577.48105450943058</c:v>
                </c:pt>
                <c:pt idx="124">
                  <c:v>584.77366162583417</c:v>
                </c:pt>
                <c:pt idx="125">
                  <c:v>592.06437365402064</c:v>
                </c:pt>
                <c:pt idx="126">
                  <c:v>599.35321722495371</c:v>
                </c:pt>
                <c:pt idx="127">
                  <c:v>606.64021826894884</c:v>
                </c:pt>
                <c:pt idx="128">
                  <c:v>613.9254020424836</c:v>
                </c:pt>
                <c:pt idx="129">
                  <c:v>621.2087931536704</c:v>
                </c:pt>
                <c:pt idx="130">
                  <c:v>628.49041558647207</c:v>
                </c:pt>
                <c:pt idx="131">
                  <c:v>557.01583171739901</c:v>
                </c:pt>
                <c:pt idx="132">
                  <c:v>563.77996485783626</c:v>
                </c:pt>
                <c:pt idx="133">
                  <c:v>570.5424006783586</c:v>
                </c:pt>
                <c:pt idx="134">
                  <c:v>577.30316213955939</c:v>
                </c:pt>
                <c:pt idx="135">
                  <c:v>584.06227162025073</c:v>
                </c:pt>
                <c:pt idx="136">
                  <c:v>590.81975093891413</c:v>
                </c:pt>
                <c:pt idx="137">
                  <c:v>597.57562137411867</c:v>
                </c:pt>
                <c:pt idx="138">
                  <c:v>604.32990368396679</c:v>
                </c:pt>
                <c:pt idx="139">
                  <c:v>611.08261812462547</c:v>
                </c:pt>
                <c:pt idx="140">
                  <c:v>617.8337844679985</c:v>
                </c:pt>
                <c:pt idx="141">
                  <c:v>550.96225460584606</c:v>
                </c:pt>
                <c:pt idx="142">
                  <c:v>557.01583171739912</c:v>
                </c:pt>
                <c:pt idx="143">
                  <c:v>563.06803117603829</c:v>
                </c:pt>
                <c:pt idx="144">
                  <c:v>569.11886988378967</c:v>
                </c:pt>
                <c:pt idx="145">
                  <c:v>575.16836435383323</c:v>
                </c:pt>
                <c:pt idx="146">
                  <c:v>581.2165307235349</c:v>
                </c:pt>
                <c:pt idx="147">
                  <c:v>587.26338476690717</c:v>
                </c:pt>
                <c:pt idx="148">
                  <c:v>593.3089419065285</c:v>
                </c:pt>
                <c:pt idx="149">
                  <c:v>599.35321722495371</c:v>
                </c:pt>
                <c:pt idx="150">
                  <c:v>605.39622547563852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151.92056403664665</c:v>
                </c:pt>
                <c:pt idx="22">
                  <c:v>168.04258893965877</c:v>
                </c:pt>
                <c:pt idx="23">
                  <c:v>184.12813820679631</c:v>
                </c:pt>
                <c:pt idx="24">
                  <c:v>200.18084844254145</c:v>
                </c:pt>
                <c:pt idx="25">
                  <c:v>216.20372460175975</c:v>
                </c:pt>
                <c:pt idx="26">
                  <c:v>232.19928942325339</c:v>
                </c:pt>
                <c:pt idx="27">
                  <c:v>248.16968942779488</c:v>
                </c:pt>
                <c:pt idx="28">
                  <c:v>264.1167721479751</c:v>
                </c:pt>
                <c:pt idx="29">
                  <c:v>280.04214369956082</c:v>
                </c:pt>
                <c:pt idx="30">
                  <c:v>295.94721255485501</c:v>
                </c:pt>
                <c:pt idx="31">
                  <c:v>208.39124575488827</c:v>
                </c:pt>
                <c:pt idx="32">
                  <c:v>229.86009453547467</c:v>
                </c:pt>
                <c:pt idx="33">
                  <c:v>251.28309296155342</c:v>
                </c:pt>
                <c:pt idx="34">
                  <c:v>272.6646989766358</c:v>
                </c:pt>
                <c:pt idx="35">
                  <c:v>294.00861390700948</c:v>
                </c:pt>
                <c:pt idx="36">
                  <c:v>315.31795766675845</c:v>
                </c:pt>
                <c:pt idx="37">
                  <c:v>336.59539404232538</c:v>
                </c:pt>
                <c:pt idx="38">
                  <c:v>357.84322260194625</c:v>
                </c:pt>
                <c:pt idx="39">
                  <c:v>379.06344761508916</c:v>
                </c:pt>
                <c:pt idx="40">
                  <c:v>400.25783072357081</c:v>
                </c:pt>
                <c:pt idx="41">
                  <c:v>313.76929290842912</c:v>
                </c:pt>
                <c:pt idx="42">
                  <c:v>335.43558947776097</c:v>
                </c:pt>
                <c:pt idx="43">
                  <c:v>357.07106927741569</c:v>
                </c:pt>
                <c:pt idx="44">
                  <c:v>378.6778610090978</c:v>
                </c:pt>
                <c:pt idx="45">
                  <c:v>400.25783072357075</c:v>
                </c:pt>
                <c:pt idx="46">
                  <c:v>421.81262693312578</c:v>
                </c:pt>
                <c:pt idx="47">
                  <c:v>443.3437160197393</c:v>
                </c:pt>
                <c:pt idx="48">
                  <c:v>464.85241040566939</c:v>
                </c:pt>
                <c:pt idx="49">
                  <c:v>486.33989123889143</c:v>
                </c:pt>
                <c:pt idx="50">
                  <c:v>507.80722686130594</c:v>
                </c:pt>
                <c:pt idx="51">
                  <c:v>419.11960237942048</c:v>
                </c:pt>
                <c:pt idx="52">
                  <c:v>437.96309211649071</c:v>
                </c:pt>
                <c:pt idx="53">
                  <c:v>456.78919677852781</c:v>
                </c:pt>
                <c:pt idx="54">
                  <c:v>475.59873329316815</c:v>
                </c:pt>
                <c:pt idx="55">
                  <c:v>494.3924487367961</c:v>
                </c:pt>
                <c:pt idx="56">
                  <c:v>513.17102878971104</c:v>
                </c:pt>
                <c:pt idx="57">
                  <c:v>531.93510488968684</c:v>
                </c:pt>
                <c:pt idx="58">
                  <c:v>550.68526032404009</c:v>
                </c:pt>
                <c:pt idx="59">
                  <c:v>569.42203544921153</c:v>
                </c:pt>
                <c:pt idx="60">
                  <c:v>588.14593218796983</c:v>
                </c:pt>
                <c:pt idx="61">
                  <c:v>497.26768589837212</c:v>
                </c:pt>
                <c:pt idx="62">
                  <c:v>513.55411203705933</c:v>
                </c:pt>
                <c:pt idx="63">
                  <c:v>529.82963703400833</c:v>
                </c:pt>
                <c:pt idx="64">
                  <c:v>546.09464274073571</c:v>
                </c:pt>
                <c:pt idx="65">
                  <c:v>562.34948641975654</c:v>
                </c:pt>
                <c:pt idx="66">
                  <c:v>578.59450300758772</c:v>
                </c:pt>
                <c:pt idx="67">
                  <c:v>594.83000711050624</c:v>
                </c:pt>
                <c:pt idx="68">
                  <c:v>611.05629477119896</c:v>
                </c:pt>
                <c:pt idx="69">
                  <c:v>627.27364503811202</c:v>
                </c:pt>
                <c:pt idx="70">
                  <c:v>643.48232136416652</c:v>
                </c:pt>
                <c:pt idx="71">
                  <c:v>550.68526032404009</c:v>
                </c:pt>
                <c:pt idx="72">
                  <c:v>564.83464686291791</c:v>
                </c:pt>
                <c:pt idx="73">
                  <c:v>578.97662295224802</c:v>
                </c:pt>
                <c:pt idx="74">
                  <c:v>593.11139502123308</c:v>
                </c:pt>
                <c:pt idx="75">
                  <c:v>607.23915886223847</c:v>
                </c:pt>
                <c:pt idx="76">
                  <c:v>621.36010041874761</c:v>
                </c:pt>
                <c:pt idx="77">
                  <c:v>635.47439649799799</c:v>
                </c:pt>
                <c:pt idx="78">
                  <c:v>649.58221541705041</c:v>
                </c:pt>
                <c:pt idx="79">
                  <c:v>663.6837175898421</c:v>
                </c:pt>
                <c:pt idx="80">
                  <c:v>677.7790560617857</c:v>
                </c:pt>
                <c:pt idx="81">
                  <c:v>583.56165301259591</c:v>
                </c:pt>
                <c:pt idx="82">
                  <c:v>596.16663396016543</c:v>
                </c:pt>
                <c:pt idx="83">
                  <c:v>608.76607282046416</c:v>
                </c:pt>
                <c:pt idx="84">
                  <c:v>621.36010041874761</c:v>
                </c:pt>
                <c:pt idx="85">
                  <c:v>633.94884184663999</c:v>
                </c:pt>
                <c:pt idx="86">
                  <c:v>646.53241682467001</c:v>
                </c:pt>
                <c:pt idx="87">
                  <c:v>659.11094003512596</c:v>
                </c:pt>
                <c:pt idx="88">
                  <c:v>671.68452142819649</c:v>
                </c:pt>
                <c:pt idx="89">
                  <c:v>684.253266504007</c:v>
                </c:pt>
                <c:pt idx="90">
                  <c:v>696.81727657286876</c:v>
                </c:pt>
                <c:pt idx="91">
                  <c:v>601.32161215624558</c:v>
                </c:pt>
                <c:pt idx="92">
                  <c:v>612.58301041135337</c:v>
                </c:pt>
                <c:pt idx="93">
                  <c:v>623.84011521480909</c:v>
                </c:pt>
                <c:pt idx="94">
                  <c:v>635.09301493951546</c:v>
                </c:pt>
                <c:pt idx="95">
                  <c:v>646.3417945722922</c:v>
                </c:pt>
                <c:pt idx="96">
                  <c:v>657.58653590152937</c:v>
                </c:pt>
                <c:pt idx="97">
                  <c:v>668.82731769134693</c:v>
                </c:pt>
                <c:pt idx="98">
                  <c:v>680.06421584344059</c:v>
                </c:pt>
                <c:pt idx="99">
                  <c:v>691.29730354767969</c:v>
                </c:pt>
                <c:pt idx="100">
                  <c:v>702.52665142241415</c:v>
                </c:pt>
                <c:pt idx="101">
                  <c:v>607.62089481714133</c:v>
                </c:pt>
                <c:pt idx="102">
                  <c:v>617.54429227660387</c:v>
                </c:pt>
                <c:pt idx="103">
                  <c:v>627.46438526884356</c:v>
                </c:pt>
                <c:pt idx="104">
                  <c:v>637.38123339273795</c:v>
                </c:pt>
                <c:pt idx="105">
                  <c:v>647.29489424172436</c:v>
                </c:pt>
                <c:pt idx="106">
                  <c:v>657.20542350161338</c:v>
                </c:pt>
                <c:pt idx="107">
                  <c:v>667.11287504220002</c:v>
                </c:pt>
                <c:pt idx="108">
                  <c:v>677.01730100314978</c:v>
                </c:pt>
                <c:pt idx="109">
                  <c:v>686.91875187459846</c:v>
                </c:pt>
                <c:pt idx="110">
                  <c:v>696.8172765728682</c:v>
                </c:pt>
                <c:pt idx="111">
                  <c:v>608.19348941446708</c:v>
                </c:pt>
                <c:pt idx="112">
                  <c:v>616.7810721021084</c:v>
                </c:pt>
                <c:pt idx="113">
                  <c:v>625.36617664098787</c:v>
                </c:pt>
                <c:pt idx="114">
                  <c:v>633.94884184663977</c:v>
                </c:pt>
                <c:pt idx="115">
                  <c:v>642.52910539795425</c:v>
                </c:pt>
                <c:pt idx="116">
                  <c:v>651.1070038855247</c:v>
                </c:pt>
                <c:pt idx="117">
                  <c:v>659.68257285730897</c:v>
                </c:pt>
                <c:pt idx="118">
                  <c:v>668.25584686179923</c:v>
                </c:pt>
                <c:pt idx="119">
                  <c:v>676.82685948885705</c:v>
                </c:pt>
                <c:pt idx="120">
                  <c:v>685.39564340837785</c:v>
                </c:pt>
                <c:pt idx="121">
                  <c:v>603.61241826374157</c:v>
                </c:pt>
                <c:pt idx="122">
                  <c:v>611.4379810934056</c:v>
                </c:pt>
                <c:pt idx="123">
                  <c:v>619.26146622409715</c:v>
                </c:pt>
                <c:pt idx="124">
                  <c:v>627.08290360699914</c:v>
                </c:pt>
                <c:pt idx="125">
                  <c:v>634.90232238520014</c:v>
                </c:pt>
                <c:pt idx="126">
                  <c:v>642.71975092539503</c:v>
                </c:pt>
                <c:pt idx="127">
                  <c:v>650.5352168479634</c:v>
                </c:pt>
                <c:pt idx="128">
                  <c:v>658.34874705552875</c:v>
                </c:pt>
                <c:pt idx="129">
                  <c:v>666.16036776009037</c:v>
                </c:pt>
                <c:pt idx="130">
                  <c:v>673.97010450881828</c:v>
                </c:pt>
                <c:pt idx="131">
                  <c:v>597.31226449625251</c:v>
                </c:pt>
                <c:pt idx="132">
                  <c:v>604.56686745724676</c:v>
                </c:pt>
                <c:pt idx="133">
                  <c:v>611.81966247182038</c:v>
                </c:pt>
                <c:pt idx="134">
                  <c:v>619.07067399707296</c:v>
                </c:pt>
                <c:pt idx="135">
                  <c:v>626.31992587040452</c:v>
                </c:pt>
                <c:pt idx="136">
                  <c:v>633.56744133236305</c:v>
                </c:pt>
                <c:pt idx="137">
                  <c:v>640.81324304839484</c:v>
                </c:pt>
                <c:pt idx="138">
                  <c:v>648.05735312955619</c:v>
                </c:pt>
                <c:pt idx="139">
                  <c:v>655.29979315225432</c:v>
                </c:pt>
                <c:pt idx="140">
                  <c:v>662.54058417706926</c:v>
                </c:pt>
                <c:pt idx="141">
                  <c:v>590.81975093891413</c:v>
                </c:pt>
                <c:pt idx="142">
                  <c:v>597.31226449625262</c:v>
                </c:pt>
                <c:pt idx="143">
                  <c:v>603.80331060916149</c:v>
                </c:pt>
                <c:pt idx="144">
                  <c:v>610.29290728129274</c:v>
                </c:pt>
                <c:pt idx="145">
                  <c:v>616.78107210210862</c:v>
                </c:pt>
                <c:pt idx="146">
                  <c:v>623.26782226076375</c:v>
                </c:pt>
                <c:pt idx="147">
                  <c:v>629.75317455937477</c:v>
                </c:pt>
                <c:pt idx="148">
                  <c:v>636.23714542572077</c:v>
                </c:pt>
                <c:pt idx="149">
                  <c:v>642.71975092539503</c:v>
                </c:pt>
                <c:pt idx="150">
                  <c:v>649.20100677344124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2.1047497618185136</c:v>
                </c:pt>
                <c:pt idx="2">
                  <c:v>3.3696077026769182</c:v>
                </c:pt>
                <c:pt idx="3">
                  <c:v>5.3983064202670406</c:v>
                </c:pt>
                <c:pt idx="4">
                  <c:v>8.6542290090247249</c:v>
                </c:pt>
                <c:pt idx="5">
                  <c:v>13.883053630004191</c:v>
                </c:pt>
                <c:pt idx="6">
                  <c:v>25.020960081760041</c:v>
                </c:pt>
                <c:pt idx="7">
                  <c:v>36.014234735576629</c:v>
                </c:pt>
                <c:pt idx="8">
                  <c:v>46.914647294466086</c:v>
                </c:pt>
                <c:pt idx="9">
                  <c:v>57.747120719428459</c:v>
                </c:pt>
                <c:pt idx="10">
                  <c:v>68.526294615198267</c:v>
                </c:pt>
                <c:pt idx="11">
                  <c:v>85.960690195677287</c:v>
                </c:pt>
                <c:pt idx="12">
                  <c:v>103.30574356519168</c:v>
                </c:pt>
                <c:pt idx="13">
                  <c:v>120.57863650368161</c:v>
                </c:pt>
                <c:pt idx="14">
                  <c:v>137.79118905837424</c:v>
                </c:pt>
                <c:pt idx="15">
                  <c:v>154.95201223746588</c:v>
                </c:pt>
                <c:pt idx="16">
                  <c:v>176.70060146633386</c:v>
                </c:pt>
                <c:pt idx="17">
                  <c:v>198.38634096606094</c:v>
                </c:pt>
                <c:pt idx="18">
                  <c:v>220.01707038794234</c:v>
                </c:pt>
                <c:pt idx="19">
                  <c:v>241.59895922678155</c:v>
                </c:pt>
                <c:pt idx="20">
                  <c:v>263.13698345808513</c:v>
                </c:pt>
                <c:pt idx="21">
                  <c:v>286.70955302874285</c:v>
                </c:pt>
                <c:pt idx="22">
                  <c:v>310.2387700749876</c:v>
                </c:pt>
                <c:pt idx="23">
                  <c:v>333.72838295115054</c:v>
                </c:pt>
                <c:pt idx="24">
                  <c:v>357.18156932048322</c:v>
                </c:pt>
                <c:pt idx="25">
                  <c:v>380.60105559622161</c:v>
                </c:pt>
                <c:pt idx="26">
                  <c:v>402.59533910295778</c:v>
                </c:pt>
                <c:pt idx="27">
                  <c:v>424.56364013116922</c:v>
                </c:pt>
                <c:pt idx="28">
                  <c:v>446.50749117134524</c:v>
                </c:pt>
                <c:pt idx="29">
                  <c:v>468.42826189481247</c:v>
                </c:pt>
                <c:pt idx="30">
                  <c:v>490.32718341715537</c:v>
                </c:pt>
                <c:pt idx="31">
                  <c:v>509.49569790624906</c:v>
                </c:pt>
                <c:pt idx="32">
                  <c:v>528.64897996584227</c:v>
                </c:pt>
                <c:pt idx="33">
                  <c:v>547.78765875427155</c:v>
                </c:pt>
                <c:pt idx="34">
                  <c:v>566.91231591410281</c:v>
                </c:pt>
                <c:pt idx="35">
                  <c:v>586.02349067511739</c:v>
                </c:pt>
                <c:pt idx="36">
                  <c:v>601.29455586388315</c:v>
                </c:pt>
                <c:pt idx="37">
                  <c:v>616.55756331647569</c:v>
                </c:pt>
                <c:pt idx="38">
                  <c:v>631.81274048497403</c:v>
                </c:pt>
                <c:pt idx="39">
                  <c:v>647.06030294897005</c:v>
                </c:pt>
                <c:pt idx="40">
                  <c:v>662.30045530621908</c:v>
                </c:pt>
                <c:pt idx="41">
                  <c:v>673.5879372241335</c:v>
                </c:pt>
                <c:pt idx="42">
                  <c:v>684.87153361633716</c:v>
                </c:pt>
                <c:pt idx="43">
                  <c:v>696.15131749555019</c:v>
                </c:pt>
                <c:pt idx="44">
                  <c:v>707.42735931652726</c:v>
                </c:pt>
                <c:pt idx="45">
                  <c:v>718.69972710587388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opLeftCell="A5" zoomScale="80" zoomScaleNormal="80" workbookViewId="0">
      <selection activeCell="E15" sqref="E15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5.25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13</v>
      </c>
      <c r="C9" s="32">
        <v>0.25</v>
      </c>
      <c r="D9" s="33">
        <f t="shared" ref="D9:D18" si="0">C9*$C$5</f>
        <v>1.3125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15</v>
      </c>
      <c r="C10" s="32">
        <v>0.17</v>
      </c>
      <c r="D10" s="33">
        <f t="shared" si="0"/>
        <v>0.89250000000000007</v>
      </c>
      <c r="E10" s="34">
        <v>150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11</v>
      </c>
      <c r="C11" s="32">
        <v>0.26</v>
      </c>
      <c r="D11" s="33">
        <f t="shared" si="0"/>
        <v>1.365</v>
      </c>
      <c r="E11" s="34">
        <v>150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14</v>
      </c>
      <c r="C12" s="32">
        <v>0.25</v>
      </c>
      <c r="D12" s="33">
        <f t="shared" si="0"/>
        <v>1.3125</v>
      </c>
      <c r="E12" s="34">
        <v>150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128</v>
      </c>
      <c r="C13" s="32">
        <v>7.0000000000000007E-2</v>
      </c>
      <c r="D13" s="33">
        <f t="shared" si="0"/>
        <v>0.36750000000000005</v>
      </c>
      <c r="E13" s="34">
        <v>45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5.25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rouge d'Amérique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10</v>
      </c>
      <c r="B36" s="60">
        <v>35</v>
      </c>
      <c r="C36" s="60">
        <v>1</v>
      </c>
      <c r="D36" s="60">
        <v>0</v>
      </c>
      <c r="E36" s="51"/>
      <c r="F36" s="51"/>
      <c r="G36" s="51"/>
      <c r="H36" s="51">
        <v>1</v>
      </c>
      <c r="I36" s="49">
        <f>IFERROR(B36/A36,"")</f>
        <v>3.5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15</v>
      </c>
      <c r="B37" s="60">
        <v>88</v>
      </c>
      <c r="C37" s="60">
        <v>2</v>
      </c>
      <c r="D37" s="60">
        <v>30</v>
      </c>
      <c r="E37" s="51"/>
      <c r="F37" s="51"/>
      <c r="G37" s="51"/>
      <c r="H37" s="51">
        <v>1</v>
      </c>
      <c r="I37" s="53">
        <f t="shared" ref="I37:I55" si="1">IF(A37&lt;&gt;0,(B37-(B36-D36))/(A37-A36),"")</f>
        <v>10.6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v>117</v>
      </c>
      <c r="C38" s="60">
        <v>3</v>
      </c>
      <c r="D38" s="60">
        <v>29</v>
      </c>
      <c r="E38" s="51"/>
      <c r="F38" s="51"/>
      <c r="G38" s="51"/>
      <c r="H38" s="51">
        <v>1</v>
      </c>
      <c r="I38" s="53">
        <f t="shared" si="1"/>
        <v>11.8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25</v>
      </c>
      <c r="B39" s="60">
        <v>145</v>
      </c>
      <c r="C39" s="60">
        <v>4</v>
      </c>
      <c r="D39" s="60">
        <v>31</v>
      </c>
      <c r="E39" s="51"/>
      <c r="F39" s="51"/>
      <c r="G39" s="51">
        <v>0.8</v>
      </c>
      <c r="H39" s="51">
        <v>0.2</v>
      </c>
      <c r="I39" s="49">
        <f t="shared" si="1"/>
        <v>11.4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30</v>
      </c>
      <c r="B40" s="60">
        <v>169</v>
      </c>
      <c r="C40" s="60">
        <v>5</v>
      </c>
      <c r="D40" s="60">
        <v>32</v>
      </c>
      <c r="E40" s="51"/>
      <c r="F40" s="51"/>
      <c r="G40" s="51">
        <v>0.9</v>
      </c>
      <c r="H40" s="51">
        <v>0.1</v>
      </c>
      <c r="I40" s="49">
        <f t="shared" si="1"/>
        <v>11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35</v>
      </c>
      <c r="B41" s="60">
        <v>189</v>
      </c>
      <c r="C41" s="60">
        <v>6</v>
      </c>
      <c r="D41" s="60">
        <v>32</v>
      </c>
      <c r="E41" s="51">
        <v>0.5</v>
      </c>
      <c r="F41" s="51"/>
      <c r="G41" s="51">
        <v>0.4</v>
      </c>
      <c r="H41" s="51">
        <v>0.1</v>
      </c>
      <c r="I41" s="53">
        <f t="shared" si="1"/>
        <v>10.4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v>206</v>
      </c>
      <c r="C42" s="60">
        <v>7</v>
      </c>
      <c r="D42" s="60">
        <v>31</v>
      </c>
      <c r="E42" s="51">
        <v>0.6</v>
      </c>
      <c r="F42" s="51"/>
      <c r="G42" s="51">
        <v>0.3</v>
      </c>
      <c r="H42" s="51">
        <v>0.1</v>
      </c>
      <c r="I42" s="53">
        <f t="shared" si="1"/>
        <v>9.8000000000000007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45</v>
      </c>
      <c r="B43" s="60">
        <v>219</v>
      </c>
      <c r="C43" s="60">
        <v>8</v>
      </c>
      <c r="D43" s="60">
        <v>30</v>
      </c>
      <c r="E43" s="51">
        <v>0.7</v>
      </c>
      <c r="F43" s="51"/>
      <c r="G43" s="51">
        <v>0.2</v>
      </c>
      <c r="H43" s="51">
        <v>0.1</v>
      </c>
      <c r="I43" s="49">
        <f t="shared" si="1"/>
        <v>8.8000000000000007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50</v>
      </c>
      <c r="B44" s="60">
        <v>230</v>
      </c>
      <c r="C44" s="60">
        <v>9</v>
      </c>
      <c r="D44" s="60">
        <v>28</v>
      </c>
      <c r="E44" s="51">
        <v>0.8</v>
      </c>
      <c r="F44" s="51"/>
      <c r="G44" s="51">
        <v>0.1</v>
      </c>
      <c r="H44" s="51">
        <v>0.1</v>
      </c>
      <c r="I44" s="49">
        <f t="shared" si="1"/>
        <v>8.1999999999999993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55</v>
      </c>
      <c r="B45" s="60">
        <v>239</v>
      </c>
      <c r="C45" s="60">
        <v>10</v>
      </c>
      <c r="D45" s="60">
        <v>26</v>
      </c>
      <c r="E45" s="51">
        <v>0.9</v>
      </c>
      <c r="F45" s="51"/>
      <c r="G45" s="51"/>
      <c r="H45" s="51">
        <v>0.1</v>
      </c>
      <c r="I45" s="49">
        <f t="shared" si="1"/>
        <v>7.4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60</v>
      </c>
      <c r="B46" s="60">
        <v>246</v>
      </c>
      <c r="C46" s="60">
        <v>11</v>
      </c>
      <c r="D46" s="60">
        <v>24</v>
      </c>
      <c r="E46" s="51">
        <v>0.9</v>
      </c>
      <c r="F46" s="51"/>
      <c r="G46" s="51"/>
      <c r="H46" s="51">
        <v>0.1</v>
      </c>
      <c r="I46" s="49">
        <f t="shared" si="1"/>
        <v>6.6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65</v>
      </c>
      <c r="B47" s="60">
        <v>252</v>
      </c>
      <c r="C47" s="60">
        <v>12</v>
      </c>
      <c r="D47" s="60">
        <v>22</v>
      </c>
      <c r="E47" s="51">
        <v>0.9</v>
      </c>
      <c r="F47" s="51"/>
      <c r="G47" s="51"/>
      <c r="H47" s="51">
        <v>0.1</v>
      </c>
      <c r="I47" s="49">
        <f t="shared" si="1"/>
        <v>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70</v>
      </c>
      <c r="B48" s="60">
        <v>257</v>
      </c>
      <c r="C48" s="60">
        <v>13</v>
      </c>
      <c r="D48" s="60">
        <v>21</v>
      </c>
      <c r="E48" s="51">
        <v>0.9</v>
      </c>
      <c r="F48" s="51"/>
      <c r="G48" s="51"/>
      <c r="H48" s="51">
        <v>0.1</v>
      </c>
      <c r="I48" s="49">
        <f t="shared" si="1"/>
        <v>5.4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75</v>
      </c>
      <c r="B49" s="60">
        <v>261</v>
      </c>
      <c r="C49" s="60">
        <v>14</v>
      </c>
      <c r="D49" s="60">
        <v>19</v>
      </c>
      <c r="E49" s="51">
        <v>0.9</v>
      </c>
      <c r="F49" s="51"/>
      <c r="G49" s="51"/>
      <c r="H49" s="51">
        <v>0.1</v>
      </c>
      <c r="I49" s="49">
        <f t="shared" si="1"/>
        <v>5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80</v>
      </c>
      <c r="B50" s="50">
        <v>264</v>
      </c>
      <c r="C50" s="50">
        <v>15</v>
      </c>
      <c r="D50" s="50">
        <v>17</v>
      </c>
      <c r="E50" s="51">
        <v>0.9</v>
      </c>
      <c r="F50" s="51"/>
      <c r="G50" s="51"/>
      <c r="H50" s="51">
        <v>0.1</v>
      </c>
      <c r="I50" s="49">
        <f t="shared" si="1"/>
        <v>4.4000000000000004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>
        <v>85</v>
      </c>
      <c r="B51" s="50">
        <v>267</v>
      </c>
      <c r="C51" s="50">
        <v>16</v>
      </c>
      <c r="D51" s="50">
        <v>16</v>
      </c>
      <c r="E51" s="51">
        <v>0.9</v>
      </c>
      <c r="F51" s="51"/>
      <c r="G51" s="51"/>
      <c r="H51" s="51">
        <v>0.1</v>
      </c>
      <c r="I51" s="49">
        <f t="shared" si="1"/>
        <v>4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>
        <v>90</v>
      </c>
      <c r="B52" s="50">
        <v>268</v>
      </c>
      <c r="C52" s="50">
        <v>17</v>
      </c>
      <c r="D52" s="50">
        <v>14</v>
      </c>
      <c r="E52" s="51">
        <v>0.9</v>
      </c>
      <c r="F52" s="51"/>
      <c r="G52" s="51"/>
      <c r="H52" s="51">
        <v>0.1</v>
      </c>
      <c r="I52" s="49">
        <f t="shared" si="1"/>
        <v>3.4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>
        <v>95</v>
      </c>
      <c r="B53" s="50">
        <v>270</v>
      </c>
      <c r="C53" s="50">
        <v>18</v>
      </c>
      <c r="D53" s="50">
        <v>13</v>
      </c>
      <c r="E53" s="51">
        <v>0.9</v>
      </c>
      <c r="F53" s="51"/>
      <c r="G53" s="51"/>
      <c r="H53" s="51">
        <v>0.1</v>
      </c>
      <c r="I53" s="49">
        <f t="shared" si="1"/>
        <v>3.2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>
        <v>100</v>
      </c>
      <c r="B54" s="50">
        <v>273</v>
      </c>
      <c r="C54" s="50">
        <v>19</v>
      </c>
      <c r="D54" s="50">
        <v>273</v>
      </c>
      <c r="E54" s="51">
        <v>0.9</v>
      </c>
      <c r="F54" s="51"/>
      <c r="G54" s="51"/>
      <c r="H54" s="51">
        <v>0.1</v>
      </c>
      <c r="I54" s="49">
        <f t="shared" si="1"/>
        <v>3.2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tauzin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30</v>
      </c>
      <c r="B62" s="60">
        <v>54</v>
      </c>
      <c r="C62" s="60">
        <v>1</v>
      </c>
      <c r="D62" s="60">
        <v>0</v>
      </c>
      <c r="E62" s="51"/>
      <c r="F62" s="51"/>
      <c r="G62" s="51">
        <v>1</v>
      </c>
      <c r="H62" s="51"/>
      <c r="I62" s="53">
        <f>IFERROR(B62/A62,"")</f>
        <v>1.8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40</v>
      </c>
      <c r="B63" s="60">
        <v>106</v>
      </c>
      <c r="C63" s="60">
        <v>2</v>
      </c>
      <c r="D63" s="60">
        <v>27</v>
      </c>
      <c r="E63" s="51"/>
      <c r="F63" s="51"/>
      <c r="G63" s="51">
        <v>1</v>
      </c>
      <c r="H63" s="51"/>
      <c r="I63" s="49">
        <f>IF(A63&lt;&gt;0,(B63-(B62-D62))/(A63-A62),"")</f>
        <v>5.2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50</v>
      </c>
      <c r="B64" s="60">
        <v>135</v>
      </c>
      <c r="C64" s="60">
        <v>3</v>
      </c>
      <c r="D64" s="60">
        <v>28</v>
      </c>
      <c r="E64" s="51"/>
      <c r="F64" s="51"/>
      <c r="G64" s="51">
        <v>1</v>
      </c>
      <c r="H64" s="51"/>
      <c r="I64" s="49">
        <f>IF(A64&lt;&gt;0,(B64-(B63-D63))/(A64-A63),"")</f>
        <v>5.6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60</v>
      </c>
      <c r="B65" s="60">
        <v>163</v>
      </c>
      <c r="C65" s="60">
        <v>4</v>
      </c>
      <c r="D65" s="60">
        <v>28</v>
      </c>
      <c r="E65" s="51">
        <v>1</v>
      </c>
      <c r="F65" s="51"/>
      <c r="G65" s="51"/>
      <c r="H65" s="51"/>
      <c r="I65" s="49">
        <f>IF(A65&lt;&gt;0,(B65-(B64-D64))/(A65-A64),"")</f>
        <v>5.6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70</v>
      </c>
      <c r="B66" s="60">
        <v>187</v>
      </c>
      <c r="C66" s="60">
        <v>5</v>
      </c>
      <c r="D66" s="60">
        <v>28</v>
      </c>
      <c r="E66" s="51"/>
      <c r="F66" s="51"/>
      <c r="G66" s="51"/>
      <c r="H66" s="51"/>
      <c r="I66" s="49">
        <f t="shared" ref="I66:I81" si="2">IF(A66&lt;&gt;0,(B66-(B65-D65))/(A66-A65),"")</f>
        <v>5.2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80</v>
      </c>
      <c r="B67" s="60">
        <v>206</v>
      </c>
      <c r="C67" s="60">
        <v>6</v>
      </c>
      <c r="D67" s="60">
        <v>28</v>
      </c>
      <c r="E67" s="51">
        <v>1</v>
      </c>
      <c r="F67" s="51"/>
      <c r="G67" s="51"/>
      <c r="H67" s="51"/>
      <c r="I67" s="49">
        <f t="shared" si="2"/>
        <v>4.7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90</v>
      </c>
      <c r="B68" s="60">
        <v>221</v>
      </c>
      <c r="C68" s="60">
        <v>7</v>
      </c>
      <c r="D68" s="60">
        <v>28</v>
      </c>
      <c r="E68" s="51"/>
      <c r="F68" s="51"/>
      <c r="G68" s="51"/>
      <c r="H68" s="51"/>
      <c r="I68" s="49">
        <f t="shared" si="2"/>
        <v>4.3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100</v>
      </c>
      <c r="B69" s="50">
        <v>230</v>
      </c>
      <c r="C69" s="50">
        <v>8</v>
      </c>
      <c r="D69" s="50">
        <v>28</v>
      </c>
      <c r="E69" s="51">
        <v>1</v>
      </c>
      <c r="F69" s="51"/>
      <c r="G69" s="51"/>
      <c r="H69" s="51"/>
      <c r="I69" s="49">
        <f t="shared" si="2"/>
        <v>3.7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110</v>
      </c>
      <c r="B70" s="50">
        <v>234</v>
      </c>
      <c r="C70" s="50">
        <v>9</v>
      </c>
      <c r="D70" s="50">
        <v>27</v>
      </c>
      <c r="E70" s="51"/>
      <c r="F70" s="51"/>
      <c r="G70" s="51"/>
      <c r="H70" s="51"/>
      <c r="I70" s="49">
        <f t="shared" si="2"/>
        <v>3.2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120</v>
      </c>
      <c r="B71" s="50">
        <v>233</v>
      </c>
      <c r="C71" s="50">
        <v>10</v>
      </c>
      <c r="D71" s="50">
        <v>25</v>
      </c>
      <c r="E71" s="51">
        <v>1</v>
      </c>
      <c r="F71" s="51"/>
      <c r="G71" s="51"/>
      <c r="H71" s="51"/>
      <c r="I71" s="49">
        <f t="shared" si="2"/>
        <v>2.6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130</v>
      </c>
      <c r="B72" s="50">
        <v>230</v>
      </c>
      <c r="C72" s="50">
        <v>11</v>
      </c>
      <c r="D72" s="50">
        <v>21</v>
      </c>
      <c r="E72" s="51"/>
      <c r="F72" s="51"/>
      <c r="G72" s="51"/>
      <c r="H72" s="51"/>
      <c r="I72" s="49">
        <f t="shared" si="2"/>
        <v>2.2000000000000002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140</v>
      </c>
      <c r="B73" s="50">
        <v>227</v>
      </c>
      <c r="C73" s="50">
        <v>12</v>
      </c>
      <c r="D73" s="50">
        <v>17</v>
      </c>
      <c r="E73" s="51"/>
      <c r="F73" s="51"/>
      <c r="G73" s="51"/>
      <c r="H73" s="51"/>
      <c r="I73" s="49">
        <f t="shared" si="2"/>
        <v>1.8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150</v>
      </c>
      <c r="B74" s="50">
        <v>223</v>
      </c>
      <c r="C74" s="50">
        <v>13</v>
      </c>
      <c r="D74" s="50">
        <v>223</v>
      </c>
      <c r="E74" s="51">
        <v>1</v>
      </c>
      <c r="F74" s="51"/>
      <c r="G74" s="51"/>
      <c r="H74" s="51"/>
      <c r="I74" s="49">
        <f t="shared" si="2"/>
        <v>1.3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pédonculé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73</v>
      </c>
      <c r="C88" s="60">
        <v>1</v>
      </c>
      <c r="D88" s="60">
        <v>6</v>
      </c>
      <c r="E88" s="51"/>
      <c r="F88" s="51"/>
      <c r="G88" s="51">
        <v>1</v>
      </c>
      <c r="H88" s="87"/>
      <c r="I88" s="53">
        <f>IFERROR(B88/A88,"")</f>
        <v>3.65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v>149</v>
      </c>
      <c r="C89" s="60">
        <v>2</v>
      </c>
      <c r="D89" s="60">
        <v>56</v>
      </c>
      <c r="E89" s="51"/>
      <c r="F89" s="51"/>
      <c r="G89" s="51">
        <v>1</v>
      </c>
      <c r="H89" s="87"/>
      <c r="I89" s="53">
        <f t="shared" ref="I89:I107" si="3">IF(A89&lt;&gt;0,(B89-(B88-D88))/(A89-A88),"")</f>
        <v>8.1999999999999993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v>203</v>
      </c>
      <c r="C90" s="60">
        <v>3</v>
      </c>
      <c r="D90" s="60">
        <v>56</v>
      </c>
      <c r="E90" s="87"/>
      <c r="F90" s="87"/>
      <c r="G90" s="87">
        <v>1</v>
      </c>
      <c r="H90" s="87"/>
      <c r="I90" s="53">
        <f t="shared" si="3"/>
        <v>11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v>259</v>
      </c>
      <c r="C91" s="60">
        <v>4</v>
      </c>
      <c r="D91" s="60">
        <v>56</v>
      </c>
      <c r="E91" s="87">
        <v>1</v>
      </c>
      <c r="F91" s="87"/>
      <c r="G91" s="87"/>
      <c r="H91" s="87"/>
      <c r="I91" s="53">
        <f t="shared" si="3"/>
        <v>11.2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v>301</v>
      </c>
      <c r="C92" s="60">
        <v>5</v>
      </c>
      <c r="D92" s="60">
        <v>56</v>
      </c>
      <c r="E92" s="87"/>
      <c r="F92" s="87"/>
      <c r="G92" s="87"/>
      <c r="H92" s="87"/>
      <c r="I92" s="53">
        <f t="shared" si="3"/>
        <v>9.8000000000000007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60">
        <v>330</v>
      </c>
      <c r="C93" s="60">
        <v>6</v>
      </c>
      <c r="D93" s="60">
        <v>56</v>
      </c>
      <c r="E93" s="87">
        <v>1</v>
      </c>
      <c r="F93" s="87"/>
      <c r="G93" s="87"/>
      <c r="H93" s="87"/>
      <c r="I93" s="53">
        <f t="shared" si="3"/>
        <v>8.5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60">
        <v>348</v>
      </c>
      <c r="C94" s="60">
        <v>7</v>
      </c>
      <c r="D94" s="60">
        <v>56</v>
      </c>
      <c r="E94" s="87"/>
      <c r="F94" s="87"/>
      <c r="G94" s="87"/>
      <c r="H94" s="87"/>
      <c r="I94" s="53">
        <f t="shared" si="3"/>
        <v>7.4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90</v>
      </c>
      <c r="B95" s="60">
        <v>358</v>
      </c>
      <c r="C95" s="60">
        <v>8</v>
      </c>
      <c r="D95" s="60">
        <v>56</v>
      </c>
      <c r="E95" s="87">
        <v>1</v>
      </c>
      <c r="F95" s="87"/>
      <c r="G95" s="87"/>
      <c r="H95" s="87"/>
      <c r="I95" s="53">
        <f t="shared" si="3"/>
        <v>6.6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100</v>
      </c>
      <c r="B96" s="60">
        <v>361</v>
      </c>
      <c r="C96" s="60">
        <v>9</v>
      </c>
      <c r="D96" s="60">
        <v>55</v>
      </c>
      <c r="E96" s="87"/>
      <c r="F96" s="87"/>
      <c r="G96" s="87"/>
      <c r="H96" s="87"/>
      <c r="I96" s="53">
        <f t="shared" si="3"/>
        <v>5.9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110</v>
      </c>
      <c r="B97" s="60">
        <v>358</v>
      </c>
      <c r="C97" s="60">
        <v>10</v>
      </c>
      <c r="D97" s="60">
        <v>51</v>
      </c>
      <c r="E97" s="87">
        <v>1</v>
      </c>
      <c r="F97" s="87"/>
      <c r="G97" s="87"/>
      <c r="H97" s="87"/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120</v>
      </c>
      <c r="B98" s="60">
        <v>352</v>
      </c>
      <c r="C98" s="60">
        <v>11</v>
      </c>
      <c r="D98" s="60">
        <v>47</v>
      </c>
      <c r="E98" s="87"/>
      <c r="F98" s="87"/>
      <c r="G98" s="87"/>
      <c r="H98" s="87"/>
      <c r="I98" s="53">
        <f t="shared" si="3"/>
        <v>4.5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130</v>
      </c>
      <c r="B99" s="60">
        <v>346</v>
      </c>
      <c r="C99" s="60">
        <v>12</v>
      </c>
      <c r="D99" s="60">
        <v>44</v>
      </c>
      <c r="E99" s="87">
        <v>1</v>
      </c>
      <c r="F99" s="87"/>
      <c r="G99" s="87"/>
      <c r="H99" s="87"/>
      <c r="I99" s="53">
        <f t="shared" si="3"/>
        <v>4.0999999999999996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140</v>
      </c>
      <c r="B100" s="60">
        <v>340</v>
      </c>
      <c r="C100" s="60">
        <v>13</v>
      </c>
      <c r="D100" s="60">
        <v>41</v>
      </c>
      <c r="E100" s="65"/>
      <c r="F100" s="65"/>
      <c r="G100" s="65"/>
      <c r="H100" s="65"/>
      <c r="I100" s="53">
        <f t="shared" si="3"/>
        <v>3.8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150</v>
      </c>
      <c r="B101" s="60">
        <v>333</v>
      </c>
      <c r="C101" s="60">
        <v>14</v>
      </c>
      <c r="D101" s="60">
        <v>333</v>
      </c>
      <c r="E101" s="65">
        <v>1</v>
      </c>
      <c r="F101" s="65"/>
      <c r="G101" s="65"/>
      <c r="H101" s="65"/>
      <c r="I101" s="53">
        <f t="shared" si="3"/>
        <v>3.4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sessile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v>73</v>
      </c>
      <c r="C114" s="50">
        <v>1</v>
      </c>
      <c r="D114" s="60">
        <v>6</v>
      </c>
      <c r="E114" s="51"/>
      <c r="F114" s="51"/>
      <c r="G114" s="51">
        <v>1</v>
      </c>
      <c r="H114" s="51"/>
      <c r="I114" s="53">
        <f>IFERROR(B114/A114,"")</f>
        <v>3.65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30</v>
      </c>
      <c r="B115" s="60">
        <v>149</v>
      </c>
      <c r="C115" s="50">
        <v>2</v>
      </c>
      <c r="D115" s="60">
        <v>56</v>
      </c>
      <c r="E115" s="51"/>
      <c r="F115" s="51"/>
      <c r="G115" s="51">
        <v>1</v>
      </c>
      <c r="H115" s="51"/>
      <c r="I115" s="53">
        <f t="shared" ref="I115:I133" si="4">IF(A115&lt;&gt;0,(B115-(B114-D114))/(A115-A114),"")</f>
        <v>8.1999999999999993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40</v>
      </c>
      <c r="B116" s="60">
        <v>203</v>
      </c>
      <c r="C116" s="50">
        <v>3</v>
      </c>
      <c r="D116" s="60">
        <v>56</v>
      </c>
      <c r="E116" s="51"/>
      <c r="F116" s="51"/>
      <c r="G116" s="51">
        <v>1</v>
      </c>
      <c r="H116" s="51"/>
      <c r="I116" s="53">
        <f t="shared" si="4"/>
        <v>11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50</v>
      </c>
      <c r="B117" s="60">
        <v>259</v>
      </c>
      <c r="C117" s="50">
        <v>4</v>
      </c>
      <c r="D117" s="60">
        <v>56</v>
      </c>
      <c r="E117" s="51">
        <v>1</v>
      </c>
      <c r="F117" s="51"/>
      <c r="G117" s="51"/>
      <c r="H117" s="51"/>
      <c r="I117" s="53">
        <f t="shared" si="4"/>
        <v>11.2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60</v>
      </c>
      <c r="B118" s="60">
        <v>301</v>
      </c>
      <c r="C118" s="50">
        <v>5</v>
      </c>
      <c r="D118" s="60">
        <v>56</v>
      </c>
      <c r="E118" s="51"/>
      <c r="F118" s="51"/>
      <c r="G118" s="51"/>
      <c r="H118" s="51"/>
      <c r="I118" s="53">
        <f t="shared" si="4"/>
        <v>9.8000000000000007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70</v>
      </c>
      <c r="B119" s="60">
        <v>330</v>
      </c>
      <c r="C119" s="50">
        <v>6</v>
      </c>
      <c r="D119" s="60">
        <v>56</v>
      </c>
      <c r="E119" s="51">
        <v>1</v>
      </c>
      <c r="F119" s="51"/>
      <c r="G119" s="51"/>
      <c r="H119" s="51"/>
      <c r="I119" s="53">
        <f t="shared" si="4"/>
        <v>8.5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80</v>
      </c>
      <c r="B120" s="60">
        <v>348</v>
      </c>
      <c r="C120" s="60">
        <v>7</v>
      </c>
      <c r="D120" s="60">
        <v>56</v>
      </c>
      <c r="E120" s="87"/>
      <c r="F120" s="87"/>
      <c r="G120" s="87"/>
      <c r="H120" s="87"/>
      <c r="I120" s="53">
        <f t="shared" si="4"/>
        <v>7.4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90</v>
      </c>
      <c r="B121" s="60">
        <v>358</v>
      </c>
      <c r="C121" s="60">
        <v>8</v>
      </c>
      <c r="D121" s="60">
        <v>56</v>
      </c>
      <c r="E121" s="87">
        <v>1</v>
      </c>
      <c r="F121" s="87"/>
      <c r="G121" s="87"/>
      <c r="H121" s="87"/>
      <c r="I121" s="53">
        <f t="shared" si="4"/>
        <v>6.6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100</v>
      </c>
      <c r="B122" s="60">
        <v>361</v>
      </c>
      <c r="C122" s="60">
        <v>9</v>
      </c>
      <c r="D122" s="60">
        <v>55</v>
      </c>
      <c r="E122" s="87"/>
      <c r="F122" s="87"/>
      <c r="G122" s="87"/>
      <c r="H122" s="87"/>
      <c r="I122" s="53">
        <f t="shared" si="4"/>
        <v>5.9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110</v>
      </c>
      <c r="B123" s="60">
        <v>358</v>
      </c>
      <c r="C123" s="60">
        <v>10</v>
      </c>
      <c r="D123" s="60">
        <v>51</v>
      </c>
      <c r="E123" s="87">
        <v>1</v>
      </c>
      <c r="F123" s="87"/>
      <c r="G123" s="87"/>
      <c r="H123" s="87"/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120</v>
      </c>
      <c r="B124" s="60">
        <v>352</v>
      </c>
      <c r="C124" s="60">
        <v>11</v>
      </c>
      <c r="D124" s="60">
        <v>47</v>
      </c>
      <c r="E124" s="87"/>
      <c r="F124" s="87"/>
      <c r="G124" s="87"/>
      <c r="H124" s="87"/>
      <c r="I124" s="53">
        <f t="shared" si="4"/>
        <v>4.5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130</v>
      </c>
      <c r="B125" s="60">
        <v>346</v>
      </c>
      <c r="C125" s="60">
        <v>12</v>
      </c>
      <c r="D125" s="60">
        <v>44</v>
      </c>
      <c r="E125" s="87">
        <v>1</v>
      </c>
      <c r="F125" s="87"/>
      <c r="G125" s="87"/>
      <c r="H125" s="87"/>
      <c r="I125" s="53">
        <f t="shared" si="4"/>
        <v>4.0999999999999996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140</v>
      </c>
      <c r="B126" s="60">
        <v>340</v>
      </c>
      <c r="C126" s="60">
        <v>13</v>
      </c>
      <c r="D126" s="60">
        <v>41</v>
      </c>
      <c r="E126" s="65"/>
      <c r="F126" s="65"/>
      <c r="G126" s="65"/>
      <c r="H126" s="65"/>
      <c r="I126" s="53">
        <f t="shared" si="4"/>
        <v>3.8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150</v>
      </c>
      <c r="B127" s="60">
        <v>333</v>
      </c>
      <c r="C127" s="60">
        <v>14</v>
      </c>
      <c r="D127" s="60">
        <v>333</v>
      </c>
      <c r="E127" s="65">
        <v>1</v>
      </c>
      <c r="F127" s="65"/>
      <c r="G127" s="65"/>
      <c r="H127" s="65"/>
      <c r="I127" s="53">
        <f t="shared" si="4"/>
        <v>3.4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Peuplier Raspalje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5</v>
      </c>
      <c r="B140" s="60">
        <v>11.5</v>
      </c>
      <c r="C140" s="50">
        <v>1</v>
      </c>
      <c r="D140" s="60">
        <v>0</v>
      </c>
      <c r="E140" s="51"/>
      <c r="F140" s="51"/>
      <c r="G140" s="51"/>
      <c r="H140" s="51"/>
      <c r="I140" s="57">
        <f>IFERROR(B140/A140,"")</f>
        <v>2.2999999999999998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10</v>
      </c>
      <c r="B141" s="60">
        <v>59.6</v>
      </c>
      <c r="C141" s="50">
        <v>2</v>
      </c>
      <c r="D141" s="60">
        <v>0</v>
      </c>
      <c r="E141" s="51"/>
      <c r="F141" s="51"/>
      <c r="G141" s="51"/>
      <c r="H141" s="51"/>
      <c r="I141" s="57">
        <f t="shared" ref="I141:I159" si="5">IF(A141&lt;&gt;0,(B141-(B140-D140))/(A141-A140),"")</f>
        <v>9.620000000000001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15</v>
      </c>
      <c r="B142" s="60">
        <v>137.80000000000001</v>
      </c>
      <c r="C142" s="50">
        <v>3</v>
      </c>
      <c r="D142" s="60">
        <v>0</v>
      </c>
      <c r="E142" s="51"/>
      <c r="F142" s="51"/>
      <c r="G142" s="51"/>
      <c r="H142" s="51"/>
      <c r="I142" s="57">
        <f t="shared" si="5"/>
        <v>15.640000000000004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20</v>
      </c>
      <c r="B143" s="60">
        <v>237.2</v>
      </c>
      <c r="C143" s="50">
        <v>4</v>
      </c>
      <c r="D143" s="60">
        <v>0</v>
      </c>
      <c r="E143" s="51"/>
      <c r="F143" s="51"/>
      <c r="G143" s="51"/>
      <c r="H143" s="51"/>
      <c r="I143" s="57">
        <f t="shared" si="5"/>
        <v>19.879999999999995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25</v>
      </c>
      <c r="B144" s="60">
        <v>346.2</v>
      </c>
      <c r="C144" s="50">
        <v>5</v>
      </c>
      <c r="D144" s="60">
        <v>0</v>
      </c>
      <c r="E144" s="51"/>
      <c r="F144" s="51"/>
      <c r="G144" s="51"/>
      <c r="H144" s="51"/>
      <c r="I144" s="57">
        <f t="shared" si="5"/>
        <v>21.8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30</v>
      </c>
      <c r="B145" s="60">
        <v>448.7</v>
      </c>
      <c r="C145" s="50">
        <v>6</v>
      </c>
      <c r="D145" s="60">
        <v>0</v>
      </c>
      <c r="E145" s="51"/>
      <c r="F145" s="51"/>
      <c r="G145" s="51"/>
      <c r="H145" s="51"/>
      <c r="I145" s="57">
        <f t="shared" si="5"/>
        <v>20.5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35</v>
      </c>
      <c r="B146" s="60">
        <v>538.5</v>
      </c>
      <c r="C146" s="50">
        <v>7</v>
      </c>
      <c r="D146" s="60">
        <v>0</v>
      </c>
      <c r="E146" s="51"/>
      <c r="F146" s="51"/>
      <c r="G146" s="51"/>
      <c r="H146" s="51"/>
      <c r="I146" s="57">
        <f t="shared" si="5"/>
        <v>17.96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40</v>
      </c>
      <c r="B147" s="60">
        <v>610.29999999999995</v>
      </c>
      <c r="C147" s="50">
        <v>8</v>
      </c>
      <c r="D147" s="60">
        <v>0</v>
      </c>
      <c r="E147" s="51"/>
      <c r="F147" s="51"/>
      <c r="G147" s="51"/>
      <c r="H147" s="51"/>
      <c r="I147" s="57">
        <f>IF(A147&lt;&gt;0,(B147-(B146-D146))/(A147-A146),"")</f>
        <v>14.359999999999991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45</v>
      </c>
      <c r="B148" s="60">
        <v>663.5</v>
      </c>
      <c r="C148" s="50">
        <v>9</v>
      </c>
      <c r="D148" s="60">
        <v>663.5</v>
      </c>
      <c r="E148" s="51">
        <v>0.85</v>
      </c>
      <c r="F148" s="51"/>
      <c r="G148" s="51">
        <v>0.15</v>
      </c>
      <c r="H148" s="51"/>
      <c r="I148" s="57">
        <f t="shared" si="5"/>
        <v>10.640000000000009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rintOptions horizontalCentered="1" verticalCentered="1"/>
  <pageMargins left="0.11811023622047245" right="0.11811023622047245" top="0.15748031496062992" bottom="0.15748031496062992" header="0" footer="0"/>
  <pageSetup paperSize="8" scale="25" fitToWidth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C27" sqref="C2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rouge d'Amérique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tauzin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pédonculé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sessile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Peuplier Raspalje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281.82797419088109</v>
      </c>
      <c r="T3" s="59">
        <f>IF('Données projet'!E9&gt;30,$R$33-$H$33,LOOKUP('Données projet'!$E$9,$A$3:$A$203,R3:R203)-LOOKUP('Données projet'!$E$9,$A$3:$A$203,$H$3:$H$203))</f>
        <v>298.98873283425371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206.53345322763442</v>
      </c>
      <c r="AO3" s="59">
        <f>IF('Données projet'!E10&gt;30,$AM$33-$H$33,LOOKUP('Données projet'!$E$10,$A$3:$A$203,AM3:AM203)-LOOKUP('Données projet'!$E$10,$A$3:$A$203,$H$3:$H$203))</f>
        <v>96.700732426680929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328.34986205643321</v>
      </c>
      <c r="BJ3" s="59">
        <f>IF('Données projet'!E11&gt;30,$BH$33-$H$33,LOOKUP('Données projet'!$E$11,$A$3:$A$203,BH3:BH203)-LOOKUP('Données projet'!$E$11,$A$3:$A$203,$H$3:$H$203))</f>
        <v>251.60894449147008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360.44607552967267</v>
      </c>
      <c r="CE3" s="59">
        <f>IF('Données projet'!E12&gt;30,$CC$33-$H$33,LOOKUP('Données projet'!$E$12,$A$3:$A$203,CC3:CC203)-LOOKUP('Données projet'!$E$12,$A$3:$A$203,$H$3:$H$203))</f>
        <v>271.54361159160169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309.89554000341082</v>
      </c>
      <c r="CZ3" s="59">
        <f>IF('Données projet'!E13&gt;30,$CX$33-$H$33,LOOKUP('Données projet'!$E$13,$A$3:$A$203,CX3:CX203)-LOOKUP('Données projet'!$E$13,$A$3:$A$203,$H$3:$H$203))</f>
        <v>465.9235824539021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3.5</v>
      </c>
      <c r="N4" s="13">
        <f>IF('Données projet'!$A$36&gt;35,N3+M4-V3,IF(A4&lt;'Données projet'!$A$36,$K$205^A4,IF(A4='Données projet'!$A$36,'Données projet'!$B$36,N3+M4-V3)))</f>
        <v>1.4269435884576509</v>
      </c>
      <c r="O4" s="13">
        <f>N4*VLOOKUP('Données projet'!$B$9,Paramètres!$A$1:$I$89,3,0)*VLOOKUP('Données projet'!$B$9,Paramètres!$A$1:$I$89,5,0)</f>
        <v>1.246577918876604</v>
      </c>
      <c r="P4" s="13">
        <f>EXP(-1.0587+0.8836*LN(O4)+0.284)</f>
        <v>0.55992486380829476</v>
      </c>
      <c r="Q4" s="20">
        <f t="shared" ref="Q4:Q34" si="2">(O4+P4)*0.475*44/12</f>
        <v>3.1463256798428652</v>
      </c>
      <c r="R4" s="59">
        <f t="shared" si="0"/>
        <v>261.0352145687317</v>
      </c>
      <c r="S4" s="59">
        <f ca="1">AVERAGE(OFFSET($R$3,0,0,'Données projet'!$E$9+1,1))-AVERAGE(OFFSET($H$3,0,0,'Données projet'!$E$9+1,1))</f>
        <v>281.82797419088109</v>
      </c>
      <c r="T4" s="59">
        <f>$T$3</f>
        <v>298.98873283425371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1.8</v>
      </c>
      <c r="AI4" s="13">
        <f>IF('Données projet'!$A$62&gt;35,AI3+AH4-AQ3,IF(A4&lt;'Données projet'!$A$62,$AF$205^A4,IF(A4='Données projet'!$A$62,'Données projet'!$B$62,AI3+AH4-AQ3)))</f>
        <v>1.1422113165588705</v>
      </c>
      <c r="AJ4" s="13">
        <f>AI4*VLOOKUP('Données projet'!$B$10,Paramètres!$A$1:$I$89,3,0)*VLOOKUP('Données projet'!$B$10,Paramètres!$A$1:$I$89,5,0)</f>
        <v>1.1403837784523765</v>
      </c>
      <c r="AK4" s="13">
        <f>EXP(-1.0587+0.8836*LN(AJ4)+0.284)</f>
        <v>0.51756196833790413</v>
      </c>
      <c r="AL4" s="20">
        <f t="shared" ref="AL4:AL67" si="4">(AJ4+AK4)*0.475*44/12</f>
        <v>2.8875888423264051</v>
      </c>
      <c r="AM4" s="59">
        <f t="shared" ref="AM4:AM67" si="5">AL4+(AD4+AE4)*44/12</f>
        <v>260.77647773121527</v>
      </c>
      <c r="AN4" s="59">
        <f ca="1">AVERAGE(OFFSET($AM$3,0,0,'Données projet'!$E$10+1,1))-AVERAGE(OFFSET($H$3,0,0,'Données projet'!$E$10+1,1))</f>
        <v>206.53345322763442</v>
      </c>
      <c r="AO4" s="59">
        <f>$AO$3</f>
        <v>96.700732426680929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3.65</v>
      </c>
      <c r="BD4" s="12">
        <f>IF('Données projet'!$A$88&gt;35,BD3+BC4-BL3,IF(A4&lt;'Données projet'!$A$88,$BA$205^A4,IF(A4='Données projet'!$A$88,'Données projet'!$B$88,BD3+BC4-BL3)))</f>
        <v>1.2392705892426346</v>
      </c>
      <c r="BE4" s="13">
        <f>BD4*VLOOKUP('Données projet'!$B$11,Paramètres!$A$1:$I$89,3,0)*VLOOKUP('Données projet'!$B$11,Paramètres!$A$1:$I$89,5,0)</f>
        <v>1.0439615443779955</v>
      </c>
      <c r="BF4" s="13">
        <f>EXP(-1.0587+0.8836*LN(BE4)+0.284)</f>
        <v>0.478698084995758</v>
      </c>
      <c r="BG4" s="20">
        <f t="shared" ref="BG4:BG67" si="7">(BE4+BF4)*0.475*44/12</f>
        <v>2.6519655211592874</v>
      </c>
      <c r="BH4" s="59">
        <f t="shared" ref="BH4:BH67" si="8">BG4+(AY4+AZ4)*44/12</f>
        <v>260.54085441004815</v>
      </c>
      <c r="BI4" s="59">
        <f ca="1">AVERAGE(OFFSET($BH$3,0,0,'Données projet'!$E$11+1,1))-AVERAGE(OFFSET($H$3,0,0,'Données projet'!$E$11+1,1))</f>
        <v>328.34986205643321</v>
      </c>
      <c r="BJ4" s="59">
        <f>$BJ$3</f>
        <v>251.60894449147008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3.65</v>
      </c>
      <c r="BY4" s="12">
        <f>IF('Données projet'!$A$114&gt;35,BY3+BX4-CG3,IF(A4&lt;'Données projet'!$A$114,$BV$205^A4,IF(A4='Données projet'!$A$114,'Données projet'!$B$114,BY3+BX4-CG3)))</f>
        <v>1.2392705892426346</v>
      </c>
      <c r="BZ4" s="13">
        <f>BY4*VLOOKUP('Données projet'!$B$12,Paramètres!$A$1:$I$89,3,0)*VLOOKUP('Données projet'!$B$12,Paramètres!$A$1:$I$89,5,0)</f>
        <v>1.1212920291467359</v>
      </c>
      <c r="CA4" s="13">
        <f>EXP(-1.0587+0.8836*LN(BZ4)+0.284)</f>
        <v>0.50989827066551541</v>
      </c>
      <c r="CB4" s="20">
        <f t="shared" ref="CB4:CB67" si="10">(BZ4+CA4)*0.475*44/12</f>
        <v>2.8409897721730037</v>
      </c>
      <c r="CC4" s="59">
        <f t="shared" ref="CC4:CC67" si="11">CB4+(BT4+BU4)*44/12</f>
        <v>260.72987866106189</v>
      </c>
      <c r="CD4" s="59">
        <f ca="1">AVERAGE(OFFSET($CC$3,0,0,'Données projet'!$E$12+1,1))-AVERAGE(OFFSET($H$3,0,0,'Données projet'!$E$12+1,1))</f>
        <v>360.44607552967267</v>
      </c>
      <c r="CE4" s="59">
        <f>$CE$3</f>
        <v>271.54361159160169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2.2999999999999998</v>
      </c>
      <c r="CT4" s="12">
        <f>IF('Données projet'!$A$140&gt;35,CT3+CS4-DB3,IF(A4&lt;'Données projet'!$A$140,$CQ$205^A4,IF(A4='Données projet'!$A$140,'Données projet'!$B$140,CT3+CS4-DB3)))</f>
        <v>1.6298197193463291</v>
      </c>
      <c r="CU4" s="17">
        <f>CT4*VLOOKUP('Données projet'!$B$13,Paramètres!$A$1:$I$89,3,0)*VLOOKUP('Données projet'!$B$13,Paramètres!$A$1:$I$89,5,0)</f>
        <v>0.82123356018422833</v>
      </c>
      <c r="CV4" s="13">
        <f>EXP(-1.0587+0.8836*LN(CU4)+0.284)</f>
        <v>0.38723520258238225</v>
      </c>
      <c r="CW4" s="20">
        <f t="shared" ref="CW4:CW67" si="13">(CU4+CV4)*0.475*44/12</f>
        <v>2.1047497618185136</v>
      </c>
      <c r="CX4" s="59">
        <f t="shared" ref="CX4:CX67" si="14">CW4+(CO4+CP4)*44/12</f>
        <v>259.9936386507074</v>
      </c>
      <c r="CY4" s="59">
        <f ca="1">AVERAGE(OFFSET($CX$3,0,0,'Données projet'!$E$13+1,1))-AVERAGE(OFFSET($H$3,0,0,'Données projet'!$E$13+1,1))</f>
        <v>309.89554000341082</v>
      </c>
      <c r="CZ4" s="59">
        <f>$CZ$3</f>
        <v>465.9235824539021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3.5</v>
      </c>
      <c r="N5" s="13">
        <f>IF('Données projet'!$A$36&gt;35,N4+M5-V4,IF(A5&lt;'Données projet'!$A$36,$K$205^A5,IF(A5='Données projet'!$A$36,'Données projet'!$B$36,N4+M5-V4)))</f>
        <v>2.0361680046403978</v>
      </c>
      <c r="O5" s="13">
        <f>N5*VLOOKUP('Données projet'!$B$9,Paramètres!$A$1:$I$89,3,0)*VLOOKUP('Données projet'!$B$9,Paramètres!$A$1:$I$89,5,0)</f>
        <v>1.7787963688538517</v>
      </c>
      <c r="P5" s="13">
        <f t="shared" ref="P5:P68" si="33">EXP(-1.0587+0.8836*LN(O5)+0.284)</f>
        <v>0.76659080447596062</v>
      </c>
      <c r="Q5" s="20">
        <f t="shared" si="2"/>
        <v>4.4332159935494238</v>
      </c>
      <c r="R5" s="59">
        <f t="shared" si="0"/>
        <v>263.54432710466057</v>
      </c>
      <c r="S5" s="59">
        <f ca="1">AVERAGE(OFFSET($R$3,0,0,'Données projet'!$E$9+1,1))-AVERAGE(OFFSET($H$3,0,0,'Données projet'!$E$9+1,1))</f>
        <v>281.82797419088109</v>
      </c>
      <c r="T5" s="59">
        <f t="shared" ref="T5:T68" si="34">$T$3</f>
        <v>298.98873283425371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1.8</v>
      </c>
      <c r="AI5" s="13">
        <f>IF('Données projet'!$A$62&gt;35,AI4+AH5-AQ4,IF(A5&lt;'Données projet'!$A$62,$AF$205^A5,IF(A5='Données projet'!$A$62,'Données projet'!$B$62,AI4+AH5-AQ4)))</f>
        <v>1.3046466916751485</v>
      </c>
      <c r="AJ5" s="13">
        <f>AI5*VLOOKUP('Données projet'!$B$10,Paramètres!$A$1:$I$89,3,0)*VLOOKUP('Données projet'!$B$10,Paramètres!$A$1:$I$89,5,0)</f>
        <v>1.3025592569684683</v>
      </c>
      <c r="AK5" s="13">
        <f t="shared" ref="AK5:AK68" si="35">EXP(-1.0587+0.8836*LN(AJ5)+0.284)</f>
        <v>0.58208596344371843</v>
      </c>
      <c r="AL5" s="20">
        <f t="shared" si="4"/>
        <v>3.2824237588845584</v>
      </c>
      <c r="AM5" s="59">
        <f t="shared" si="5"/>
        <v>262.39353486999568</v>
      </c>
      <c r="AN5" s="59">
        <f ca="1">AVERAGE(OFFSET($AM$3,0,0,'Données projet'!$E$10+1,1))-AVERAGE(OFFSET($H$3,0,0,'Données projet'!$E$10+1,1))</f>
        <v>206.53345322763442</v>
      </c>
      <c r="AO5" s="59">
        <f t="shared" ref="AO5:AO68" si="36">$AO$3</f>
        <v>96.700732426680929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3.65</v>
      </c>
      <c r="BD5" s="12">
        <f>IF('Données projet'!$A$88&gt;35,BD4+BC5-BL4,IF(A5&lt;'Données projet'!$A$88,$BA$205^A5,IF(A5='Données projet'!$A$88,'Données projet'!$B$88,BD4+BC5-BL4)))</f>
        <v>1.5357915933617867</v>
      </c>
      <c r="BE5" s="13">
        <f>BD5*VLOOKUP('Données projet'!$B$11,Paramètres!$A$1:$I$89,3,0)*VLOOKUP('Données projet'!$B$11,Paramètres!$A$1:$I$89,5,0)</f>
        <v>1.2937508382479692</v>
      </c>
      <c r="BF5" s="13">
        <f t="shared" ref="BF5:BF68" si="37">EXP(-1.0587+0.8836*LN(BE5)+0.284)</f>
        <v>0.57860648124254321</v>
      </c>
      <c r="BG5" s="20">
        <f t="shared" si="7"/>
        <v>3.2610223314459752</v>
      </c>
      <c r="BH5" s="59">
        <f t="shared" si="8"/>
        <v>262.37213344255713</v>
      </c>
      <c r="BI5" s="59">
        <f ca="1">AVERAGE(OFFSET($BH$3,0,0,'Données projet'!$E$11+1,1))-AVERAGE(OFFSET($H$3,0,0,'Données projet'!$E$11+1,1))</f>
        <v>328.34986205643321</v>
      </c>
      <c r="BJ5" s="59">
        <f t="shared" ref="BJ5:BJ68" si="38">$BJ$3</f>
        <v>251.60894449147008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3.65</v>
      </c>
      <c r="BY5" s="12">
        <f>IF('Données projet'!$A$114&gt;35,BY4+BX5-CG4,IF(A5&lt;'Données projet'!$A$114,$BV$205^A5,IF(A5='Données projet'!$A$114,'Données projet'!$B$114,BY4+BX5-CG4)))</f>
        <v>1.5357915933617867</v>
      </c>
      <c r="BZ5" s="13">
        <f>BY5*VLOOKUP('Données projet'!$B$12,Paramètres!$A$1:$I$89,3,0)*VLOOKUP('Données projet'!$B$12,Paramètres!$A$1:$I$89,5,0)</f>
        <v>1.3895842336737447</v>
      </c>
      <c r="CA5" s="13">
        <f t="shared" ref="CA5:CA68" si="39">EXP(-1.0587+0.8836*LN(BZ5)+0.284)</f>
        <v>0.61631841327304715</v>
      </c>
      <c r="CB5" s="20">
        <f t="shared" si="10"/>
        <v>3.4936137767656628</v>
      </c>
      <c r="CC5" s="59">
        <f t="shared" si="11"/>
        <v>262.60472488787678</v>
      </c>
      <c r="CD5" s="59">
        <f ca="1">AVERAGE(OFFSET($CC$3,0,0,'Données projet'!$E$12+1,1))-AVERAGE(OFFSET($H$3,0,0,'Données projet'!$E$12+1,1))</f>
        <v>360.44607552967267</v>
      </c>
      <c r="CE5" s="59">
        <f t="shared" ref="CE5:CE68" si="40">$CE$3</f>
        <v>271.54361159160169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2.2999999999999998</v>
      </c>
      <c r="CT5" s="12">
        <f>IF('Données projet'!$A$140&gt;35,CT4+CS5-DB4,IF(A5&lt;'Données projet'!$A$140,$CQ$205^A5,IF(A5='Données projet'!$A$140,'Données projet'!$B$140,CT4+CS5-DB4)))</f>
        <v>2.6563123175701469</v>
      </c>
      <c r="CU5" s="17">
        <f>CT5*VLOOKUP('Données projet'!$B$13,Paramètres!$A$1:$I$89,3,0)*VLOOKUP('Données projet'!$B$13,Paramètres!$A$1:$I$89,5,0)</f>
        <v>1.3384626505772457</v>
      </c>
      <c r="CV5" s="13">
        <f t="shared" ref="CV5:CV68" si="41">EXP(-1.0587+0.8836*LN(CU5)+0.284)</f>
        <v>0.59624033660567388</v>
      </c>
      <c r="CW5" s="20">
        <f t="shared" si="13"/>
        <v>3.3696077026769182</v>
      </c>
      <c r="CX5" s="59">
        <f t="shared" si="14"/>
        <v>262.48071881378809</v>
      </c>
      <c r="CY5" s="59">
        <f ca="1">AVERAGE(OFFSET($CX$3,0,0,'Données projet'!$E$13+1,1))-AVERAGE(OFFSET($H$3,0,0,'Données projet'!$E$13+1,1))</f>
        <v>309.89554000341082</v>
      </c>
      <c r="CZ5" s="59">
        <f t="shared" ref="CZ5:CZ68" si="42">$CZ$3</f>
        <v>465.9235824539021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3.5</v>
      </c>
      <c r="N6" s="13">
        <f>IF('Données projet'!$A$36&gt;35,N5+M6-V5,IF(A6&lt;'Données projet'!$A$36,$K$205^A6,IF(A6='Données projet'!$A$36,'Données projet'!$B$36,N5+M6-V5)))</f>
        <v>2.905496879244224</v>
      </c>
      <c r="O6" s="13">
        <f>N6*VLOOKUP('Données projet'!$B$9,Paramètres!$A$1:$I$89,3,0)*VLOOKUP('Données projet'!$B$9,Paramètres!$A$1:$I$89,5,0)</f>
        <v>2.5382420737077545</v>
      </c>
      <c r="P6" s="13">
        <f t="shared" si="33"/>
        <v>1.049536285118966</v>
      </c>
      <c r="Q6" s="20">
        <f t="shared" si="2"/>
        <v>6.2487139749565381</v>
      </c>
      <c r="R6" s="59">
        <f t="shared" si="0"/>
        <v>266.58204730828987</v>
      </c>
      <c r="S6" s="59">
        <f ca="1">AVERAGE(OFFSET($R$3,0,0,'Données projet'!$E$9+1,1))-AVERAGE(OFFSET($H$3,0,0,'Données projet'!$E$9+1,1))</f>
        <v>281.82797419088109</v>
      </c>
      <c r="T6" s="59">
        <f t="shared" si="34"/>
        <v>298.98873283425371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1.8</v>
      </c>
      <c r="AI6" s="13">
        <f>IF('Données projet'!$A$62&gt;35,AI5+AH6-AQ5,IF(A6&lt;'Données projet'!$A$62,$AF$205^A6,IF(A6='Données projet'!$A$62,'Données projet'!$B$62,AI5+AH6-AQ5)))</f>
        <v>1.4901822153424462</v>
      </c>
      <c r="AJ6" s="13">
        <f>AI6*VLOOKUP('Données projet'!$B$10,Paramètres!$A$1:$I$89,3,0)*VLOOKUP('Données projet'!$B$10,Paramètres!$A$1:$I$89,5,0)</f>
        <v>1.4877979237978984</v>
      </c>
      <c r="AK6" s="13">
        <f t="shared" si="35"/>
        <v>0.65465410823422721</v>
      </c>
      <c r="AL6" s="20">
        <f t="shared" si="4"/>
        <v>3.7314372891226193</v>
      </c>
      <c r="AM6" s="59">
        <f t="shared" si="5"/>
        <v>264.06477062245591</v>
      </c>
      <c r="AN6" s="59">
        <f ca="1">AVERAGE(OFFSET($AM$3,0,0,'Données projet'!$E$10+1,1))-AVERAGE(OFFSET($H$3,0,0,'Données projet'!$E$10+1,1))</f>
        <v>206.53345322763442</v>
      </c>
      <c r="AO6" s="59">
        <f t="shared" si="36"/>
        <v>96.700732426680929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3.65</v>
      </c>
      <c r="BD6" s="12">
        <f>IF('Données projet'!$A$88&gt;35,BD5+BC6-BL5,IF(A6&lt;'Données projet'!$A$88,$BA$205^A6,IF(A6='Données projet'!$A$88,'Données projet'!$B$88,BD5+BC6-BL5)))</f>
        <v>1.9032613528593461</v>
      </c>
      <c r="BE6" s="13">
        <f>BD6*VLOOKUP('Données projet'!$B$11,Paramètres!$A$1:$I$89,3,0)*VLOOKUP('Données projet'!$B$11,Paramètres!$A$1:$I$89,5,0)</f>
        <v>1.6033073636487132</v>
      </c>
      <c r="BF6" s="13">
        <f t="shared" si="37"/>
        <v>0.69936661672428513</v>
      </c>
      <c r="BG6" s="20">
        <f t="shared" si="7"/>
        <v>4.0104905158163051</v>
      </c>
      <c r="BH6" s="59">
        <f t="shared" si="8"/>
        <v>264.3438238491496</v>
      </c>
      <c r="BI6" s="59">
        <f ca="1">AVERAGE(OFFSET($BH$3,0,0,'Données projet'!$E$11+1,1))-AVERAGE(OFFSET($H$3,0,0,'Données projet'!$E$11+1,1))</f>
        <v>328.34986205643321</v>
      </c>
      <c r="BJ6" s="59">
        <f t="shared" si="38"/>
        <v>251.60894449147008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3.65</v>
      </c>
      <c r="BY6" s="12">
        <f>IF('Données projet'!$A$114&gt;35,BY5+BX6-CG5,IF(A6&lt;'Données projet'!$A$114,$BV$205^A6,IF(A6='Données projet'!$A$114,'Données projet'!$B$114,BY5+BX6-CG5)))</f>
        <v>1.9032613528593461</v>
      </c>
      <c r="BZ6" s="13">
        <f>BY6*VLOOKUP('Données projet'!$B$12,Paramètres!$A$1:$I$89,3,0)*VLOOKUP('Données projet'!$B$12,Paramètres!$A$1:$I$89,5,0)</f>
        <v>1.7220708720671365</v>
      </c>
      <c r="CA6" s="13">
        <f t="shared" si="39"/>
        <v>0.74494935243383209</v>
      </c>
      <c r="CB6" s="20">
        <f t="shared" si="10"/>
        <v>4.2967268910058536</v>
      </c>
      <c r="CC6" s="59">
        <f t="shared" si="11"/>
        <v>264.63006022433916</v>
      </c>
      <c r="CD6" s="59">
        <f ca="1">AVERAGE(OFFSET($CC$3,0,0,'Données projet'!$E$12+1,1))-AVERAGE(OFFSET($H$3,0,0,'Données projet'!$E$12+1,1))</f>
        <v>360.44607552967267</v>
      </c>
      <c r="CE6" s="59">
        <f t="shared" si="40"/>
        <v>271.54361159160169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2.2999999999999998</v>
      </c>
      <c r="CT6" s="12">
        <f>IF('Données projet'!$A$140&gt;35,CT5+CS6-DB5,IF(A6&lt;'Données projet'!$A$140,$CQ$205^A6,IF(A6='Données projet'!$A$140,'Données projet'!$B$140,CT5+CS6-DB5)))</f>
        <v>4.3293101959183735</v>
      </c>
      <c r="CU6" s="17">
        <f>CT6*VLOOKUP('Données projet'!$B$13,Paramètres!$A$1:$I$89,3,0)*VLOOKUP('Données projet'!$B$13,Paramètres!$A$1:$I$89,5,0)</f>
        <v>2.18145282151935</v>
      </c>
      <c r="CV6" s="13">
        <f t="shared" si="41"/>
        <v>0.91805325710287411</v>
      </c>
      <c r="CW6" s="20">
        <f t="shared" si="13"/>
        <v>5.3983064202670406</v>
      </c>
      <c r="CX6" s="59">
        <f t="shared" si="14"/>
        <v>265.73163975360035</v>
      </c>
      <c r="CY6" s="59">
        <f ca="1">AVERAGE(OFFSET($CX$3,0,0,'Données projet'!$E$13+1,1))-AVERAGE(OFFSET($H$3,0,0,'Données projet'!$E$13+1,1))</f>
        <v>309.89554000341082</v>
      </c>
      <c r="CZ6" s="59">
        <f t="shared" si="42"/>
        <v>465.9235824539021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3.5</v>
      </c>
      <c r="N7" s="13">
        <f>IF('Données projet'!$A$36&gt;35,N6+M7-V6,IF(A7&lt;'Données projet'!$A$36,$K$205^A7,IF(A7='Données projet'!$A$36,'Données projet'!$B$36,N6+M7-V6)))</f>
        <v>4.1459801431212595</v>
      </c>
      <c r="O7" s="13">
        <f>N7*VLOOKUP('Données projet'!$B$9,Paramètres!$A$1:$I$89,3,0)*VLOOKUP('Données projet'!$B$9,Paramètres!$A$1:$I$89,5,0)</f>
        <v>3.6219282530307328</v>
      </c>
      <c r="P7" s="13">
        <f t="shared" si="33"/>
        <v>1.4369157669903438</v>
      </c>
      <c r="Q7" s="20">
        <f t="shared" si="2"/>
        <v>8.8108200015367082</v>
      </c>
      <c r="R7" s="59">
        <f t="shared" si="0"/>
        <v>270.36637555709223</v>
      </c>
      <c r="S7" s="59">
        <f ca="1">AVERAGE(OFFSET($R$3,0,0,'Données projet'!$E$9+1,1))-AVERAGE(OFFSET($H$3,0,0,'Données projet'!$E$9+1,1))</f>
        <v>281.82797419088109</v>
      </c>
      <c r="T7" s="59">
        <f t="shared" si="34"/>
        <v>298.98873283425371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1.8</v>
      </c>
      <c r="AI7" s="13">
        <f>IF('Données projet'!$A$62&gt;35,AI6+AH7-AQ6,IF(A7&lt;'Données projet'!$A$62,$AF$205^A7,IF(A7='Données projet'!$A$62,'Données projet'!$B$62,AI6+AH7-AQ6)))</f>
        <v>1.70210299009891</v>
      </c>
      <c r="AJ7" s="13">
        <f>AI7*VLOOKUP('Données projet'!$B$10,Paramètres!$A$1:$I$89,3,0)*VLOOKUP('Données projet'!$B$10,Paramètres!$A$1:$I$89,5,0)</f>
        <v>1.6993796253147517</v>
      </c>
      <c r="AK7" s="13">
        <f t="shared" si="35"/>
        <v>0.73626925977126689</v>
      </c>
      <c r="AL7" s="20">
        <f t="shared" si="4"/>
        <v>4.2420884748581491</v>
      </c>
      <c r="AM7" s="59">
        <f t="shared" si="5"/>
        <v>265.79764403041366</v>
      </c>
      <c r="AN7" s="59">
        <f ca="1">AVERAGE(OFFSET($AM$3,0,0,'Données projet'!$E$10+1,1))-AVERAGE(OFFSET($H$3,0,0,'Données projet'!$E$10+1,1))</f>
        <v>206.53345322763442</v>
      </c>
      <c r="AO7" s="59">
        <f t="shared" si="36"/>
        <v>96.700732426680929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3.65</v>
      </c>
      <c r="BD7" s="12">
        <f>IF('Données projet'!$A$88&gt;35,BD6+BC7-BL6,IF(A7&lt;'Données projet'!$A$88,$BA$205^A7,IF(A7='Données projet'!$A$88,'Données projet'!$B$88,BD6+BC7-BL6)))</f>
        <v>2.3586558182407358</v>
      </c>
      <c r="BE7" s="13">
        <f>BD7*VLOOKUP('Données projet'!$B$11,Paramètres!$A$1:$I$89,3,0)*VLOOKUP('Données projet'!$B$11,Paramètres!$A$1:$I$89,5,0)</f>
        <v>1.9869316612859962</v>
      </c>
      <c r="BF7" s="13">
        <f t="shared" si="37"/>
        <v>0.84533042826968274</v>
      </c>
      <c r="BG7" s="20">
        <f t="shared" si="7"/>
        <v>4.9328564726428068</v>
      </c>
      <c r="BH7" s="59">
        <f t="shared" si="8"/>
        <v>266.48841202819835</v>
      </c>
      <c r="BI7" s="59">
        <f ca="1">AVERAGE(OFFSET($BH$3,0,0,'Données projet'!$E$11+1,1))-AVERAGE(OFFSET($H$3,0,0,'Données projet'!$E$11+1,1))</f>
        <v>328.34986205643321</v>
      </c>
      <c r="BJ7" s="59">
        <f t="shared" si="38"/>
        <v>251.60894449147008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3.65</v>
      </c>
      <c r="BY7" s="12">
        <f>IF('Données projet'!$A$114&gt;35,BY6+BX7-CG6,IF(A7&lt;'Données projet'!$A$114,$BV$205^A7,IF(A7='Données projet'!$A$114,'Données projet'!$B$114,BY6+BX7-CG6)))</f>
        <v>2.3586558182407358</v>
      </c>
      <c r="BZ7" s="13">
        <f>BY7*VLOOKUP('Données projet'!$B$12,Paramètres!$A$1:$I$89,3,0)*VLOOKUP('Données projet'!$B$12,Paramètres!$A$1:$I$89,5,0)</f>
        <v>2.1341117843442179</v>
      </c>
      <c r="CA7" s="13">
        <f t="shared" si="39"/>
        <v>0.90042667189585779</v>
      </c>
      <c r="CB7" s="20">
        <f t="shared" si="10"/>
        <v>5.2851544779514645</v>
      </c>
      <c r="CC7" s="59">
        <f t="shared" si="11"/>
        <v>266.84071003350698</v>
      </c>
      <c r="CD7" s="59">
        <f ca="1">AVERAGE(OFFSET($CC$3,0,0,'Données projet'!$E$12+1,1))-AVERAGE(OFFSET($H$3,0,0,'Données projet'!$E$12+1,1))</f>
        <v>360.44607552967267</v>
      </c>
      <c r="CE7" s="59">
        <f t="shared" si="40"/>
        <v>271.54361159160169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2.2999999999999998</v>
      </c>
      <c r="CT7" s="12">
        <f>IF('Données projet'!$A$140&gt;35,CT6+CS7-DB6,IF(A7&lt;'Données projet'!$A$140,$CQ$205^A7,IF(A7='Données projet'!$A$140,'Données projet'!$B$140,CT6+CS7-DB6)))</f>
        <v>7.0559951284748843</v>
      </c>
      <c r="CU7" s="17">
        <f>CT7*VLOOKUP('Données projet'!$B$13,Paramètres!$A$1:$I$89,3,0)*VLOOKUP('Données projet'!$B$13,Paramètres!$A$1:$I$89,5,0)</f>
        <v>3.5553748253359245</v>
      </c>
      <c r="CV7" s="13">
        <f t="shared" si="41"/>
        <v>1.4135604908505204</v>
      </c>
      <c r="CW7" s="20">
        <f t="shared" si="13"/>
        <v>8.6542290090247249</v>
      </c>
      <c r="CX7" s="59">
        <f t="shared" si="14"/>
        <v>270.20978456458027</v>
      </c>
      <c r="CY7" s="59">
        <f ca="1">AVERAGE(OFFSET($CX$3,0,0,'Données projet'!$E$13+1,1))-AVERAGE(OFFSET($H$3,0,0,'Données projet'!$E$13+1,1))</f>
        <v>309.89554000341082</v>
      </c>
      <c r="CZ7" s="59">
        <f t="shared" si="42"/>
        <v>465.9235824539021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3.5</v>
      </c>
      <c r="N8" s="13">
        <f>IF('Données projet'!$A$36&gt;35,N7+M8-V7,IF(A8&lt;'Données projet'!$A$36,$K$205^A8,IF(A8='Données projet'!$A$36,'Données projet'!$B$36,N7+M8-V7)))</f>
        <v>5.9160797830996152</v>
      </c>
      <c r="O8" s="13">
        <f>N8*VLOOKUP('Données projet'!$B$9,Paramètres!$A$1:$I$89,3,0)*VLOOKUP('Données projet'!$B$9,Paramètres!$A$1:$I$89,5,0)</f>
        <v>5.1682872985158239</v>
      </c>
      <c r="P8" s="13">
        <f t="shared" si="33"/>
        <v>1.967275406006004</v>
      </c>
      <c r="Q8" s="20">
        <f t="shared" si="2"/>
        <v>12.427771710375517</v>
      </c>
      <c r="R8" s="59">
        <f t="shared" si="0"/>
        <v>275.20554948815328</v>
      </c>
      <c r="S8" s="59">
        <f ca="1">AVERAGE(OFFSET($R$3,0,0,'Données projet'!$E$9+1,1))-AVERAGE(OFFSET($H$3,0,0,'Données projet'!$E$9+1,1))</f>
        <v>281.82797419088109</v>
      </c>
      <c r="T8" s="59">
        <f t="shared" si="34"/>
        <v>298.98873283425371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1.8</v>
      </c>
      <c r="AI8" s="13">
        <f>IF('Données projet'!$A$62&gt;35,AI7+AH8-AQ7,IF(A8&lt;'Données projet'!$A$62,$AF$205^A8,IF(A8='Données projet'!$A$62,'Données projet'!$B$62,AI7+AH8-AQ7)))</f>
        <v>1.9441612972396662</v>
      </c>
      <c r="AJ8" s="13">
        <f>AI8*VLOOKUP('Données projet'!$B$10,Paramètres!$A$1:$I$89,3,0)*VLOOKUP('Données projet'!$B$10,Paramètres!$A$1:$I$89,5,0)</f>
        <v>1.9410506391640829</v>
      </c>
      <c r="AK8" s="13">
        <f t="shared" si="35"/>
        <v>0.82805930042399611</v>
      </c>
      <c r="AL8" s="20">
        <f t="shared" si="4"/>
        <v>4.8228664781159045</v>
      </c>
      <c r="AM8" s="59">
        <f t="shared" si="5"/>
        <v>267.60064425589366</v>
      </c>
      <c r="AN8" s="59">
        <f ca="1">AVERAGE(OFFSET($AM$3,0,0,'Données projet'!$E$10+1,1))-AVERAGE(OFFSET($H$3,0,0,'Données projet'!$E$10+1,1))</f>
        <v>206.53345322763442</v>
      </c>
      <c r="AO8" s="59">
        <f t="shared" si="36"/>
        <v>96.700732426680929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3.65</v>
      </c>
      <c r="BD8" s="12">
        <f>IF('Données projet'!$A$88&gt;35,BD7+BC8-BL7,IF(A8&lt;'Données projet'!$A$88,$BA$205^A8,IF(A8='Données projet'!$A$88,'Données projet'!$B$88,BD7+BC8-BL7)))</f>
        <v>2.9230127856917649</v>
      </c>
      <c r="BE8" s="13">
        <f>BD8*VLOOKUP('Données projet'!$B$11,Paramètres!$A$1:$I$89,3,0)*VLOOKUP('Données projet'!$B$11,Paramètres!$A$1:$I$89,5,0)</f>
        <v>2.462345970666743</v>
      </c>
      <c r="BF8" s="13">
        <f t="shared" si="37"/>
        <v>1.021758139251189</v>
      </c>
      <c r="BG8" s="20">
        <f t="shared" si="7"/>
        <v>6.068147991440398</v>
      </c>
      <c r="BH8" s="59">
        <f t="shared" si="8"/>
        <v>268.84592576921818</v>
      </c>
      <c r="BI8" s="59">
        <f ca="1">AVERAGE(OFFSET($BH$3,0,0,'Données projet'!$E$11+1,1))-AVERAGE(OFFSET($H$3,0,0,'Données projet'!$E$11+1,1))</f>
        <v>328.34986205643321</v>
      </c>
      <c r="BJ8" s="59">
        <f t="shared" si="38"/>
        <v>251.60894449147008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3.65</v>
      </c>
      <c r="BY8" s="12">
        <f>IF('Données projet'!$A$114&gt;35,BY7+BX8-CG7,IF(A8&lt;'Données projet'!$A$114,$BV$205^A8,IF(A8='Données projet'!$A$114,'Données projet'!$B$114,BY7+BX8-CG7)))</f>
        <v>2.9230127856917649</v>
      </c>
      <c r="BZ8" s="13">
        <f>BY8*VLOOKUP('Données projet'!$B$12,Paramètres!$A$1:$I$89,3,0)*VLOOKUP('Données projet'!$B$12,Paramètres!$A$1:$I$89,5,0)</f>
        <v>2.6447419684939089</v>
      </c>
      <c r="CA8" s="13">
        <f t="shared" si="39"/>
        <v>1.0883534414958294</v>
      </c>
      <c r="CB8" s="20">
        <f t="shared" si="10"/>
        <v>6.5018078390654601</v>
      </c>
      <c r="CC8" s="59">
        <f t="shared" si="11"/>
        <v>269.27958561684324</v>
      </c>
      <c r="CD8" s="59">
        <f ca="1">AVERAGE(OFFSET($CC$3,0,0,'Données projet'!$E$12+1,1))-AVERAGE(OFFSET($H$3,0,0,'Données projet'!$E$12+1,1))</f>
        <v>360.44607552967267</v>
      </c>
      <c r="CE8" s="59">
        <f t="shared" si="40"/>
        <v>271.54361159160169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>
        <f>VLOOKUP(A8,'Données projet'!$A$139:$I$159,2,0)</f>
        <v>11.5</v>
      </c>
      <c r="CR8" s="12">
        <f>VLOOKUP(A8,'Données projet'!$A$139:$I$159,9,0)</f>
        <v>2.2999999999999998</v>
      </c>
      <c r="CS8" s="12">
        <f t="array" ref="CS8">INDEX(CR:CR,MIN(IF(ISNUMBER(CR8:CR204),ROW(CR8:CR204),"")))</f>
        <v>2.2999999999999998</v>
      </c>
      <c r="CT8" s="12">
        <f>IF('Données projet'!$A$140&gt;35,CT7+CS8-DB7,IF(A8&lt;'Données projet'!$A$140,$CQ$205^A8,IF(A8='Données projet'!$A$140,'Données projet'!$B$140,CT7+CS8-DB7)))</f>
        <v>11.5</v>
      </c>
      <c r="CU8" s="17">
        <f>CT8*VLOOKUP('Données projet'!$B$13,Paramètres!$A$1:$I$89,3,0)*VLOOKUP('Données projet'!$B$13,Paramètres!$A$1:$I$89,5,0)</f>
        <v>5.7946200000000001</v>
      </c>
      <c r="CV8" s="13">
        <f t="shared" si="41"/>
        <v>2.1765112708158041</v>
      </c>
      <c r="CW8" s="20">
        <f t="shared" si="13"/>
        <v>13.883053630004191</v>
      </c>
      <c r="CX8" s="59">
        <f t="shared" si="14"/>
        <v>276.66083140778198</v>
      </c>
      <c r="CY8" s="59">
        <f ca="1">AVERAGE(OFFSET($CX$3,0,0,'Données projet'!$E$13+1,1))-AVERAGE(OFFSET($H$3,0,0,'Données projet'!$E$13+1,1))</f>
        <v>309.89554000341082</v>
      </c>
      <c r="CZ8" s="59">
        <f t="shared" si="42"/>
        <v>465.9235824539021</v>
      </c>
      <c r="DA8" s="15">
        <f>IF(ISNA(VLOOKUP(A8,'Données projet'!$A$139:$I$159,3,0)),0,VLOOKUP(A8,'Données projet'!$A$139:$I$159,3,0))</f>
        <v>1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3.5</v>
      </c>
      <c r="N9" s="13">
        <f>IF('Données projet'!$A$36&gt;35,N8+M9-V8,IF(A9&lt;'Données projet'!$A$36,$K$205^A9,IF(A9='Données projet'!$A$36,'Données projet'!$B$36,N8+M9-V8)))</f>
        <v>8.4419121152979262</v>
      </c>
      <c r="O9" s="13">
        <f>N9*VLOOKUP('Données projet'!$B$9,Paramètres!$A$1:$I$89,3,0)*VLOOKUP('Données projet'!$B$9,Paramètres!$A$1:$I$89,5,0)</f>
        <v>7.3748544239242699</v>
      </c>
      <c r="P9" s="13">
        <f t="shared" si="33"/>
        <v>2.6933885840659002</v>
      </c>
      <c r="Q9" s="20">
        <f t="shared" si="2"/>
        <v>17.535523238916209</v>
      </c>
      <c r="R9" s="59">
        <f t="shared" si="0"/>
        <v>281.5355232389162</v>
      </c>
      <c r="S9" s="59">
        <f ca="1">AVERAGE(OFFSET($R$3,0,0,'Données projet'!$E$9+1,1))-AVERAGE(OFFSET($H$3,0,0,'Données projet'!$E$9+1,1))</f>
        <v>281.82797419088109</v>
      </c>
      <c r="T9" s="59">
        <f t="shared" si="34"/>
        <v>298.98873283425371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1.8</v>
      </c>
      <c r="AI9" s="13">
        <f>IF('Données projet'!$A$62&gt;35,AI8+AH9-AQ8,IF(A9&lt;'Données projet'!$A$62,$AF$205^A9,IF(A9='Données projet'!$A$62,'Données projet'!$B$62,AI8+AH9-AQ8)))</f>
        <v>2.2206430349229209</v>
      </c>
      <c r="AJ9" s="13">
        <f>AI9*VLOOKUP('Données projet'!$B$10,Paramètres!$A$1:$I$89,3,0)*VLOOKUP('Données projet'!$B$10,Paramètres!$A$1:$I$89,5,0)</f>
        <v>2.2170900060670444</v>
      </c>
      <c r="AK9" s="13">
        <f t="shared" si="35"/>
        <v>0.93129272466392998</v>
      </c>
      <c r="AL9" s="20">
        <f t="shared" si="4"/>
        <v>5.4834332560231127</v>
      </c>
      <c r="AM9" s="59">
        <f t="shared" si="5"/>
        <v>269.48343325602309</v>
      </c>
      <c r="AN9" s="59">
        <f ca="1">AVERAGE(OFFSET($AM$3,0,0,'Données projet'!$E$10+1,1))-AVERAGE(OFFSET($H$3,0,0,'Données projet'!$E$10+1,1))</f>
        <v>206.53345322763442</v>
      </c>
      <c r="AO9" s="59">
        <f t="shared" si="36"/>
        <v>96.700732426680929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3.65</v>
      </c>
      <c r="BD9" s="12">
        <f>IF('Données projet'!$A$88&gt;35,BD8+BC9-BL8,IF(A9&lt;'Données projet'!$A$88,$BA$205^A9,IF(A9='Données projet'!$A$88,'Données projet'!$B$88,BD8+BC9-BL8)))</f>
        <v>3.6224037772879885</v>
      </c>
      <c r="BE9" s="13">
        <f>BD9*VLOOKUP('Données projet'!$B$11,Paramètres!$A$1:$I$89,3,0)*VLOOKUP('Données projet'!$B$11,Paramètres!$A$1:$I$89,5,0)</f>
        <v>3.0515129419874016</v>
      </c>
      <c r="BF9" s="13">
        <f t="shared" si="37"/>
        <v>1.2350078267772846</v>
      </c>
      <c r="BG9" s="20">
        <f t="shared" si="7"/>
        <v>7.4656903389318279</v>
      </c>
      <c r="BH9" s="59">
        <f t="shared" si="8"/>
        <v>271.46569033893184</v>
      </c>
      <c r="BI9" s="59">
        <f ca="1">AVERAGE(OFFSET($BH$3,0,0,'Données projet'!$E$11+1,1))-AVERAGE(OFFSET($H$3,0,0,'Données projet'!$E$11+1,1))</f>
        <v>328.34986205643321</v>
      </c>
      <c r="BJ9" s="59">
        <f t="shared" si="38"/>
        <v>251.60894449147008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3.65</v>
      </c>
      <c r="BY9" s="12">
        <f>IF('Données projet'!$A$114&gt;35,BY8+BX9-CG8,IF(A9&lt;'Données projet'!$A$114,$BV$205^A9,IF(A9='Données projet'!$A$114,'Données projet'!$B$114,BY8+BX9-CG8)))</f>
        <v>3.6224037772879885</v>
      </c>
      <c r="BZ9" s="13">
        <f>BY9*VLOOKUP('Données projet'!$B$12,Paramètres!$A$1:$I$89,3,0)*VLOOKUP('Données projet'!$B$12,Paramètres!$A$1:$I$89,5,0)</f>
        <v>3.2775509376901719</v>
      </c>
      <c r="CA9" s="13">
        <f t="shared" si="39"/>
        <v>1.315502139804245</v>
      </c>
      <c r="CB9" s="20">
        <f t="shared" si="10"/>
        <v>7.9995674433027766</v>
      </c>
      <c r="CC9" s="59">
        <f t="shared" si="11"/>
        <v>271.99956744330279</v>
      </c>
      <c r="CD9" s="59">
        <f ca="1">AVERAGE(OFFSET($CC$3,0,0,'Données projet'!$E$12+1,1))-AVERAGE(OFFSET($H$3,0,0,'Données projet'!$E$12+1,1))</f>
        <v>360.44607552967267</v>
      </c>
      <c r="CE9" s="59">
        <f t="shared" si="40"/>
        <v>271.54361159160169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9.620000000000001</v>
      </c>
      <c r="CT9" s="12">
        <f>IF('Données projet'!$A$140&gt;35,CT8+CS9-DB8,IF(A9&lt;'Données projet'!$A$140,$CQ$205^A9,IF(A9='Données projet'!$A$140,'Données projet'!$B$140,CT8+CS9-DB8)))</f>
        <v>21.12</v>
      </c>
      <c r="CU9" s="17">
        <f>CT9*VLOOKUP('Données projet'!$B$13,Paramètres!$A$1:$I$89,3,0)*VLOOKUP('Données projet'!$B$13,Paramètres!$A$1:$I$89,5,0)</f>
        <v>10.641945600000001</v>
      </c>
      <c r="CV9" s="13">
        <f t="shared" si="41"/>
        <v>3.7241558823502636</v>
      </c>
      <c r="CW9" s="20">
        <f t="shared" si="13"/>
        <v>25.020960081760041</v>
      </c>
      <c r="CX9" s="59">
        <f t="shared" si="14"/>
        <v>289.02096008176005</v>
      </c>
      <c r="CY9" s="59">
        <f ca="1">AVERAGE(OFFSET($CX$3,0,0,'Données projet'!$E$13+1,1))-AVERAGE(OFFSET($H$3,0,0,'Données projet'!$E$13+1,1))</f>
        <v>309.89554000341082</v>
      </c>
      <c r="CZ9" s="59">
        <f t="shared" si="42"/>
        <v>465.9235824539021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3.5</v>
      </c>
      <c r="N10" s="13">
        <f>IF('Données projet'!$A$36&gt;35,N9+M10-V9,IF(A10&lt;'Données projet'!$A$36,$K$205^A10,IF(A10='Données projet'!$A$36,'Données projet'!$B$36,N9+M10-V9)))</f>
        <v>12.04613236724734</v>
      </c>
      <c r="O10" s="13">
        <f>N10*VLOOKUP('Données projet'!$B$9,Paramètres!$A$1:$I$89,3,0)*VLOOKUP('Données projet'!$B$9,Paramètres!$A$1:$I$89,5,0)</f>
        <v>10.523501236027279</v>
      </c>
      <c r="P10" s="13">
        <f t="shared" si="33"/>
        <v>3.6875071190486755</v>
      </c>
      <c r="Q10" s="20">
        <f t="shared" si="2"/>
        <v>24.750839551757284</v>
      </c>
      <c r="R10" s="59">
        <f t="shared" si="0"/>
        <v>289.97306177397951</v>
      </c>
      <c r="S10" s="59">
        <f ca="1">AVERAGE(OFFSET($R$3,0,0,'Données projet'!$E$9+1,1))-AVERAGE(OFFSET($H$3,0,0,'Données projet'!$E$9+1,1))</f>
        <v>281.82797419088109</v>
      </c>
      <c r="T10" s="59">
        <f t="shared" si="34"/>
        <v>298.98873283425371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1.8</v>
      </c>
      <c r="AI10" s="13">
        <f>IF('Données projet'!$A$62&gt;35,AI9+AH10-AQ9,IF(A10&lt;'Données projet'!$A$62,$AF$205^A10,IF(A10='Données projet'!$A$62,'Données projet'!$B$62,AI9+AH10-AQ9)))</f>
        <v>2.5364436045265957</v>
      </c>
      <c r="AJ10" s="13">
        <f>AI10*VLOOKUP('Données projet'!$B$10,Paramètres!$A$1:$I$89,3,0)*VLOOKUP('Données projet'!$B$10,Paramètres!$A$1:$I$89,5,0)</f>
        <v>2.5323852947593535</v>
      </c>
      <c r="AK10" s="13">
        <f t="shared" si="35"/>
        <v>1.0473961690519924</v>
      </c>
      <c r="AL10" s="20">
        <f t="shared" si="4"/>
        <v>6.2347860494714276</v>
      </c>
      <c r="AM10" s="59">
        <f t="shared" si="5"/>
        <v>271.45700827169367</v>
      </c>
      <c r="AN10" s="59">
        <f ca="1">AVERAGE(OFFSET($AM$3,0,0,'Données projet'!$E$10+1,1))-AVERAGE(OFFSET($H$3,0,0,'Données projet'!$E$10+1,1))</f>
        <v>206.53345322763442</v>
      </c>
      <c r="AO10" s="59">
        <f t="shared" si="36"/>
        <v>96.700732426680929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3.65</v>
      </c>
      <c r="BD10" s="12">
        <f>IF('Données projet'!$A$88&gt;35,BD9+BC10-BL9,IF(A10&lt;'Données projet'!$A$88,$BA$205^A10,IF(A10='Données projet'!$A$88,'Données projet'!$B$88,BD9+BC10-BL9)))</f>
        <v>4.4891384635544309</v>
      </c>
      <c r="BE10" s="13">
        <f>BD10*VLOOKUP('Données projet'!$B$11,Paramètres!$A$1:$I$89,3,0)*VLOOKUP('Données projet'!$B$11,Paramètres!$A$1:$I$89,5,0)</f>
        <v>3.7816502416982529</v>
      </c>
      <c r="BF10" s="13">
        <f t="shared" si="37"/>
        <v>1.492764553183741</v>
      </c>
      <c r="BG10" s="20">
        <f t="shared" si="7"/>
        <v>9.1862724344194735</v>
      </c>
      <c r="BH10" s="59">
        <f t="shared" si="8"/>
        <v>274.40849465664172</v>
      </c>
      <c r="BI10" s="59">
        <f ca="1">AVERAGE(OFFSET($BH$3,0,0,'Données projet'!$E$11+1,1))-AVERAGE(OFFSET($H$3,0,0,'Données projet'!$E$11+1,1))</f>
        <v>328.34986205643321</v>
      </c>
      <c r="BJ10" s="59">
        <f t="shared" si="38"/>
        <v>251.60894449147008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3.65</v>
      </c>
      <c r="BY10" s="12">
        <f>IF('Données projet'!$A$114&gt;35,BY9+BX10-CG9,IF(A10&lt;'Données projet'!$A$114,$BV$205^A10,IF(A10='Données projet'!$A$114,'Données projet'!$B$114,BY9+BX10-CG9)))</f>
        <v>4.4891384635544309</v>
      </c>
      <c r="BZ10" s="13">
        <f>BY10*VLOOKUP('Données projet'!$B$12,Paramètres!$A$1:$I$89,3,0)*VLOOKUP('Données projet'!$B$12,Paramètres!$A$1:$I$89,5,0)</f>
        <v>4.0617724818240486</v>
      </c>
      <c r="CA10" s="13">
        <f t="shared" si="39"/>
        <v>1.590058719758437</v>
      </c>
      <c r="CB10" s="20">
        <f t="shared" si="10"/>
        <v>9.8436060094228282</v>
      </c>
      <c r="CC10" s="59">
        <f t="shared" si="11"/>
        <v>275.06582823164507</v>
      </c>
      <c r="CD10" s="59">
        <f ca="1">AVERAGE(OFFSET($CC$3,0,0,'Données projet'!$E$12+1,1))-AVERAGE(OFFSET($H$3,0,0,'Données projet'!$E$12+1,1))</f>
        <v>360.44607552967267</v>
      </c>
      <c r="CE10" s="59">
        <f t="shared" si="40"/>
        <v>271.54361159160169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9.620000000000001</v>
      </c>
      <c r="CT10" s="12">
        <f>IF('Données projet'!$A$140&gt;35,CT9+CS10-DB9,IF(A10&lt;'Données projet'!$A$140,$CQ$205^A10,IF(A10='Données projet'!$A$140,'Données projet'!$B$140,CT9+CS10-DB9)))</f>
        <v>30.740000000000002</v>
      </c>
      <c r="CU10" s="17">
        <f>CT10*VLOOKUP('Données projet'!$B$13,Paramètres!$A$1:$I$89,3,0)*VLOOKUP('Données projet'!$B$13,Paramètres!$A$1:$I$89,5,0)</f>
        <v>15.489271200000003</v>
      </c>
      <c r="CV10" s="13">
        <f t="shared" si="41"/>
        <v>5.1887583132497408</v>
      </c>
      <c r="CW10" s="20">
        <f t="shared" si="13"/>
        <v>36.014234735576629</v>
      </c>
      <c r="CX10" s="59">
        <f t="shared" si="14"/>
        <v>301.23645695779885</v>
      </c>
      <c r="CY10" s="59">
        <f ca="1">AVERAGE(OFFSET($CX$3,0,0,'Données projet'!$E$13+1,1))-AVERAGE(OFFSET($H$3,0,0,'Données projet'!$E$13+1,1))</f>
        <v>309.89554000341082</v>
      </c>
      <c r="CZ10" s="59">
        <f t="shared" si="42"/>
        <v>465.9235824539021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3.5</v>
      </c>
      <c r="N11" s="13">
        <f>IF('Données projet'!$A$36&gt;35,N10+M11-V10,IF(A11&lt;'Données projet'!$A$36,$K$205^A11,IF(A11='Données projet'!$A$36,'Données projet'!$B$36,N10+M11-V10)))</f>
        <v>17.189151347155779</v>
      </c>
      <c r="O11" s="13">
        <f>N11*VLOOKUP('Données projet'!$B$9,Paramètres!$A$1:$I$89,3,0)*VLOOKUP('Données projet'!$B$9,Paramètres!$A$1:$I$89,5,0)</f>
        <v>15.01644261687529</v>
      </c>
      <c r="P11" s="13">
        <f t="shared" si="33"/>
        <v>5.0485506745958499</v>
      </c>
      <c r="Q11" s="20">
        <f t="shared" si="2"/>
        <v>34.946529982645565</v>
      </c>
      <c r="R11" s="59">
        <f t="shared" si="0"/>
        <v>301.39097442709004</v>
      </c>
      <c r="S11" s="59">
        <f ca="1">AVERAGE(OFFSET($R$3,0,0,'Données projet'!$E$9+1,1))-AVERAGE(OFFSET($H$3,0,0,'Données projet'!$E$9+1,1))</f>
        <v>281.82797419088109</v>
      </c>
      <c r="T11" s="59">
        <f t="shared" si="34"/>
        <v>298.98873283425371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1.8</v>
      </c>
      <c r="AI11" s="13">
        <f>IF('Données projet'!$A$62&gt;35,AI10+AH11-AQ10,IF(A11&lt;'Données projet'!$A$62,$AF$205^A11,IF(A11='Données projet'!$A$62,'Données projet'!$B$62,AI10+AH11-AQ10)))</f>
        <v>2.8971545889036499</v>
      </c>
      <c r="AJ11" s="13">
        <f>AI11*VLOOKUP('Données projet'!$B$10,Paramètres!$A$1:$I$89,3,0)*VLOOKUP('Données projet'!$B$10,Paramètres!$A$1:$I$89,5,0)</f>
        <v>2.892519141561404</v>
      </c>
      <c r="AK11" s="13">
        <f t="shared" si="35"/>
        <v>1.1779741276736284</v>
      </c>
      <c r="AL11" s="20">
        <f t="shared" si="4"/>
        <v>7.0894424439176804</v>
      </c>
      <c r="AM11" s="59">
        <f t="shared" si="5"/>
        <v>273.53388688836213</v>
      </c>
      <c r="AN11" s="59">
        <f ca="1">AVERAGE(OFFSET($AM$3,0,0,'Données projet'!$E$10+1,1))-AVERAGE(OFFSET($H$3,0,0,'Données projet'!$E$10+1,1))</f>
        <v>206.53345322763442</v>
      </c>
      <c r="AO11" s="59">
        <f t="shared" si="36"/>
        <v>96.700732426680929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3.65</v>
      </c>
      <c r="BD11" s="12">
        <f>IF('Données projet'!$A$88&gt;35,BD10+BC11-BL10,IF(A11&lt;'Données projet'!$A$88,$BA$205^A11,IF(A11='Données projet'!$A$88,'Données projet'!$B$88,BD10+BC11-BL10)))</f>
        <v>5.563257268920875</v>
      </c>
      <c r="BE11" s="13">
        <f>BD11*VLOOKUP('Données projet'!$B$11,Paramètres!$A$1:$I$89,3,0)*VLOOKUP('Données projet'!$B$11,Paramètres!$A$1:$I$89,5,0)</f>
        <v>4.6864879233389463</v>
      </c>
      <c r="BF11" s="13">
        <f t="shared" si="37"/>
        <v>1.8043173192324258</v>
      </c>
      <c r="BG11" s="20">
        <f t="shared" si="7"/>
        <v>11.304819130811806</v>
      </c>
      <c r="BH11" s="59">
        <f t="shared" si="8"/>
        <v>277.74926357525624</v>
      </c>
      <c r="BI11" s="59">
        <f ca="1">AVERAGE(OFFSET($BH$3,0,0,'Données projet'!$E$11+1,1))-AVERAGE(OFFSET($H$3,0,0,'Données projet'!$E$11+1,1))</f>
        <v>328.34986205643321</v>
      </c>
      <c r="BJ11" s="59">
        <f t="shared" si="38"/>
        <v>251.60894449147008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3.65</v>
      </c>
      <c r="BY11" s="12">
        <f>IF('Données projet'!$A$114&gt;35,BY10+BX11-CG10,IF(A11&lt;'Données projet'!$A$114,$BV$205^A11,IF(A11='Données projet'!$A$114,'Données projet'!$B$114,BY10+BX11-CG10)))</f>
        <v>5.563257268920875</v>
      </c>
      <c r="BZ11" s="13">
        <f>BY11*VLOOKUP('Données projet'!$B$12,Paramètres!$A$1:$I$89,3,0)*VLOOKUP('Données projet'!$B$12,Paramètres!$A$1:$I$89,5,0)</f>
        <v>5.0336351769196082</v>
      </c>
      <c r="CA11" s="13">
        <f t="shared" si="39"/>
        <v>1.9219176128866391</v>
      </c>
      <c r="CB11" s="20">
        <f t="shared" si="10"/>
        <v>12.11425444224588</v>
      </c>
      <c r="CC11" s="59">
        <f t="shared" si="11"/>
        <v>278.55869888669031</v>
      </c>
      <c r="CD11" s="59">
        <f ca="1">AVERAGE(OFFSET($CC$3,0,0,'Données projet'!$E$12+1,1))-AVERAGE(OFFSET($H$3,0,0,'Données projet'!$E$12+1,1))</f>
        <v>360.44607552967267</v>
      </c>
      <c r="CE11" s="59">
        <f t="shared" si="40"/>
        <v>271.54361159160169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9.620000000000001</v>
      </c>
      <c r="CT11" s="12">
        <f>IF('Données projet'!$A$140&gt;35,CT10+CS11-DB10,IF(A11&lt;'Données projet'!$A$140,$CQ$205^A11,IF(A11='Données projet'!$A$140,'Données projet'!$B$140,CT10+CS11-DB10)))</f>
        <v>40.36</v>
      </c>
      <c r="CU11" s="17">
        <f>CT11*VLOOKUP('Données projet'!$B$13,Paramètres!$A$1:$I$89,3,0)*VLOOKUP('Données projet'!$B$13,Paramètres!$A$1:$I$89,5,0)</f>
        <v>20.336596799999999</v>
      </c>
      <c r="CV11" s="13">
        <f t="shared" si="41"/>
        <v>6.6000427949087594</v>
      </c>
      <c r="CW11" s="20">
        <f t="shared" si="13"/>
        <v>46.914647294466086</v>
      </c>
      <c r="CX11" s="59">
        <f t="shared" si="14"/>
        <v>313.35909173891054</v>
      </c>
      <c r="CY11" s="59">
        <f ca="1">AVERAGE(OFFSET($CX$3,0,0,'Données projet'!$E$13+1,1))-AVERAGE(OFFSET($H$3,0,0,'Données projet'!$E$13+1,1))</f>
        <v>309.89554000341082</v>
      </c>
      <c r="CZ11" s="59">
        <f t="shared" si="42"/>
        <v>465.9235824539021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3.5</v>
      </c>
      <c r="N12" s="13">
        <f>IF('Données projet'!$A$36&gt;35,N11+M12-V11,IF(A12&lt;'Données projet'!$A$36,$K$205^A12,IF(A12='Données projet'!$A$36,'Données projet'!$B$36,N11+M12-V11)))</f>
        <v>24.527949305852133</v>
      </c>
      <c r="O12" s="13">
        <f>N12*VLOOKUP('Données projet'!$B$9,Paramètres!$A$1:$I$89,3,0)*VLOOKUP('Données projet'!$B$9,Paramètres!$A$1:$I$89,5,0)</f>
        <v>21.427616513592426</v>
      </c>
      <c r="P12" s="13">
        <f t="shared" si="33"/>
        <v>6.9119497511743733</v>
      </c>
      <c r="Q12" s="20">
        <f t="shared" si="2"/>
        <v>49.358077911135503</v>
      </c>
      <c r="R12" s="59">
        <f t="shared" si="0"/>
        <v>317.02474457780221</v>
      </c>
      <c r="S12" s="59">
        <f ca="1">AVERAGE(OFFSET($R$3,0,0,'Données projet'!$E$9+1,1))-AVERAGE(OFFSET($H$3,0,0,'Données projet'!$E$9+1,1))</f>
        <v>281.82797419088109</v>
      </c>
      <c r="T12" s="59">
        <f t="shared" si="34"/>
        <v>298.98873283425371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1.8</v>
      </c>
      <c r="AI12" s="13">
        <f>IF('Données projet'!$A$62&gt;35,AI11+AH12-AQ11,IF(A12&lt;'Données projet'!$A$62,$AF$205^A12,IF(A12='Données projet'!$A$62,'Données projet'!$B$62,AI11+AH12-AQ11)))</f>
        <v>3.3091627572662112</v>
      </c>
      <c r="AJ12" s="13">
        <f>AI12*VLOOKUP('Données projet'!$B$10,Paramètres!$A$1:$I$89,3,0)*VLOOKUP('Données projet'!$B$10,Paramètres!$A$1:$I$89,5,0)</f>
        <v>3.3038680968545853</v>
      </c>
      <c r="AK12" s="13">
        <f t="shared" si="35"/>
        <v>1.324831125479861</v>
      </c>
      <c r="AL12" s="20">
        <f t="shared" si="4"/>
        <v>8.0616511455658273</v>
      </c>
      <c r="AM12" s="59">
        <f t="shared" si="5"/>
        <v>275.72831781223249</v>
      </c>
      <c r="AN12" s="59">
        <f ca="1">AVERAGE(OFFSET($AM$3,0,0,'Données projet'!$E$10+1,1))-AVERAGE(OFFSET($H$3,0,0,'Données projet'!$E$10+1,1))</f>
        <v>206.53345322763442</v>
      </c>
      <c r="AO12" s="59">
        <f t="shared" si="36"/>
        <v>96.700732426680929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3.65</v>
      </c>
      <c r="BD12" s="12">
        <f>IF('Données projet'!$A$88&gt;35,BD11+BC12-BL11,IF(A12&lt;'Données projet'!$A$88,$BA$205^A12,IF(A12='Données projet'!$A$88,'Données projet'!$B$88,BD11+BC12-BL11)))</f>
        <v>6.8943811137639424</v>
      </c>
      <c r="BE12" s="13">
        <f>BD12*VLOOKUP('Données projet'!$B$11,Paramètres!$A$1:$I$89,3,0)*VLOOKUP('Données projet'!$B$11,Paramètres!$A$1:$I$89,5,0)</f>
        <v>5.8078266502347455</v>
      </c>
      <c r="BF12" s="13">
        <f t="shared" si="37"/>
        <v>2.1808938198181922</v>
      </c>
      <c r="BG12" s="20">
        <f t="shared" si="7"/>
        <v>13.913688152008866</v>
      </c>
      <c r="BH12" s="59">
        <f t="shared" si="8"/>
        <v>281.58035481867557</v>
      </c>
      <c r="BI12" s="59">
        <f ca="1">AVERAGE(OFFSET($BH$3,0,0,'Données projet'!$E$11+1,1))-AVERAGE(OFFSET($H$3,0,0,'Données projet'!$E$11+1,1))</f>
        <v>328.34986205643321</v>
      </c>
      <c r="BJ12" s="59">
        <f t="shared" si="38"/>
        <v>251.60894449147008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3.65</v>
      </c>
      <c r="BY12" s="12">
        <f>IF('Données projet'!$A$114&gt;35,BY11+BX12-CG11,IF(A12&lt;'Données projet'!$A$114,$BV$205^A12,IF(A12='Données projet'!$A$114,'Données projet'!$B$114,BY11+BX12-CG11)))</f>
        <v>6.8943811137639424</v>
      </c>
      <c r="BZ12" s="13">
        <f>BY12*VLOOKUP('Données projet'!$B$12,Paramètres!$A$1:$I$89,3,0)*VLOOKUP('Données projet'!$B$12,Paramètres!$A$1:$I$89,5,0)</f>
        <v>6.2380360317336141</v>
      </c>
      <c r="CA12" s="13">
        <f t="shared" si="39"/>
        <v>2.3230383034439352</v>
      </c>
      <c r="CB12" s="20">
        <f t="shared" si="10"/>
        <v>14.910537800434229</v>
      </c>
      <c r="CC12" s="59">
        <f t="shared" si="11"/>
        <v>282.5772044671009</v>
      </c>
      <c r="CD12" s="59">
        <f ca="1">AVERAGE(OFFSET($CC$3,0,0,'Données projet'!$E$12+1,1))-AVERAGE(OFFSET($H$3,0,0,'Données projet'!$E$12+1,1))</f>
        <v>360.44607552967267</v>
      </c>
      <c r="CE12" s="59">
        <f t="shared" si="40"/>
        <v>271.54361159160169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9.620000000000001</v>
      </c>
      <c r="CT12" s="12">
        <f>IF('Données projet'!$A$140&gt;35,CT11+CS12-DB11,IF(A12&lt;'Données projet'!$A$140,$CQ$205^A12,IF(A12='Données projet'!$A$140,'Données projet'!$B$140,CT11+CS12-DB11)))</f>
        <v>49.980000000000004</v>
      </c>
      <c r="CU12" s="17">
        <f>CT12*VLOOKUP('Données projet'!$B$13,Paramètres!$A$1:$I$89,3,0)*VLOOKUP('Données projet'!$B$13,Paramètres!$A$1:$I$89,5,0)</f>
        <v>25.183922400000004</v>
      </c>
      <c r="CV12" s="13">
        <f t="shared" si="41"/>
        <v>7.9723191613943296</v>
      </c>
      <c r="CW12" s="20">
        <f t="shared" si="13"/>
        <v>57.747120719428459</v>
      </c>
      <c r="CX12" s="59">
        <f t="shared" si="14"/>
        <v>325.41378738609512</v>
      </c>
      <c r="CY12" s="59">
        <f ca="1">AVERAGE(OFFSET($CX$3,0,0,'Données projet'!$E$13+1,1))-AVERAGE(OFFSET($H$3,0,0,'Données projet'!$E$13+1,1))</f>
        <v>309.89554000341082</v>
      </c>
      <c r="CZ12" s="59">
        <f t="shared" si="42"/>
        <v>465.9235824539021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35</v>
      </c>
      <c r="L13" s="12">
        <f>VLOOKUP(A13,'Données projet'!$A$35:$I$55,9,0)</f>
        <v>3.5</v>
      </c>
      <c r="M13" s="12">
        <f t="array" ref="M13">INDEX(L:L,MIN(IF(ISNUMBER(L13:L209),ROW(L13:L209),"")))</f>
        <v>3.5</v>
      </c>
      <c r="N13" s="13">
        <f>IF('Données projet'!$A$36&gt;35,N12+M13-V12,IF(A13&lt;'Données projet'!$A$36,$K$205^A13,IF(A13='Données projet'!$A$36,'Données projet'!$B$36,N12+M13-V12)))</f>
        <v>35</v>
      </c>
      <c r="O13" s="13">
        <f>N13*VLOOKUP('Données projet'!$B$9,Paramètres!$A$1:$I$89,3,0)*VLOOKUP('Données projet'!$B$9,Paramètres!$A$1:$I$89,5,0)</f>
        <v>30.576000000000004</v>
      </c>
      <c r="P13" s="13">
        <f t="shared" si="33"/>
        <v>9.4631216842413863</v>
      </c>
      <c r="Q13" s="20">
        <f t="shared" si="2"/>
        <v>69.734803600053766</v>
      </c>
      <c r="R13" s="59">
        <f t="shared" si="0"/>
        <v>338.62369248894265</v>
      </c>
      <c r="S13" s="59">
        <f ca="1">AVERAGE(OFFSET($R$3,0,0,'Données projet'!$E$9+1,1))-AVERAGE(OFFSET($H$3,0,0,'Données projet'!$E$9+1,1))</f>
        <v>281.82797419088109</v>
      </c>
      <c r="T13" s="59">
        <f t="shared" si="34"/>
        <v>298.98873283425371</v>
      </c>
      <c r="U13" s="15">
        <f>IF(ISNA(VLOOKUP(A13,'Données projet'!$A$35:$I$55,3,0)),0,VLOOKUP(A13,'Données projet'!$A$35:$I$55,3,0))</f>
        <v>1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1.8</v>
      </c>
      <c r="AI13" s="13">
        <f>IF('Données projet'!$A$62&gt;35,AI12+AH13-AQ12,IF(A13&lt;'Données projet'!$A$62,$AF$205^A13,IF(A13='Données projet'!$A$62,'Données projet'!$B$62,AI12+AH13-AQ12)))</f>
        <v>3.7797631496846216</v>
      </c>
      <c r="AJ13" s="13">
        <f>AI13*VLOOKUP('Données projet'!$B$10,Paramètres!$A$1:$I$89,3,0)*VLOOKUP('Données projet'!$B$10,Paramètres!$A$1:$I$89,5,0)</f>
        <v>3.773715528645126</v>
      </c>
      <c r="AK13" s="13">
        <f t="shared" si="35"/>
        <v>1.4899966559592626</v>
      </c>
      <c r="AL13" s="20">
        <f t="shared" si="4"/>
        <v>9.1676320548526427</v>
      </c>
      <c r="AM13" s="59">
        <f t="shared" si="5"/>
        <v>278.05652094374148</v>
      </c>
      <c r="AN13" s="59">
        <f ca="1">AVERAGE(OFFSET($AM$3,0,0,'Données projet'!$E$10+1,1))-AVERAGE(OFFSET($H$3,0,0,'Données projet'!$E$10+1,1))</f>
        <v>206.53345322763442</v>
      </c>
      <c r="AO13" s="59">
        <f t="shared" si="36"/>
        <v>96.700732426680929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3.65</v>
      </c>
      <c r="BD13" s="12">
        <f>IF('Données projet'!$A$88&gt;35,BD12+BC13-BL12,IF(A13&lt;'Données projet'!$A$88,$BA$205^A13,IF(A13='Données projet'!$A$88,'Données projet'!$B$88,BD12+BC13-BL12)))</f>
        <v>8.5440037453175322</v>
      </c>
      <c r="BE13" s="13">
        <f>BD13*VLOOKUP('Données projet'!$B$11,Paramètres!$A$1:$I$89,3,0)*VLOOKUP('Données projet'!$B$11,Paramètres!$A$1:$I$89,5,0)</f>
        <v>7.1974687550554899</v>
      </c>
      <c r="BF13" s="13">
        <f t="shared" si="37"/>
        <v>2.6360650660630816</v>
      </c>
      <c r="BG13" s="20">
        <f t="shared" si="7"/>
        <v>17.126738071781514</v>
      </c>
      <c r="BH13" s="59">
        <f t="shared" si="8"/>
        <v>286.01562696067037</v>
      </c>
      <c r="BI13" s="59">
        <f ca="1">AVERAGE(OFFSET($BH$3,0,0,'Données projet'!$E$11+1,1))-AVERAGE(OFFSET($H$3,0,0,'Données projet'!$E$11+1,1))</f>
        <v>328.34986205643321</v>
      </c>
      <c r="BJ13" s="59">
        <f t="shared" si="38"/>
        <v>251.60894449147008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3.65</v>
      </c>
      <c r="BY13" s="12">
        <f>IF('Données projet'!$A$114&gt;35,BY12+BX13-CG12,IF(A13&lt;'Données projet'!$A$114,$BV$205^A13,IF(A13='Données projet'!$A$114,'Données projet'!$B$114,BY12+BX13-CG12)))</f>
        <v>8.5440037453175322</v>
      </c>
      <c r="BZ13" s="13">
        <f>BY13*VLOOKUP('Données projet'!$B$12,Paramètres!$A$1:$I$89,3,0)*VLOOKUP('Données projet'!$B$12,Paramètres!$A$1:$I$89,5,0)</f>
        <v>7.7306145887633031</v>
      </c>
      <c r="CA13" s="13">
        <f t="shared" si="39"/>
        <v>2.8078763226288115</v>
      </c>
      <c r="CB13" s="20">
        <f t="shared" si="10"/>
        <v>18.354538337341264</v>
      </c>
      <c r="CC13" s="59">
        <f t="shared" si="11"/>
        <v>287.2434272262301</v>
      </c>
      <c r="CD13" s="59">
        <f ca="1">AVERAGE(OFFSET($CC$3,0,0,'Données projet'!$E$12+1,1))-AVERAGE(OFFSET($H$3,0,0,'Données projet'!$E$12+1,1))</f>
        <v>360.44607552967267</v>
      </c>
      <c r="CE13" s="59">
        <f t="shared" si="40"/>
        <v>271.54361159160169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59.6</v>
      </c>
      <c r="CR13" s="12">
        <f>VLOOKUP(A13,'Données projet'!$A$139:$I$159,9,0)</f>
        <v>9.620000000000001</v>
      </c>
      <c r="CS13" s="12">
        <f t="array" ref="CS13">INDEX(CR:CR,MIN(IF(ISNUMBER(CR13:CR209),ROW(CR13:CR209),"")))</f>
        <v>9.620000000000001</v>
      </c>
      <c r="CT13" s="12">
        <f>IF('Données projet'!$A$140&gt;35,CT12+CS13-DB12,IF(A13&lt;'Données projet'!$A$140,$CQ$205^A13,IF(A13='Données projet'!$A$140,'Données projet'!$B$140,CT12+CS13-DB12)))</f>
        <v>59.600000000000009</v>
      </c>
      <c r="CU13" s="17">
        <f>CT13*VLOOKUP('Données projet'!$B$13,Paramètres!$A$1:$I$89,3,0)*VLOOKUP('Données projet'!$B$13,Paramètres!$A$1:$I$89,5,0)</f>
        <v>30.031248000000005</v>
      </c>
      <c r="CV13" s="13">
        <f t="shared" si="41"/>
        <v>9.3139929273865647</v>
      </c>
      <c r="CW13" s="20">
        <f t="shared" si="13"/>
        <v>68.526294615198267</v>
      </c>
      <c r="CX13" s="59">
        <f t="shared" si="14"/>
        <v>337.41518350408711</v>
      </c>
      <c r="CY13" s="59">
        <f ca="1">AVERAGE(OFFSET($CX$3,0,0,'Données projet'!$E$13+1,1))-AVERAGE(OFFSET($H$3,0,0,'Données projet'!$E$13+1,1))</f>
        <v>309.89554000341082</v>
      </c>
      <c r="CZ13" s="59">
        <f t="shared" si="42"/>
        <v>465.9235824539021</v>
      </c>
      <c r="DA13" s="15">
        <f>IF(ISNA(VLOOKUP(A13,'Données projet'!$A$139:$I$159,3,0)),0,VLOOKUP(A13,'Données projet'!$A$139:$I$159,3,0))</f>
        <v>2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10.6</v>
      </c>
      <c r="N14" s="13">
        <f>IF('Données projet'!$A$36&gt;35,N13+M14-V13,IF(A14&lt;'Données projet'!$A$36,$K$205^A14,IF(A14='Données projet'!$A$36,'Données projet'!$B$36,N13+M14-V13)))</f>
        <v>45.6</v>
      </c>
      <c r="O14" s="13">
        <f>N14*VLOOKUP('Données projet'!$B$9,Paramètres!$A$1:$I$89,3,0)*VLOOKUP('Données projet'!$B$9,Paramètres!$A$1:$I$89,5,0)</f>
        <v>39.836160000000007</v>
      </c>
      <c r="P14" s="13">
        <f t="shared" si="33"/>
        <v>11.955210728675533</v>
      </c>
      <c r="Q14" s="20">
        <f t="shared" si="2"/>
        <v>90.203304019109893</v>
      </c>
      <c r="R14" s="59">
        <f t="shared" si="0"/>
        <v>360.31441513022105</v>
      </c>
      <c r="S14" s="59">
        <f ca="1">AVERAGE(OFFSET($R$3,0,0,'Données projet'!$E$9+1,1))-AVERAGE(OFFSET($H$3,0,0,'Données projet'!$E$9+1,1))</f>
        <v>281.82797419088109</v>
      </c>
      <c r="T14" s="59">
        <f t="shared" si="34"/>
        <v>298.98873283425371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1.8</v>
      </c>
      <c r="AI14" s="13">
        <f>IF('Données projet'!$A$62&gt;35,AI13+AH14-AQ13,IF(A14&lt;'Données projet'!$A$62,$AF$205^A14,IF(A14='Données projet'!$A$62,'Données projet'!$B$62,AI13+AH14-AQ13)))</f>
        <v>4.3172882434819746</v>
      </c>
      <c r="AJ14" s="13">
        <f>AI14*VLOOKUP('Données projet'!$B$10,Paramètres!$A$1:$I$89,3,0)*VLOOKUP('Données projet'!$B$10,Paramètres!$A$1:$I$89,5,0)</f>
        <v>4.310380582292404</v>
      </c>
      <c r="AK14" s="13">
        <f t="shared" si="35"/>
        <v>1.675753227767544</v>
      </c>
      <c r="AL14" s="20">
        <f t="shared" si="4"/>
        <v>10.425849719187742</v>
      </c>
      <c r="AM14" s="59">
        <f t="shared" si="5"/>
        <v>280.53696083029888</v>
      </c>
      <c r="AN14" s="59">
        <f ca="1">AVERAGE(OFFSET($AM$3,0,0,'Données projet'!$E$10+1,1))-AVERAGE(OFFSET($H$3,0,0,'Données projet'!$E$10+1,1))</f>
        <v>206.53345322763442</v>
      </c>
      <c r="AO14" s="59">
        <f t="shared" si="36"/>
        <v>96.700732426680929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3.65</v>
      </c>
      <c r="BD14" s="12">
        <f>IF('Données projet'!$A$88&gt;35,BD13+BC14-BL13,IF(A14&lt;'Données projet'!$A$88,$BA$205^A14,IF(A14='Données projet'!$A$88,'Données projet'!$B$88,BD13+BC14-BL13)))</f>
        <v>10.588332555950936</v>
      </c>
      <c r="BE14" s="13">
        <f>BD14*VLOOKUP('Données projet'!$B$11,Paramètres!$A$1:$I$89,3,0)*VLOOKUP('Données projet'!$B$11,Paramètres!$A$1:$I$89,5,0)</f>
        <v>8.9196113451330703</v>
      </c>
      <c r="BF14" s="13">
        <f t="shared" si="37"/>
        <v>3.186234455512118</v>
      </c>
      <c r="BG14" s="20">
        <f t="shared" si="7"/>
        <v>21.084348102790369</v>
      </c>
      <c r="BH14" s="59">
        <f t="shared" si="8"/>
        <v>291.19545921390153</v>
      </c>
      <c r="BI14" s="59">
        <f ca="1">AVERAGE(OFFSET($BH$3,0,0,'Données projet'!$E$11+1,1))-AVERAGE(OFFSET($H$3,0,0,'Données projet'!$E$11+1,1))</f>
        <v>328.34986205643321</v>
      </c>
      <c r="BJ14" s="59">
        <f t="shared" si="38"/>
        <v>251.60894449147008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3.65</v>
      </c>
      <c r="BY14" s="12">
        <f>IF('Données projet'!$A$114&gt;35,BY13+BX14-CG13,IF(A14&lt;'Données projet'!$A$114,$BV$205^A14,IF(A14='Données projet'!$A$114,'Données projet'!$B$114,BY13+BX14-CG13)))</f>
        <v>10.588332555950936</v>
      </c>
      <c r="BZ14" s="13">
        <f>BY14*VLOOKUP('Données projet'!$B$12,Paramètres!$A$1:$I$89,3,0)*VLOOKUP('Données projet'!$B$12,Paramètres!$A$1:$I$89,5,0)</f>
        <v>9.5803232966244067</v>
      </c>
      <c r="CA14" s="13">
        <f t="shared" si="39"/>
        <v>3.3939041949894282</v>
      </c>
      <c r="CB14" s="20">
        <f t="shared" si="10"/>
        <v>22.596779547894098</v>
      </c>
      <c r="CC14" s="59">
        <f t="shared" si="11"/>
        <v>292.70789065900522</v>
      </c>
      <c r="CD14" s="59">
        <f ca="1">AVERAGE(OFFSET($CC$3,0,0,'Données projet'!$E$12+1,1))-AVERAGE(OFFSET($H$3,0,0,'Données projet'!$E$12+1,1))</f>
        <v>360.44607552967267</v>
      </c>
      <c r="CE14" s="59">
        <f t="shared" si="40"/>
        <v>271.54361159160169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15.640000000000004</v>
      </c>
      <c r="CT14" s="12">
        <f>IF('Données projet'!$A$140&gt;35,CT13+CS14-DB13,IF(A14&lt;'Données projet'!$A$140,$CQ$205^A14,IF(A14='Données projet'!$A$140,'Données projet'!$B$140,CT13+CS14-DB13)))</f>
        <v>75.240000000000009</v>
      </c>
      <c r="CU14" s="17">
        <f>CT14*VLOOKUP('Données projet'!$B$13,Paramètres!$A$1:$I$89,3,0)*VLOOKUP('Données projet'!$B$13,Paramètres!$A$1:$I$89,5,0)</f>
        <v>37.911931200000012</v>
      </c>
      <c r="CV14" s="13">
        <f t="shared" si="41"/>
        <v>11.443489008044374</v>
      </c>
      <c r="CW14" s="20">
        <f t="shared" si="13"/>
        <v>85.960690195677287</v>
      </c>
      <c r="CX14" s="59">
        <f t="shared" si="14"/>
        <v>356.07180130678842</v>
      </c>
      <c r="CY14" s="59">
        <f ca="1">AVERAGE(OFFSET($CX$3,0,0,'Données projet'!$E$13+1,1))-AVERAGE(OFFSET($H$3,0,0,'Données projet'!$E$13+1,1))</f>
        <v>309.89554000341082</v>
      </c>
      <c r="CZ14" s="59">
        <f t="shared" si="42"/>
        <v>465.9235824539021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10.6</v>
      </c>
      <c r="N15" s="13">
        <f>IF('Données projet'!$A$36&gt;35,N14+M15-V14,IF(A15&lt;'Données projet'!$A$36,$K$205^A15,IF(A15='Données projet'!$A$36,'Données projet'!$B$36,N14+M15-V14)))</f>
        <v>56.2</v>
      </c>
      <c r="O15" s="13">
        <f>N15*VLOOKUP('Données projet'!$B$9,Paramètres!$A$1:$I$89,3,0)*VLOOKUP('Données projet'!$B$9,Paramètres!$A$1:$I$89,5,0)</f>
        <v>49.096320000000006</v>
      </c>
      <c r="P15" s="13">
        <f t="shared" si="33"/>
        <v>14.380133207801931</v>
      </c>
      <c r="Q15" s="20">
        <f t="shared" si="2"/>
        <v>110.55482267025504</v>
      </c>
      <c r="R15" s="59">
        <f t="shared" si="0"/>
        <v>381.88815600358834</v>
      </c>
      <c r="S15" s="59">
        <f ca="1">AVERAGE(OFFSET($R$3,0,0,'Données projet'!$E$9+1,1))-AVERAGE(OFFSET($H$3,0,0,'Données projet'!$E$9+1,1))</f>
        <v>281.82797419088109</v>
      </c>
      <c r="T15" s="59">
        <f t="shared" si="34"/>
        <v>298.98873283425371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1.8</v>
      </c>
      <c r="AI15" s="13">
        <f>IF('Données projet'!$A$62&gt;35,AI14+AH15-AQ14,IF(A15&lt;'Données projet'!$A$62,$AF$205^A15,IF(A15='Données projet'!$A$62,'Données projet'!$B$62,AI14+AH15-AQ14)))</f>
        <v>4.9312554885516811</v>
      </c>
      <c r="AJ15" s="13">
        <f>AI15*VLOOKUP('Données projet'!$B$10,Paramètres!$A$1:$I$89,3,0)*VLOOKUP('Données projet'!$B$10,Paramètres!$A$1:$I$89,5,0)</f>
        <v>4.9233654797699993</v>
      </c>
      <c r="AK15" s="13">
        <f t="shared" si="35"/>
        <v>1.8846679079057735</v>
      </c>
      <c r="AL15" s="20">
        <f t="shared" si="4"/>
        <v>11.857324816868635</v>
      </c>
      <c r="AM15" s="59">
        <f t="shared" si="5"/>
        <v>283.19065815020195</v>
      </c>
      <c r="AN15" s="59">
        <f ca="1">AVERAGE(OFFSET($AM$3,0,0,'Données projet'!$E$10+1,1))-AVERAGE(OFFSET($H$3,0,0,'Données projet'!$E$10+1,1))</f>
        <v>206.53345322763442</v>
      </c>
      <c r="AO15" s="59">
        <f t="shared" si="36"/>
        <v>96.700732426680929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3.65</v>
      </c>
      <c r="BD15" s="12">
        <f>IF('Données projet'!$A$88&gt;35,BD14+BC15-BL14,IF(A15&lt;'Données projet'!$A$88,$BA$205^A15,IF(A15='Données projet'!$A$88,'Données projet'!$B$88,BD14+BC15-BL14)))</f>
        <v>13.121809125710287</v>
      </c>
      <c r="BE15" s="13">
        <f>BD15*VLOOKUP('Données projet'!$B$11,Paramètres!$A$1:$I$89,3,0)*VLOOKUP('Données projet'!$B$11,Paramètres!$A$1:$I$89,5,0)</f>
        <v>11.053812007498347</v>
      </c>
      <c r="BF15" s="13">
        <f t="shared" si="37"/>
        <v>3.8512289154738402</v>
      </c>
      <c r="BG15" s="20">
        <f t="shared" si="7"/>
        <v>25.959612940843225</v>
      </c>
      <c r="BH15" s="59">
        <f t="shared" si="8"/>
        <v>297.29294627417653</v>
      </c>
      <c r="BI15" s="59">
        <f ca="1">AVERAGE(OFFSET($BH$3,0,0,'Données projet'!$E$11+1,1))-AVERAGE(OFFSET($H$3,0,0,'Données projet'!$E$11+1,1))</f>
        <v>328.34986205643321</v>
      </c>
      <c r="BJ15" s="59">
        <f t="shared" si="38"/>
        <v>251.60894449147008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3.65</v>
      </c>
      <c r="BY15" s="12">
        <f>IF('Données projet'!$A$114&gt;35,BY14+BX15-CG14,IF(A15&lt;'Données projet'!$A$114,$BV$205^A15,IF(A15='Données projet'!$A$114,'Données projet'!$B$114,BY14+BX15-CG14)))</f>
        <v>13.121809125710287</v>
      </c>
      <c r="BZ15" s="13">
        <f>BY15*VLOOKUP('Données projet'!$B$12,Paramètres!$A$1:$I$89,3,0)*VLOOKUP('Données projet'!$B$12,Paramètres!$A$1:$I$89,5,0)</f>
        <v>11.872612896942668</v>
      </c>
      <c r="CA15" s="13">
        <f t="shared" si="39"/>
        <v>4.1022411108131784</v>
      </c>
      <c r="CB15" s="20">
        <f t="shared" si="10"/>
        <v>27.822870730174767</v>
      </c>
      <c r="CC15" s="59">
        <f t="shared" si="11"/>
        <v>299.15620406350808</v>
      </c>
      <c r="CD15" s="59">
        <f ca="1">AVERAGE(OFFSET($CC$3,0,0,'Données projet'!$E$12+1,1))-AVERAGE(OFFSET($H$3,0,0,'Données projet'!$E$12+1,1))</f>
        <v>360.44607552967267</v>
      </c>
      <c r="CE15" s="59">
        <f t="shared" si="40"/>
        <v>271.54361159160169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15.640000000000004</v>
      </c>
      <c r="CT15" s="12">
        <f>IF('Données projet'!$A$140&gt;35,CT14+CS15-DB14,IF(A15&lt;'Données projet'!$A$140,$CQ$205^A15,IF(A15='Données projet'!$A$140,'Données projet'!$B$140,CT14+CS15-DB14)))</f>
        <v>90.88000000000001</v>
      </c>
      <c r="CU15" s="17">
        <f>CT15*VLOOKUP('Données projet'!$B$13,Paramètres!$A$1:$I$89,3,0)*VLOOKUP('Données projet'!$B$13,Paramètres!$A$1:$I$89,5,0)</f>
        <v>45.792614400000005</v>
      </c>
      <c r="CV15" s="13">
        <f t="shared" si="41"/>
        <v>13.521688125468906</v>
      </c>
      <c r="CW15" s="20">
        <f t="shared" si="13"/>
        <v>103.30574356519168</v>
      </c>
      <c r="CX15" s="59">
        <f t="shared" si="14"/>
        <v>374.63907689852499</v>
      </c>
      <c r="CY15" s="59">
        <f ca="1">AVERAGE(OFFSET($CX$3,0,0,'Données projet'!$E$13+1,1))-AVERAGE(OFFSET($H$3,0,0,'Données projet'!$E$13+1,1))</f>
        <v>309.89554000341082</v>
      </c>
      <c r="CZ15" s="59">
        <f t="shared" si="42"/>
        <v>465.9235824539021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10.6</v>
      </c>
      <c r="N16" s="13">
        <f>IF('Données projet'!$A$36&gt;35,N15+M16-V15,IF(A16&lt;'Données projet'!$A$36,$K$205^A16,IF(A16='Données projet'!$A$36,'Données projet'!$B$36,N15+M16-V15)))</f>
        <v>66.8</v>
      </c>
      <c r="O16" s="13">
        <f>N16*VLOOKUP('Données projet'!$B$9,Paramètres!$A$1:$I$89,3,0)*VLOOKUP('Données projet'!$B$9,Paramètres!$A$1:$I$89,5,0)</f>
        <v>58.356480000000005</v>
      </c>
      <c r="P16" s="13">
        <f t="shared" si="33"/>
        <v>16.75206628947662</v>
      </c>
      <c r="Q16" s="20">
        <f t="shared" si="2"/>
        <v>130.81405145417179</v>
      </c>
      <c r="R16" s="59">
        <f t="shared" si="0"/>
        <v>403.36960700972736</v>
      </c>
      <c r="S16" s="59">
        <f ca="1">AVERAGE(OFFSET($R$3,0,0,'Données projet'!$E$9+1,1))-AVERAGE(OFFSET($H$3,0,0,'Données projet'!$E$9+1,1))</f>
        <v>281.82797419088109</v>
      </c>
      <c r="T16" s="59">
        <f t="shared" si="34"/>
        <v>298.98873283425371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1.8</v>
      </c>
      <c r="AI16" s="13">
        <f>IF('Données projet'!$A$62&gt;35,AI15+AH16-AQ15,IF(A16&lt;'Données projet'!$A$62,$AF$205^A16,IF(A16='Données projet'!$A$62,'Données projet'!$B$62,AI15+AH16-AQ15)))</f>
        <v>5.632535823866772</v>
      </c>
      <c r="AJ16" s="13">
        <f>AI16*VLOOKUP('Données projet'!$B$10,Paramètres!$A$1:$I$89,3,0)*VLOOKUP('Données projet'!$B$10,Paramètres!$A$1:$I$89,5,0)</f>
        <v>5.623523766548586</v>
      </c>
      <c r="AK16" s="13">
        <f t="shared" si="35"/>
        <v>2.1196277973588638</v>
      </c>
      <c r="AL16" s="20">
        <f t="shared" si="4"/>
        <v>13.485988973805474</v>
      </c>
      <c r="AM16" s="59">
        <f t="shared" si="5"/>
        <v>286.04154452936103</v>
      </c>
      <c r="AN16" s="59">
        <f ca="1">AVERAGE(OFFSET($AM$3,0,0,'Données projet'!$E$10+1,1))-AVERAGE(OFFSET($H$3,0,0,'Données projet'!$E$10+1,1))</f>
        <v>206.53345322763442</v>
      </c>
      <c r="AO16" s="59">
        <f t="shared" si="36"/>
        <v>96.700732426680929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3.65</v>
      </c>
      <c r="BD16" s="12">
        <f>IF('Données projet'!$A$88&gt;35,BD15+BC16-BL15,IF(A16&lt;'Données projet'!$A$88,$BA$205^A16,IF(A16='Données projet'!$A$88,'Données projet'!$B$88,BD15+BC16-BL15)))</f>
        <v>16.261472127148366</v>
      </c>
      <c r="BE16" s="13">
        <f>BD16*VLOOKUP('Données projet'!$B$11,Paramètres!$A$1:$I$89,3,0)*VLOOKUP('Données projet'!$B$11,Paramètres!$A$1:$I$89,5,0)</f>
        <v>13.698664119909786</v>
      </c>
      <c r="BF16" s="13">
        <f t="shared" si="37"/>
        <v>4.6550134230463893</v>
      </c>
      <c r="BG16" s="20">
        <f t="shared" si="7"/>
        <v>31.965988387315338</v>
      </c>
      <c r="BH16" s="59">
        <f t="shared" si="8"/>
        <v>304.52154394287089</v>
      </c>
      <c r="BI16" s="59">
        <f ca="1">AVERAGE(OFFSET($BH$3,0,0,'Données projet'!$E$11+1,1))-AVERAGE(OFFSET($H$3,0,0,'Données projet'!$E$11+1,1))</f>
        <v>328.34986205643321</v>
      </c>
      <c r="BJ16" s="59">
        <f t="shared" si="38"/>
        <v>251.60894449147008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3.65</v>
      </c>
      <c r="BY16" s="12">
        <f>IF('Données projet'!$A$114&gt;35,BY15+BX16-CG15,IF(A16&lt;'Données projet'!$A$114,$BV$205^A16,IF(A16='Données projet'!$A$114,'Données projet'!$B$114,BY15+BX16-CG15)))</f>
        <v>16.261472127148366</v>
      </c>
      <c r="BZ16" s="13">
        <f>BY16*VLOOKUP('Données projet'!$B$12,Paramètres!$A$1:$I$89,3,0)*VLOOKUP('Données projet'!$B$12,Paramètres!$A$1:$I$89,5,0)</f>
        <v>14.713379980643843</v>
      </c>
      <c r="CA16" s="13">
        <f t="shared" si="39"/>
        <v>4.9584140165447881</v>
      </c>
      <c r="CB16" s="20">
        <f t="shared" si="10"/>
        <v>34.261707878436859</v>
      </c>
      <c r="CC16" s="59">
        <f t="shared" si="11"/>
        <v>306.81726343399242</v>
      </c>
      <c r="CD16" s="59">
        <f ca="1">AVERAGE(OFFSET($CC$3,0,0,'Données projet'!$E$12+1,1))-AVERAGE(OFFSET($H$3,0,0,'Données projet'!$E$12+1,1))</f>
        <v>360.44607552967267</v>
      </c>
      <c r="CE16" s="59">
        <f t="shared" si="40"/>
        <v>271.54361159160169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15.640000000000004</v>
      </c>
      <c r="CT16" s="12">
        <f>IF('Données projet'!$A$140&gt;35,CT15+CS16-DB15,IF(A16&lt;'Données projet'!$A$140,$CQ$205^A16,IF(A16='Données projet'!$A$140,'Données projet'!$B$140,CT15+CS16-DB15)))</f>
        <v>106.52000000000001</v>
      </c>
      <c r="CU16" s="17">
        <f>CT16*VLOOKUP('Données projet'!$B$13,Paramètres!$A$1:$I$89,3,0)*VLOOKUP('Données projet'!$B$13,Paramètres!$A$1:$I$89,5,0)</f>
        <v>53.673297600000012</v>
      </c>
      <c r="CV16" s="13">
        <f t="shared" si="41"/>
        <v>15.558455416467913</v>
      </c>
      <c r="CW16" s="20">
        <f t="shared" si="13"/>
        <v>120.57863650368161</v>
      </c>
      <c r="CX16" s="59">
        <f t="shared" si="14"/>
        <v>393.13419205923714</v>
      </c>
      <c r="CY16" s="59">
        <f ca="1">AVERAGE(OFFSET($CX$3,0,0,'Données projet'!$E$13+1,1))-AVERAGE(OFFSET($H$3,0,0,'Données projet'!$E$13+1,1))</f>
        <v>309.89554000341082</v>
      </c>
      <c r="CZ16" s="59">
        <f t="shared" si="42"/>
        <v>465.9235824539021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10.6</v>
      </c>
      <c r="N17" s="13">
        <f>IF('Données projet'!$A$36&gt;35,N16+M17-V16,IF(A17&lt;'Données projet'!$A$36,$K$205^A17,IF(A17='Données projet'!$A$36,'Données projet'!$B$36,N16+M17-V16)))</f>
        <v>77.399999999999991</v>
      </c>
      <c r="O17" s="13">
        <f>N17*VLOOKUP('Données projet'!$B$9,Paramètres!$A$1:$I$89,3,0)*VLOOKUP('Données projet'!$B$9,Paramètres!$A$1:$I$89,5,0)</f>
        <v>67.616640000000004</v>
      </c>
      <c r="P17" s="13">
        <f t="shared" si="33"/>
        <v>19.080397298873443</v>
      </c>
      <c r="Q17" s="20">
        <f t="shared" si="2"/>
        <v>150.99733996220459</v>
      </c>
      <c r="R17" s="59">
        <f t="shared" si="0"/>
        <v>424.77511773998236</v>
      </c>
      <c r="S17" s="59">
        <f ca="1">AVERAGE(OFFSET($R$3,0,0,'Données projet'!$E$9+1,1))-AVERAGE(OFFSET($H$3,0,0,'Données projet'!$E$9+1,1))</f>
        <v>281.82797419088109</v>
      </c>
      <c r="T17" s="59">
        <f t="shared" si="34"/>
        <v>298.98873283425371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1.8</v>
      </c>
      <c r="AI17" s="13">
        <f>IF('Données projet'!$A$62&gt;35,AI16+AH17-AQ16,IF(A17&lt;'Données projet'!$A$62,$AF$205^A17,IF(A17='Données projet'!$A$62,'Données projet'!$B$62,AI16+AH17-AQ16)))</f>
        <v>6.4335461589438685</v>
      </c>
      <c r="AJ17" s="13">
        <f>AI17*VLOOKUP('Données projet'!$B$10,Paramètres!$A$1:$I$89,3,0)*VLOOKUP('Données projet'!$B$10,Paramètres!$A$1:$I$89,5,0)</f>
        <v>6.4232524850895585</v>
      </c>
      <c r="AK17" s="13">
        <f t="shared" si="35"/>
        <v>2.3838799294506856</v>
      </c>
      <c r="AL17" s="20">
        <f t="shared" si="4"/>
        <v>15.339088955324259</v>
      </c>
      <c r="AM17" s="59">
        <f t="shared" si="5"/>
        <v>289.11686673310203</v>
      </c>
      <c r="AN17" s="59">
        <f ca="1">AVERAGE(OFFSET($AM$3,0,0,'Données projet'!$E$10+1,1))-AVERAGE(OFFSET($H$3,0,0,'Données projet'!$E$10+1,1))</f>
        <v>206.53345322763442</v>
      </c>
      <c r="AO17" s="59">
        <f t="shared" si="36"/>
        <v>96.700732426680929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3.65</v>
      </c>
      <c r="BD17" s="12">
        <f>IF('Données projet'!$A$88&gt;35,BD16+BC17-BL16,IF(A17&lt;'Données projet'!$A$88,$BA$205^A17,IF(A17='Données projet'!$A$88,'Données projet'!$B$88,BD16+BC17-BL16)))</f>
        <v>20.152364144963837</v>
      </c>
      <c r="BE17" s="13">
        <f>BD17*VLOOKUP('Données projet'!$B$11,Paramètres!$A$1:$I$89,3,0)*VLOOKUP('Données projet'!$B$11,Paramètres!$A$1:$I$89,5,0)</f>
        <v>16.976351555717539</v>
      </c>
      <c r="BF17" s="13">
        <f t="shared" si="37"/>
        <v>5.6265546516016363</v>
      </c>
      <c r="BG17" s="20">
        <f t="shared" si="7"/>
        <v>39.366728311080898</v>
      </c>
      <c r="BH17" s="59">
        <f t="shared" si="8"/>
        <v>313.14450608885869</v>
      </c>
      <c r="BI17" s="59">
        <f ca="1">AVERAGE(OFFSET($BH$3,0,0,'Données projet'!$E$11+1,1))-AVERAGE(OFFSET($H$3,0,0,'Données projet'!$E$11+1,1))</f>
        <v>328.34986205643321</v>
      </c>
      <c r="BJ17" s="59">
        <f t="shared" si="38"/>
        <v>251.60894449147008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3.65</v>
      </c>
      <c r="BY17" s="12">
        <f>IF('Données projet'!$A$114&gt;35,BY16+BX17-CG16,IF(A17&lt;'Données projet'!$A$114,$BV$205^A17,IF(A17='Données projet'!$A$114,'Données projet'!$B$114,BY16+BX17-CG16)))</f>
        <v>20.152364144963837</v>
      </c>
      <c r="BZ17" s="13">
        <f>BY17*VLOOKUP('Données projet'!$B$12,Paramètres!$A$1:$I$89,3,0)*VLOOKUP('Données projet'!$B$12,Paramètres!$A$1:$I$89,5,0)</f>
        <v>18.233859078363277</v>
      </c>
      <c r="CA17" s="13">
        <f t="shared" si="39"/>
        <v>5.9932775513027368</v>
      </c>
      <c r="CB17" s="20">
        <f t="shared" si="10"/>
        <v>42.195596296668306</v>
      </c>
      <c r="CC17" s="59">
        <f t="shared" si="11"/>
        <v>315.9733740744461</v>
      </c>
      <c r="CD17" s="59">
        <f ca="1">AVERAGE(OFFSET($CC$3,0,0,'Données projet'!$E$12+1,1))-AVERAGE(OFFSET($H$3,0,0,'Données projet'!$E$12+1,1))</f>
        <v>360.44607552967267</v>
      </c>
      <c r="CE17" s="59">
        <f t="shared" si="40"/>
        <v>271.54361159160169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15.640000000000004</v>
      </c>
      <c r="CT17" s="12">
        <f>IF('Données projet'!$A$140&gt;35,CT16+CS17-DB16,IF(A17&lt;'Données projet'!$A$140,$CQ$205^A17,IF(A17='Données projet'!$A$140,'Données projet'!$B$140,CT16+CS17-DB16)))</f>
        <v>122.16000000000001</v>
      </c>
      <c r="CU17" s="17">
        <f>CT17*VLOOKUP('Données projet'!$B$13,Paramètres!$A$1:$I$89,3,0)*VLOOKUP('Données projet'!$B$13,Paramètres!$A$1:$I$89,5,0)</f>
        <v>61.553980800000005</v>
      </c>
      <c r="CV17" s="13">
        <f t="shared" si="41"/>
        <v>17.560577511028271</v>
      </c>
      <c r="CW17" s="20">
        <f t="shared" si="13"/>
        <v>137.79118905837424</v>
      </c>
      <c r="CX17" s="59">
        <f t="shared" si="14"/>
        <v>411.56896683615201</v>
      </c>
      <c r="CY17" s="59">
        <f ca="1">AVERAGE(OFFSET($CX$3,0,0,'Données projet'!$E$13+1,1))-AVERAGE(OFFSET($H$3,0,0,'Données projet'!$E$13+1,1))</f>
        <v>309.89554000341082</v>
      </c>
      <c r="CZ17" s="59">
        <f t="shared" si="42"/>
        <v>465.9235824539021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88</v>
      </c>
      <c r="L18" s="12">
        <f>VLOOKUP(A18,'Données projet'!$A$35:$I$55,9,0)</f>
        <v>10.6</v>
      </c>
      <c r="M18" s="12">
        <f t="array" ref="M18">INDEX(L:L,MIN(IF(ISNUMBER(L18:L214),ROW(L18:L214),"")))</f>
        <v>10.6</v>
      </c>
      <c r="N18" s="13">
        <f>IF('Données projet'!$A$36&gt;35,N17+M18-V17,IF(A18&lt;'Données projet'!$A$36,$K$205^A18,IF(A18='Données projet'!$A$36,'Données projet'!$B$36,N17+M18-V17)))</f>
        <v>87.999999999999986</v>
      </c>
      <c r="O18" s="13">
        <f>N18*VLOOKUP('Données projet'!$B$9,Paramètres!$A$1:$I$89,3,0)*VLOOKUP('Données projet'!$B$9,Paramètres!$A$1:$I$89,5,0)</f>
        <v>76.876799999999989</v>
      </c>
      <c r="P18" s="13">
        <f t="shared" si="33"/>
        <v>21.371784666185118</v>
      </c>
      <c r="Q18" s="20">
        <f t="shared" si="2"/>
        <v>171.1162849602724</v>
      </c>
      <c r="R18" s="59">
        <f t="shared" si="0"/>
        <v>446.11628496027242</v>
      </c>
      <c r="S18" s="59">
        <f ca="1">AVERAGE(OFFSET($R$3,0,0,'Données projet'!$E$9+1,1))-AVERAGE(OFFSET($H$3,0,0,'Données projet'!$E$9+1,1))</f>
        <v>281.82797419088109</v>
      </c>
      <c r="T18" s="59">
        <f t="shared" si="34"/>
        <v>298.98873283425371</v>
      </c>
      <c r="U18" s="15">
        <f>IF(ISNA(VLOOKUP(A18,'Données projet'!$A$35:$I$55,3,0)),0,VLOOKUP(A18,'Données projet'!$A$35:$I$55,3,0))</f>
        <v>2</v>
      </c>
      <c r="V18" s="15">
        <f>IF(ISNA(VLOOKUP(A18,'Données projet'!$A$35:$I$55,4,0)),0,VLOOKUP(A18,'Données projet'!$A$35:$I$55,4,0))</f>
        <v>30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1.8</v>
      </c>
      <c r="AI18" s="13">
        <f>IF('Données projet'!$A$62&gt;35,AI17+AH18-AQ17,IF(A18&lt;'Données projet'!$A$62,$AF$205^A18,IF(A18='Données projet'!$A$62,'Données projet'!$B$62,AI17+AH18-AQ17)))</f>
        <v>7.3484692283495407</v>
      </c>
      <c r="AJ18" s="13">
        <f>AI18*VLOOKUP('Données projet'!$B$10,Paramètres!$A$1:$I$89,3,0)*VLOOKUP('Données projet'!$B$10,Paramètres!$A$1:$I$89,5,0)</f>
        <v>7.3367116775841819</v>
      </c>
      <c r="AK18" s="13">
        <f t="shared" si="35"/>
        <v>2.6810761422920066</v>
      </c>
      <c r="AL18" s="20">
        <f t="shared" si="4"/>
        <v>17.447647119617695</v>
      </c>
      <c r="AM18" s="59">
        <f t="shared" si="5"/>
        <v>292.44764711961767</v>
      </c>
      <c r="AN18" s="59">
        <f ca="1">AVERAGE(OFFSET($AM$3,0,0,'Données projet'!$E$10+1,1))-AVERAGE(OFFSET($H$3,0,0,'Données projet'!$E$10+1,1))</f>
        <v>206.53345322763442</v>
      </c>
      <c r="AO18" s="59">
        <f t="shared" si="36"/>
        <v>96.700732426680929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3.65</v>
      </c>
      <c r="BD18" s="12">
        <f>IF('Données projet'!$A$88&gt;35,BD17+BC18-BL17,IF(A18&lt;'Données projet'!$A$88,$BA$205^A18,IF(A18='Données projet'!$A$88,'Données projet'!$B$88,BD17+BC18-BL17)))</f>
        <v>24.974232188561476</v>
      </c>
      <c r="BE18" s="13">
        <f>BD18*VLOOKUP('Données projet'!$B$11,Paramètres!$A$1:$I$89,3,0)*VLOOKUP('Données projet'!$B$11,Paramètres!$A$1:$I$89,5,0)</f>
        <v>21.03829319564419</v>
      </c>
      <c r="BF18" s="13">
        <f t="shared" si="37"/>
        <v>6.8008648676982615</v>
      </c>
      <c r="BG18" s="20">
        <f t="shared" si="7"/>
        <v>48.486533626988098</v>
      </c>
      <c r="BH18" s="59">
        <f t="shared" si="8"/>
        <v>323.48653362698809</v>
      </c>
      <c r="BI18" s="59">
        <f ca="1">AVERAGE(OFFSET($BH$3,0,0,'Données projet'!$E$11+1,1))-AVERAGE(OFFSET($H$3,0,0,'Données projet'!$E$11+1,1))</f>
        <v>328.34986205643321</v>
      </c>
      <c r="BJ18" s="59">
        <f t="shared" si="38"/>
        <v>251.60894449147008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3.65</v>
      </c>
      <c r="BY18" s="12">
        <f>IF('Données projet'!$A$114&gt;35,BY17+BX18-CG17,IF(A18&lt;'Données projet'!$A$114,$BV$205^A18,IF(A18='Données projet'!$A$114,'Données projet'!$B$114,BY17+BX18-CG17)))</f>
        <v>24.974232188561476</v>
      </c>
      <c r="BZ18" s="13">
        <f>BY18*VLOOKUP('Données projet'!$B$12,Paramètres!$A$1:$I$89,3,0)*VLOOKUP('Données projet'!$B$12,Paramètres!$A$1:$I$89,5,0)</f>
        <v>22.596685284210423</v>
      </c>
      <c r="CA18" s="13">
        <f t="shared" si="39"/>
        <v>7.2441259820371586</v>
      </c>
      <c r="CB18" s="20">
        <f t="shared" si="10"/>
        <v>51.972746288714539</v>
      </c>
      <c r="CC18" s="59">
        <f t="shared" si="11"/>
        <v>326.97274628871452</v>
      </c>
      <c r="CD18" s="59">
        <f ca="1">AVERAGE(OFFSET($CC$3,0,0,'Données projet'!$E$12+1,1))-AVERAGE(OFFSET($H$3,0,0,'Données projet'!$E$12+1,1))</f>
        <v>360.44607552967267</v>
      </c>
      <c r="CE18" s="59">
        <f t="shared" si="40"/>
        <v>271.54361159160169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137.80000000000001</v>
      </c>
      <c r="CR18" s="12">
        <f>VLOOKUP(A18,'Données projet'!$A$139:$I$159,9,0)</f>
        <v>15.640000000000004</v>
      </c>
      <c r="CS18" s="12">
        <f t="array" ref="CS18">INDEX(CR:CR,MIN(IF(ISNUMBER(CR18:CR214),ROW(CR18:CR214),"")))</f>
        <v>15.640000000000004</v>
      </c>
      <c r="CT18" s="12">
        <f>IF('Données projet'!$A$140&gt;35,CT17+CS18-DB17,IF(A18&lt;'Données projet'!$A$140,$CQ$205^A18,IF(A18='Données projet'!$A$140,'Données projet'!$B$140,CT17+CS18-DB17)))</f>
        <v>137.80000000000001</v>
      </c>
      <c r="CU18" s="17">
        <f>CT18*VLOOKUP('Données projet'!$B$13,Paramètres!$A$1:$I$89,3,0)*VLOOKUP('Données projet'!$B$13,Paramètres!$A$1:$I$89,5,0)</f>
        <v>69.434664000000012</v>
      </c>
      <c r="CV18" s="13">
        <f t="shared" si="41"/>
        <v>19.532998528688537</v>
      </c>
      <c r="CW18" s="20">
        <f t="shared" si="13"/>
        <v>154.95201223746588</v>
      </c>
      <c r="CX18" s="59">
        <f t="shared" si="14"/>
        <v>429.95201223746585</v>
      </c>
      <c r="CY18" s="59">
        <f ca="1">AVERAGE(OFFSET($CX$3,0,0,'Données projet'!$E$13+1,1))-AVERAGE(OFFSET($H$3,0,0,'Données projet'!$E$13+1,1))</f>
        <v>309.89554000341082</v>
      </c>
      <c r="CZ18" s="59">
        <f t="shared" si="42"/>
        <v>465.9235824539021</v>
      </c>
      <c r="DA18" s="15">
        <f>IF(ISNA(VLOOKUP(A18,'Données projet'!$A$139:$I$159,3,0)),0,VLOOKUP(A18,'Données projet'!$A$139:$I$159,3,0))</f>
        <v>3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11.8</v>
      </c>
      <c r="N19" s="13">
        <f>IF('Données projet'!$A$36&gt;35,N18+M19-V18,IF(A19&lt;'Données projet'!$A$36,$K$205^A19,IF(A19='Données projet'!$A$36,'Données projet'!$B$36,N18+M19-V18)))</f>
        <v>69.799999999999983</v>
      </c>
      <c r="O19" s="13">
        <f>N19*VLOOKUP('Données projet'!$B$9,Paramètres!$A$1:$I$89,3,0)*VLOOKUP('Données projet'!$B$9,Paramètres!$A$1:$I$89,5,0)</f>
        <v>60.977279999999993</v>
      </c>
      <c r="P19" s="13">
        <f t="shared" si="33"/>
        <v>17.415123237238468</v>
      </c>
      <c r="Q19" s="20">
        <f t="shared" si="2"/>
        <v>136.5334356381903</v>
      </c>
      <c r="R19" s="59">
        <f t="shared" si="0"/>
        <v>412.7556578604125</v>
      </c>
      <c r="S19" s="59">
        <f ca="1">AVERAGE(OFFSET($R$3,0,0,'Données projet'!$E$9+1,1))-AVERAGE(OFFSET($H$3,0,0,'Données projet'!$E$9+1,1))</f>
        <v>281.82797419088109</v>
      </c>
      <c r="T19" s="59">
        <f t="shared" si="34"/>
        <v>298.98873283425371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1.8</v>
      </c>
      <c r="AI19" s="13">
        <f>IF('Données projet'!$A$62&gt;35,AI18+AH19-AQ18,IF(A19&lt;'Données projet'!$A$62,$AF$205^A19,IF(A19='Données projet'!$A$62,'Données projet'!$B$62,AI18+AH19-AQ18)))</f>
        <v>8.3935047120054769</v>
      </c>
      <c r="AJ19" s="13">
        <f>AI19*VLOOKUP('Données projet'!$B$10,Paramètres!$A$1:$I$89,3,0)*VLOOKUP('Données projet'!$B$10,Paramètres!$A$1:$I$89,5,0)</f>
        <v>8.3800751044662682</v>
      </c>
      <c r="AK19" s="13">
        <f t="shared" si="35"/>
        <v>3.0153235454370191</v>
      </c>
      <c r="AL19" s="20">
        <f t="shared" si="4"/>
        <v>19.846985981914891</v>
      </c>
      <c r="AM19" s="59">
        <f t="shared" si="5"/>
        <v>296.06920820413711</v>
      </c>
      <c r="AN19" s="59">
        <f ca="1">AVERAGE(OFFSET($AM$3,0,0,'Données projet'!$E$10+1,1))-AVERAGE(OFFSET($H$3,0,0,'Données projet'!$E$10+1,1))</f>
        <v>206.53345322763442</v>
      </c>
      <c r="AO19" s="59">
        <f t="shared" si="36"/>
        <v>96.700732426680929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3.65</v>
      </c>
      <c r="BD19" s="12">
        <f>IF('Données projet'!$A$88&gt;35,BD18+BC19-BL18,IF(A19&lt;'Données projet'!$A$88,$BA$205^A19,IF(A19='Données projet'!$A$88,'Données projet'!$B$88,BD18+BC19-BL18)))</f>
        <v>30.949831440200953</v>
      </c>
      <c r="BE19" s="13">
        <f>BD19*VLOOKUP('Données projet'!$B$11,Paramètres!$A$1:$I$89,3,0)*VLOOKUP('Données projet'!$B$11,Paramètres!$A$1:$I$89,5,0)</f>
        <v>26.072138005225284</v>
      </c>
      <c r="BF19" s="13">
        <f t="shared" si="37"/>
        <v>8.2202636982343371</v>
      </c>
      <c r="BG19" s="20">
        <f t="shared" si="7"/>
        <v>59.725932966858835</v>
      </c>
      <c r="BH19" s="59">
        <f t="shared" si="8"/>
        <v>335.94815518908104</v>
      </c>
      <c r="BI19" s="59">
        <f ca="1">AVERAGE(OFFSET($BH$3,0,0,'Données projet'!$E$11+1,1))-AVERAGE(OFFSET($H$3,0,0,'Données projet'!$E$11+1,1))</f>
        <v>328.34986205643321</v>
      </c>
      <c r="BJ19" s="59">
        <f t="shared" si="38"/>
        <v>251.60894449147008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3.65</v>
      </c>
      <c r="BY19" s="12">
        <f>IF('Données projet'!$A$114&gt;35,BY18+BX19-CG18,IF(A19&lt;'Données projet'!$A$114,$BV$205^A19,IF(A19='Données projet'!$A$114,'Données projet'!$B$114,BY18+BX19-CG18)))</f>
        <v>30.949831440200953</v>
      </c>
      <c r="BZ19" s="13">
        <f>BY19*VLOOKUP('Données projet'!$B$12,Paramètres!$A$1:$I$89,3,0)*VLOOKUP('Données projet'!$B$12,Paramètres!$A$1:$I$89,5,0)</f>
        <v>28.003407487093821</v>
      </c>
      <c r="CA19" s="13">
        <f t="shared" si="39"/>
        <v>8.7560372090925433</v>
      </c>
      <c r="CB19" s="20">
        <f t="shared" si="10"/>
        <v>64.022699512524582</v>
      </c>
      <c r="CC19" s="59">
        <f t="shared" si="11"/>
        <v>340.24492173474681</v>
      </c>
      <c r="CD19" s="59">
        <f ca="1">AVERAGE(OFFSET($CC$3,0,0,'Données projet'!$E$12+1,1))-AVERAGE(OFFSET($H$3,0,0,'Données projet'!$E$12+1,1))</f>
        <v>360.44607552967267</v>
      </c>
      <c r="CE19" s="59">
        <f t="shared" si="40"/>
        <v>271.54361159160169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19.879999999999995</v>
      </c>
      <c r="CT19" s="12">
        <f>IF('Données projet'!$A$140&gt;35,CT18+CS19-DB18,IF(A19&lt;'Données projet'!$A$140,$CQ$205^A19,IF(A19='Données projet'!$A$140,'Données projet'!$B$140,CT18+CS19-DB18)))</f>
        <v>157.68</v>
      </c>
      <c r="CU19" s="17">
        <f>CT19*VLOOKUP('Données projet'!$B$13,Paramètres!$A$1:$I$89,3,0)*VLOOKUP('Données projet'!$B$13,Paramètres!$A$1:$I$89,5,0)</f>
        <v>79.451798400000015</v>
      </c>
      <c r="CV19" s="13">
        <f t="shared" si="41"/>
        <v>22.003092394067274</v>
      </c>
      <c r="CW19" s="20">
        <f t="shared" si="13"/>
        <v>176.70060146633386</v>
      </c>
      <c r="CX19" s="59">
        <f t="shared" si="14"/>
        <v>452.92282368855609</v>
      </c>
      <c r="CY19" s="59">
        <f ca="1">AVERAGE(OFFSET($CX$3,0,0,'Données projet'!$E$13+1,1))-AVERAGE(OFFSET($H$3,0,0,'Données projet'!$E$13+1,1))</f>
        <v>309.89554000341082</v>
      </c>
      <c r="CZ19" s="59">
        <f t="shared" si="42"/>
        <v>465.9235824539021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11.8</v>
      </c>
      <c r="N20" s="13">
        <f>IF('Données projet'!$A$36&gt;35,N19+M20-V19,IF(A20&lt;'Données projet'!$A$36,$K$205^A20,IF(A20='Données projet'!$A$36,'Données projet'!$B$36,N19+M20-V19)))</f>
        <v>81.59999999999998</v>
      </c>
      <c r="O20" s="13">
        <f>N20*VLOOKUP('Données projet'!$B$9,Paramètres!$A$1:$I$89,3,0)*VLOOKUP('Données projet'!$B$9,Paramètres!$A$1:$I$89,5,0)</f>
        <v>71.285759999999982</v>
      </c>
      <c r="P20" s="13">
        <f t="shared" si="33"/>
        <v>19.992418069182566</v>
      </c>
      <c r="Q20" s="20">
        <f t="shared" si="2"/>
        <v>158.97616013715958</v>
      </c>
      <c r="R20" s="59">
        <f t="shared" si="0"/>
        <v>436.42060458160404</v>
      </c>
      <c r="S20" s="59">
        <f ca="1">AVERAGE(OFFSET($R$3,0,0,'Données projet'!$E$9+1,1))-AVERAGE(OFFSET($H$3,0,0,'Données projet'!$E$9+1,1))</f>
        <v>281.82797419088109</v>
      </c>
      <c r="T20" s="59">
        <f t="shared" si="34"/>
        <v>298.98873283425371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1.8</v>
      </c>
      <c r="AI20" s="13">
        <f>IF('Données projet'!$A$62&gt;35,AI19+AH20-AQ19,IF(A20&lt;'Données projet'!$A$62,$AF$205^A20,IF(A20='Données projet'!$A$62,'Données projet'!$B$62,AI19+AH20-AQ19)))</f>
        <v>9.5871560676428587</v>
      </c>
      <c r="AJ20" s="13">
        <f>AI20*VLOOKUP('Données projet'!$B$10,Paramètres!$A$1:$I$89,3,0)*VLOOKUP('Données projet'!$B$10,Paramètres!$A$1:$I$89,5,0)</f>
        <v>9.5718166179346298</v>
      </c>
      <c r="AK20" s="13">
        <f t="shared" si="35"/>
        <v>3.3912412781735171</v>
      </c>
      <c r="AL20" s="20">
        <f t="shared" si="4"/>
        <v>22.577325835721691</v>
      </c>
      <c r="AM20" s="59">
        <f t="shared" si="5"/>
        <v>300.02177028016615</v>
      </c>
      <c r="AN20" s="59">
        <f ca="1">AVERAGE(OFFSET($AM$3,0,0,'Données projet'!$E$10+1,1))-AVERAGE(OFFSET($H$3,0,0,'Données projet'!$E$10+1,1))</f>
        <v>206.53345322763442</v>
      </c>
      <c r="AO20" s="59">
        <f t="shared" si="36"/>
        <v>96.700732426680929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3.65</v>
      </c>
      <c r="BD20" s="12">
        <f>IF('Données projet'!$A$88&gt;35,BD19+BC20-BL19,IF(A20&lt;'Données projet'!$A$88,$BA$205^A20,IF(A20='Données projet'!$A$88,'Données projet'!$B$88,BD19+BC20-BL19)))</f>
        <v>38.355215845858055</v>
      </c>
      <c r="BE20" s="13">
        <f>BD20*VLOOKUP('Données projet'!$B$11,Paramètres!$A$1:$I$89,3,0)*VLOOKUP('Données projet'!$B$11,Paramètres!$A$1:$I$89,5,0)</f>
        <v>32.310433828550828</v>
      </c>
      <c r="BF20" s="13">
        <f t="shared" si="37"/>
        <v>9.9359032392271498</v>
      </c>
      <c r="BG20" s="20">
        <f t="shared" si="7"/>
        <v>73.579037059713301</v>
      </c>
      <c r="BH20" s="59">
        <f t="shared" si="8"/>
        <v>351.02348150415776</v>
      </c>
      <c r="BI20" s="59">
        <f ca="1">AVERAGE(OFFSET($BH$3,0,0,'Données projet'!$E$11+1,1))-AVERAGE(OFFSET($H$3,0,0,'Données projet'!$E$11+1,1))</f>
        <v>328.34986205643321</v>
      </c>
      <c r="BJ20" s="59">
        <f t="shared" si="38"/>
        <v>251.60894449147008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3.65</v>
      </c>
      <c r="BY20" s="12">
        <f>IF('Données projet'!$A$114&gt;35,BY19+BX20-CG19,IF(A20&lt;'Données projet'!$A$114,$BV$205^A20,IF(A20='Données projet'!$A$114,'Données projet'!$B$114,BY19+BX20-CG19)))</f>
        <v>38.355215845858055</v>
      </c>
      <c r="BZ20" s="13">
        <f>BY20*VLOOKUP('Données projet'!$B$12,Paramètres!$A$1:$I$89,3,0)*VLOOKUP('Données projet'!$B$12,Paramètres!$A$1:$I$89,5,0)</f>
        <v>34.703799297332367</v>
      </c>
      <c r="CA20" s="13">
        <f t="shared" si="39"/>
        <v>10.583497277259243</v>
      </c>
      <c r="CB20" s="20">
        <f t="shared" si="10"/>
        <v>78.875374867413711</v>
      </c>
      <c r="CC20" s="59">
        <f t="shared" si="11"/>
        <v>356.31981931185817</v>
      </c>
      <c r="CD20" s="59">
        <f ca="1">AVERAGE(OFFSET($CC$3,0,0,'Données projet'!$E$12+1,1))-AVERAGE(OFFSET($H$3,0,0,'Données projet'!$E$12+1,1))</f>
        <v>360.44607552967267</v>
      </c>
      <c r="CE20" s="59">
        <f t="shared" si="40"/>
        <v>271.54361159160169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19.879999999999995</v>
      </c>
      <c r="CT20" s="12">
        <f>IF('Données projet'!$A$140&gt;35,CT19+CS20-DB19,IF(A20&lt;'Données projet'!$A$140,$CQ$205^A20,IF(A20='Données projet'!$A$140,'Données projet'!$B$140,CT19+CS20-DB19)))</f>
        <v>177.56</v>
      </c>
      <c r="CU20" s="17">
        <f>CT20*VLOOKUP('Données projet'!$B$13,Paramètres!$A$1:$I$89,3,0)*VLOOKUP('Données projet'!$B$13,Paramètres!$A$1:$I$89,5,0)</f>
        <v>89.468932800000005</v>
      </c>
      <c r="CV20" s="13">
        <f t="shared" si="41"/>
        <v>24.43710029056129</v>
      </c>
      <c r="CW20" s="20">
        <f t="shared" si="13"/>
        <v>198.38634096606094</v>
      </c>
      <c r="CX20" s="59">
        <f t="shared" si="14"/>
        <v>475.83078541050543</v>
      </c>
      <c r="CY20" s="59">
        <f ca="1">AVERAGE(OFFSET($CX$3,0,0,'Données projet'!$E$13+1,1))-AVERAGE(OFFSET($H$3,0,0,'Données projet'!$E$13+1,1))</f>
        <v>309.89554000341082</v>
      </c>
      <c r="CZ20" s="59">
        <f t="shared" si="42"/>
        <v>465.9235824539021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11.8</v>
      </c>
      <c r="N21" s="13">
        <f>IF('Données projet'!$A$36&gt;35,N20+M21-V20,IF(A21&lt;'Données projet'!$A$36,$K$205^A21,IF(A21='Données projet'!$A$36,'Données projet'!$B$36,N20+M21-V20)))</f>
        <v>93.399999999999977</v>
      </c>
      <c r="O21" s="13">
        <f>N21*VLOOKUP('Données projet'!$B$9,Paramètres!$A$1:$I$89,3,0)*VLOOKUP('Données projet'!$B$9,Paramètres!$A$1:$I$89,5,0)</f>
        <v>81.594239999999999</v>
      </c>
      <c r="P21" s="13">
        <f t="shared" si="33"/>
        <v>22.526535320646335</v>
      </c>
      <c r="Q21" s="20">
        <f t="shared" si="2"/>
        <v>181.34368368345903</v>
      </c>
      <c r="R21" s="59">
        <f t="shared" si="0"/>
        <v>460.01035035012569</v>
      </c>
      <c r="S21" s="59">
        <f ca="1">AVERAGE(OFFSET($R$3,0,0,'Données projet'!$E$9+1,1))-AVERAGE(OFFSET($H$3,0,0,'Données projet'!$E$9+1,1))</f>
        <v>281.82797419088109</v>
      </c>
      <c r="T21" s="59">
        <f t="shared" si="34"/>
        <v>298.98873283425371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1.8</v>
      </c>
      <c r="AI21" s="13">
        <f>IF('Données projet'!$A$62&gt;35,AI20+AH21-AQ20,IF(A21&lt;'Données projet'!$A$62,$AF$205^A21,IF(A21='Données projet'!$A$62,'Données projet'!$B$62,AI20+AH21-AQ20)))</f>
        <v>10.950558154077715</v>
      </c>
      <c r="AJ21" s="13">
        <f>AI21*VLOOKUP('Données projet'!$B$10,Paramètres!$A$1:$I$89,3,0)*VLOOKUP('Données projet'!$B$10,Paramètres!$A$1:$I$89,5,0)</f>
        <v>10.933037261031192</v>
      </c>
      <c r="AK21" s="13">
        <f t="shared" si="35"/>
        <v>3.8140243438191841</v>
      </c>
      <c r="AL21" s="20">
        <f t="shared" si="4"/>
        <v>25.68446562844774</v>
      </c>
      <c r="AM21" s="59">
        <f t="shared" si="5"/>
        <v>304.35113229511444</v>
      </c>
      <c r="AN21" s="59">
        <f ca="1">AVERAGE(OFFSET($AM$3,0,0,'Données projet'!$E$10+1,1))-AVERAGE(OFFSET($H$3,0,0,'Données projet'!$E$10+1,1))</f>
        <v>206.53345322763442</v>
      </c>
      <c r="AO21" s="59">
        <f t="shared" si="36"/>
        <v>96.700732426680929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3.65</v>
      </c>
      <c r="BD21" s="12">
        <f>IF('Données projet'!$A$88&gt;35,BD20+BC21-BL20,IF(A21&lt;'Données projet'!$A$88,$BA$205^A21,IF(A21='Données projet'!$A$88,'Données projet'!$B$88,BD20+BC21-BL20)))</f>
        <v>47.532490941824946</v>
      </c>
      <c r="BE21" s="13">
        <f>BD21*VLOOKUP('Données projet'!$B$11,Paramètres!$A$1:$I$89,3,0)*VLOOKUP('Données projet'!$B$11,Paramètres!$A$1:$I$89,5,0)</f>
        <v>40.041370369393334</v>
      </c>
      <c r="BF21" s="13">
        <f t="shared" si="37"/>
        <v>12.009611467876571</v>
      </c>
      <c r="BG21" s="20">
        <f t="shared" si="7"/>
        <v>90.655460033245092</v>
      </c>
      <c r="BH21" s="59">
        <f t="shared" si="8"/>
        <v>369.32212669991179</v>
      </c>
      <c r="BI21" s="59">
        <f ca="1">AVERAGE(OFFSET($BH$3,0,0,'Données projet'!$E$11+1,1))-AVERAGE(OFFSET($H$3,0,0,'Données projet'!$E$11+1,1))</f>
        <v>328.34986205643321</v>
      </c>
      <c r="BJ21" s="59">
        <f t="shared" si="38"/>
        <v>251.60894449147008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3.65</v>
      </c>
      <c r="BY21" s="12">
        <f>IF('Données projet'!$A$114&gt;35,BY20+BX21-CG20,IF(A21&lt;'Données projet'!$A$114,$BV$205^A21,IF(A21='Données projet'!$A$114,'Données projet'!$B$114,BY20+BX21-CG20)))</f>
        <v>47.532490941824946</v>
      </c>
      <c r="BZ21" s="13">
        <f>BY21*VLOOKUP('Données projet'!$B$12,Paramètres!$A$1:$I$89,3,0)*VLOOKUP('Données projet'!$B$12,Paramètres!$A$1:$I$89,5,0)</f>
        <v>43.007397804163212</v>
      </c>
      <c r="CA21" s="13">
        <f t="shared" si="39"/>
        <v>12.792363936215189</v>
      </c>
      <c r="CB21" s="20">
        <f t="shared" si="10"/>
        <v>97.184585031159045</v>
      </c>
      <c r="CC21" s="59">
        <f t="shared" si="11"/>
        <v>375.85125169782572</v>
      </c>
      <c r="CD21" s="59">
        <f ca="1">AVERAGE(OFFSET($CC$3,0,0,'Données projet'!$E$12+1,1))-AVERAGE(OFFSET($H$3,0,0,'Données projet'!$E$12+1,1))</f>
        <v>360.44607552967267</v>
      </c>
      <c r="CE21" s="59">
        <f t="shared" si="40"/>
        <v>271.54361159160169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19.879999999999995</v>
      </c>
      <c r="CT21" s="12">
        <f>IF('Données projet'!$A$140&gt;35,CT20+CS21-DB20,IF(A21&lt;'Données projet'!$A$140,$CQ$205^A21,IF(A21='Données projet'!$A$140,'Données projet'!$B$140,CT20+CS21-DB20)))</f>
        <v>197.44</v>
      </c>
      <c r="CU21" s="17">
        <f>CT21*VLOOKUP('Données projet'!$B$13,Paramètres!$A$1:$I$89,3,0)*VLOOKUP('Données projet'!$B$13,Paramètres!$A$1:$I$89,5,0)</f>
        <v>99.486067200000008</v>
      </c>
      <c r="CV21" s="13">
        <f t="shared" si="41"/>
        <v>26.839523453364023</v>
      </c>
      <c r="CW21" s="20">
        <f t="shared" si="13"/>
        <v>220.01707038794234</v>
      </c>
      <c r="CX21" s="59">
        <f t="shared" si="14"/>
        <v>498.68373705460903</v>
      </c>
      <c r="CY21" s="59">
        <f ca="1">AVERAGE(OFFSET($CX$3,0,0,'Données projet'!$E$13+1,1))-AVERAGE(OFFSET($H$3,0,0,'Données projet'!$E$13+1,1))</f>
        <v>309.89554000341082</v>
      </c>
      <c r="CZ21" s="59">
        <f t="shared" si="42"/>
        <v>465.9235824539021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11.8</v>
      </c>
      <c r="N22" s="13">
        <f>IF('Données projet'!$A$36&gt;35,N21+M22-V21,IF(A22&lt;'Données projet'!$A$36,$K$205^A22,IF(A22='Données projet'!$A$36,'Données projet'!$B$36,N21+M22-V21)))</f>
        <v>105.19999999999997</v>
      </c>
      <c r="O22" s="13">
        <f>N22*VLOOKUP('Données projet'!$B$9,Paramètres!$A$1:$I$89,3,0)*VLOOKUP('Données projet'!$B$9,Paramètres!$A$1:$I$89,5,0)</f>
        <v>91.902719999999988</v>
      </c>
      <c r="P22" s="13">
        <f t="shared" si="33"/>
        <v>25.023555003327861</v>
      </c>
      <c r="Q22" s="20">
        <f t="shared" si="2"/>
        <v>203.64659563079599</v>
      </c>
      <c r="R22" s="59">
        <f t="shared" si="0"/>
        <v>483.53548451968481</v>
      </c>
      <c r="S22" s="59">
        <f ca="1">AVERAGE(OFFSET($R$3,0,0,'Données projet'!$E$9+1,1))-AVERAGE(OFFSET($H$3,0,0,'Données projet'!$E$9+1,1))</f>
        <v>281.82797419088109</v>
      </c>
      <c r="T22" s="59">
        <f t="shared" si="34"/>
        <v>298.98873283425371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1.8</v>
      </c>
      <c r="AI22" s="13">
        <f>IF('Données projet'!$A$62&gt;35,AI21+AH22-AQ21,IF(A22&lt;'Données projet'!$A$62,$AF$205^A22,IF(A22='Données projet'!$A$62,'Données projet'!$B$62,AI21+AH22-AQ21)))</f>
        <v>12.507851446223583</v>
      </c>
      <c r="AJ22" s="13">
        <f>AI22*VLOOKUP('Données projet'!$B$10,Paramètres!$A$1:$I$89,3,0)*VLOOKUP('Données projet'!$B$10,Paramètres!$A$1:$I$89,5,0)</f>
        <v>12.487838883909626</v>
      </c>
      <c r="AK22" s="13">
        <f t="shared" si="35"/>
        <v>4.2895154021833779</v>
      </c>
      <c r="AL22" s="20">
        <f t="shared" si="4"/>
        <v>29.220558714945312</v>
      </c>
      <c r="AM22" s="59">
        <f t="shared" si="5"/>
        <v>309.10944760383416</v>
      </c>
      <c r="AN22" s="59">
        <f ca="1">AVERAGE(OFFSET($AM$3,0,0,'Données projet'!$E$10+1,1))-AVERAGE(OFFSET($H$3,0,0,'Données projet'!$E$10+1,1))</f>
        <v>206.53345322763442</v>
      </c>
      <c r="AO22" s="59">
        <f t="shared" si="36"/>
        <v>96.700732426680929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3.65</v>
      </c>
      <c r="BD22" s="12">
        <f>IF('Données projet'!$A$88&gt;35,BD21+BC22-BL21,IF(A22&lt;'Données projet'!$A$88,$BA$205^A22,IF(A22='Données projet'!$A$88,'Données projet'!$B$88,BD21+BC22-BL21)))</f>
        <v>58.90561805764559</v>
      </c>
      <c r="BE22" s="13">
        <f>BD22*VLOOKUP('Données projet'!$B$11,Paramètres!$A$1:$I$89,3,0)*VLOOKUP('Données projet'!$B$11,Paramètres!$A$1:$I$89,5,0)</f>
        <v>49.622092651760646</v>
      </c>
      <c r="BF22" s="13">
        <f t="shared" si="37"/>
        <v>14.516120390537463</v>
      </c>
      <c r="BG22" s="20">
        <f t="shared" si="7"/>
        <v>111.70738771533587</v>
      </c>
      <c r="BH22" s="59">
        <f t="shared" si="8"/>
        <v>391.59627660422473</v>
      </c>
      <c r="BI22" s="59">
        <f ca="1">AVERAGE(OFFSET($BH$3,0,0,'Données projet'!$E$11+1,1))-AVERAGE(OFFSET($H$3,0,0,'Données projet'!$E$11+1,1))</f>
        <v>328.34986205643321</v>
      </c>
      <c r="BJ22" s="59">
        <f t="shared" si="38"/>
        <v>251.60894449147008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3.65</v>
      </c>
      <c r="BY22" s="12">
        <f>IF('Données projet'!$A$114&gt;35,BY21+BX22-CG21,IF(A22&lt;'Données projet'!$A$114,$BV$205^A22,IF(A22='Données projet'!$A$114,'Données projet'!$B$114,BY21+BX22-CG21)))</f>
        <v>58.90561805764559</v>
      </c>
      <c r="BZ22" s="13">
        <f>BY22*VLOOKUP('Données projet'!$B$12,Paramètres!$A$1:$I$89,3,0)*VLOOKUP('Données projet'!$B$12,Paramètres!$A$1:$I$89,5,0)</f>
        <v>53.297803218557732</v>
      </c>
      <c r="CA22" s="13">
        <f t="shared" si="39"/>
        <v>15.462240012873817</v>
      </c>
      <c r="CB22" s="20">
        <f t="shared" si="10"/>
        <v>119.75707529474329</v>
      </c>
      <c r="CC22" s="59">
        <f t="shared" si="11"/>
        <v>399.64596418363215</v>
      </c>
      <c r="CD22" s="59">
        <f ca="1">AVERAGE(OFFSET($CC$3,0,0,'Données projet'!$E$12+1,1))-AVERAGE(OFFSET($H$3,0,0,'Données projet'!$E$12+1,1))</f>
        <v>360.44607552967267</v>
      </c>
      <c r="CE22" s="59">
        <f t="shared" si="40"/>
        <v>271.54361159160169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19.879999999999995</v>
      </c>
      <c r="CT22" s="12">
        <f>IF('Données projet'!$A$140&gt;35,CT21+CS22-DB21,IF(A22&lt;'Données projet'!$A$140,$CQ$205^A22,IF(A22='Données projet'!$A$140,'Données projet'!$B$140,CT21+CS22-DB21)))</f>
        <v>217.32</v>
      </c>
      <c r="CU22" s="17">
        <f>CT22*VLOOKUP('Données projet'!$B$13,Paramètres!$A$1:$I$89,3,0)*VLOOKUP('Données projet'!$B$13,Paramètres!$A$1:$I$89,5,0)</f>
        <v>109.50320160000001</v>
      </c>
      <c r="CV22" s="13">
        <f t="shared" si="41"/>
        <v>29.213904176142549</v>
      </c>
      <c r="CW22" s="20">
        <f t="shared" si="13"/>
        <v>241.59895922678155</v>
      </c>
      <c r="CX22" s="59">
        <f t="shared" si="14"/>
        <v>521.48784811567043</v>
      </c>
      <c r="CY22" s="59">
        <f ca="1">AVERAGE(OFFSET($CX$3,0,0,'Données projet'!$E$13+1,1))-AVERAGE(OFFSET($H$3,0,0,'Données projet'!$E$13+1,1))</f>
        <v>309.89554000341082</v>
      </c>
      <c r="CZ22" s="59">
        <f t="shared" si="42"/>
        <v>465.9235824539021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117</v>
      </c>
      <c r="L23" s="12">
        <f>VLOOKUP(A23,'Données projet'!$A$35:$I$55,9,0)</f>
        <v>11.8</v>
      </c>
      <c r="M23" s="12">
        <f t="array" ref="M23">INDEX(L:L,MIN(IF(ISNUMBER(L23:L219),ROW(L23:L219),"")))</f>
        <v>11.8</v>
      </c>
      <c r="N23" s="13">
        <f>IF('Données projet'!$A$36&gt;35,N22+M23-V22,IF(A23&lt;'Données projet'!$A$36,$K$205^A23,IF(A23='Données projet'!$A$36,'Données projet'!$B$36,N22+M23-V22)))</f>
        <v>116.99999999999997</v>
      </c>
      <c r="O23" s="13">
        <f>N23*VLOOKUP('Données projet'!$B$9,Paramètres!$A$1:$I$89,3,0)*VLOOKUP('Données projet'!$B$9,Paramètres!$A$1:$I$89,5,0)</f>
        <v>102.21119999999999</v>
      </c>
      <c r="P23" s="13">
        <f t="shared" si="33"/>
        <v>27.488113037666018</v>
      </c>
      <c r="Q23" s="20">
        <f t="shared" si="2"/>
        <v>225.89297020726829</v>
      </c>
      <c r="R23" s="59">
        <f t="shared" si="0"/>
        <v>507.00408131837946</v>
      </c>
      <c r="S23" s="59">
        <f ca="1">AVERAGE(OFFSET($R$3,0,0,'Données projet'!$E$9+1,1))-AVERAGE(OFFSET($H$3,0,0,'Données projet'!$E$9+1,1))</f>
        <v>281.82797419088109</v>
      </c>
      <c r="T23" s="59">
        <f t="shared" si="34"/>
        <v>298.98873283425371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29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1.8</v>
      </c>
      <c r="AI23" s="13">
        <f>IF('Données projet'!$A$62&gt;35,AI22+AH23-AQ22,IF(A23&lt;'Données projet'!$A$62,$AF$205^A23,IF(A23='Données projet'!$A$62,'Données projet'!$B$62,AI22+AH23-AQ22)))</f>
        <v>14.286609467713813</v>
      </c>
      <c r="AJ23" s="13">
        <f>AI23*VLOOKUP('Données projet'!$B$10,Paramètres!$A$1:$I$89,3,0)*VLOOKUP('Données projet'!$B$10,Paramètres!$A$1:$I$89,5,0)</f>
        <v>14.26375089256547</v>
      </c>
      <c r="AK23" s="13">
        <f t="shared" si="35"/>
        <v>4.8242855123319943</v>
      </c>
      <c r="AL23" s="20">
        <f t="shared" si="4"/>
        <v>33.24499673852975</v>
      </c>
      <c r="AM23" s="59">
        <f t="shared" si="5"/>
        <v>314.35610784964092</v>
      </c>
      <c r="AN23" s="59">
        <f ca="1">AVERAGE(OFFSET($AM$3,0,0,'Données projet'!$E$10+1,1))-AVERAGE(OFFSET($H$3,0,0,'Données projet'!$E$10+1,1))</f>
        <v>206.53345322763442</v>
      </c>
      <c r="AO23" s="59">
        <f t="shared" si="36"/>
        <v>96.700732426680929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73</v>
      </c>
      <c r="BB23" s="12">
        <f>VLOOKUP(A23,'Données projet'!$A$87:$I$107,9,0)</f>
        <v>3.65</v>
      </c>
      <c r="BC23" s="12">
        <f t="array" ref="BC23">INDEX(BB:BB,MIN(IF(ISNUMBER(BB23:BB219),ROW(BB23:BB219),"")))</f>
        <v>3.65</v>
      </c>
      <c r="BD23" s="12">
        <f>IF('Données projet'!$A$88&gt;35,BD22+BC23-BL22,IF(A23&lt;'Données projet'!$A$88,$BA$205^A23,IF(A23='Données projet'!$A$88,'Données projet'!$B$88,BD22+BC23-BL22)))</f>
        <v>73</v>
      </c>
      <c r="BE23" s="13">
        <f>BD23*VLOOKUP('Données projet'!$B$11,Paramètres!$A$1:$I$89,3,0)*VLOOKUP('Données projet'!$B$11,Paramètres!$A$1:$I$89,5,0)</f>
        <v>61.495200000000004</v>
      </c>
      <c r="BF23" s="13">
        <f t="shared" si="37"/>
        <v>17.545759224285259</v>
      </c>
      <c r="BG23" s="20">
        <f t="shared" si="7"/>
        <v>137.66300398229683</v>
      </c>
      <c r="BH23" s="59">
        <f t="shared" si="8"/>
        <v>418.774115093408</v>
      </c>
      <c r="BI23" s="59">
        <f ca="1">AVERAGE(OFFSET($BH$3,0,0,'Données projet'!$E$11+1,1))-AVERAGE(OFFSET($H$3,0,0,'Données projet'!$E$11+1,1))</f>
        <v>328.34986205643321</v>
      </c>
      <c r="BJ23" s="59">
        <f t="shared" si="38"/>
        <v>251.60894449147008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6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1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4.7689624371814743</v>
      </c>
      <c r="BS23" s="22">
        <f t="shared" si="9"/>
        <v>4.7689624371814743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73</v>
      </c>
      <c r="BW23" s="12">
        <f>VLOOKUP(A23,'Données projet'!$A$113:$I$133,9,0)</f>
        <v>3.65</v>
      </c>
      <c r="BX23" s="12">
        <f t="array" ref="BX23">INDEX(BW:BW,MIN(IF(ISNUMBER(BW23:BW219),ROW(BW23:BW219),"")))</f>
        <v>3.65</v>
      </c>
      <c r="BY23" s="12">
        <f>IF('Données projet'!$A$114&gt;35,BY22+BX23-CG22,IF(A23&lt;'Données projet'!$A$114,$BV$205^A23,IF(A23='Données projet'!$A$114,'Données projet'!$B$114,BY22+BX23-CG22)))</f>
        <v>73</v>
      </c>
      <c r="BZ23" s="13">
        <f>BY23*VLOOKUP('Données projet'!$B$12,Paramètres!$A$1:$I$89,3,0)*VLOOKUP('Données projet'!$B$12,Paramètres!$A$1:$I$89,5,0)</f>
        <v>66.050399999999996</v>
      </c>
      <c r="CA23" s="13">
        <f t="shared" si="39"/>
        <v>18.689342126897891</v>
      </c>
      <c r="CB23" s="20">
        <f t="shared" si="10"/>
        <v>147.58838420434714</v>
      </c>
      <c r="CC23" s="59">
        <f t="shared" si="11"/>
        <v>428.69949531545831</v>
      </c>
      <c r="CD23" s="59">
        <f ca="1">AVERAGE(OFFSET($CC$3,0,0,'Données projet'!$E$12+1,1))-AVERAGE(OFFSET($H$3,0,0,'Données projet'!$E$12+1,1))</f>
        <v>360.44607552967267</v>
      </c>
      <c r="CE23" s="59">
        <f t="shared" si="40"/>
        <v>271.54361159160169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6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1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5.1222189140097312</v>
      </c>
      <c r="CN23" s="22">
        <f t="shared" si="12"/>
        <v>5.1222189140097312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237.2</v>
      </c>
      <c r="CR23" s="12">
        <f>VLOOKUP(A23,'Données projet'!$A$139:$I$159,9,0)</f>
        <v>19.879999999999995</v>
      </c>
      <c r="CS23" s="12">
        <f t="array" ref="CS23">INDEX(CR:CR,MIN(IF(ISNUMBER(CR23:CR219),ROW(CR23:CR219),"")))</f>
        <v>19.879999999999995</v>
      </c>
      <c r="CT23" s="12">
        <f>IF('Données projet'!$A$140&gt;35,CT22+CS23-DB22,IF(A23&lt;'Données projet'!$A$140,$CQ$205^A23,IF(A23='Données projet'!$A$140,'Données projet'!$B$140,CT22+CS23-DB22)))</f>
        <v>237.2</v>
      </c>
      <c r="CU23" s="17">
        <f>CT23*VLOOKUP('Données projet'!$B$13,Paramètres!$A$1:$I$89,3,0)*VLOOKUP('Données projet'!$B$13,Paramètres!$A$1:$I$89,5,0)</f>
        <v>119.520336</v>
      </c>
      <c r="CV23" s="13">
        <f t="shared" si="41"/>
        <v>31.563099478326379</v>
      </c>
      <c r="CW23" s="20">
        <f t="shared" si="13"/>
        <v>263.13698345808513</v>
      </c>
      <c r="CX23" s="59">
        <f t="shared" si="14"/>
        <v>544.24809456919627</v>
      </c>
      <c r="CY23" s="59">
        <f ca="1">AVERAGE(OFFSET($CX$3,0,0,'Données projet'!$E$13+1,1))-AVERAGE(OFFSET($H$3,0,0,'Données projet'!$E$13+1,1))</f>
        <v>309.89554000341082</v>
      </c>
      <c r="CZ23" s="59">
        <f t="shared" si="42"/>
        <v>465.9235824539021</v>
      </c>
      <c r="DA23" s="15">
        <f>IF(ISNA(VLOOKUP(A23,'Données projet'!$A$139:$I$159,3,0)),0,VLOOKUP(A23,'Données projet'!$A$139:$I$159,3,0))</f>
        <v>4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11.4</v>
      </c>
      <c r="N24" s="13">
        <f>IF('Données projet'!$A$36&gt;35,N23+M24-V23,IF(A24&lt;'Données projet'!$A$36,$K$205^A24,IF(A24='Données projet'!$A$36,'Données projet'!$B$36,N23+M24-V23)))</f>
        <v>99.399999999999977</v>
      </c>
      <c r="O24" s="13">
        <f>N24*VLOOKUP('Données projet'!$B$9,Paramètres!$A$1:$I$89,3,0)*VLOOKUP('Données projet'!$B$9,Paramètres!$A$1:$I$89,5,0)</f>
        <v>86.83583999999999</v>
      </c>
      <c r="P24" s="13">
        <f t="shared" si="33"/>
        <v>23.800523515695954</v>
      </c>
      <c r="Q24" s="20">
        <f t="shared" si="2"/>
        <v>192.69166645650375</v>
      </c>
      <c r="R24" s="59">
        <f t="shared" si="0"/>
        <v>475.02499978983707</v>
      </c>
      <c r="S24" s="59">
        <f ca="1">AVERAGE(OFFSET($R$3,0,0,'Données projet'!$E$9+1,1))-AVERAGE(OFFSET($H$3,0,0,'Données projet'!$E$9+1,1))</f>
        <v>281.82797419088109</v>
      </c>
      <c r="T24" s="59">
        <f t="shared" si="34"/>
        <v>298.98873283425371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1.8</v>
      </c>
      <c r="AI24" s="13">
        <f>IF('Données projet'!$A$62&gt;35,AI23+AH24-AQ23,IF(A24&lt;'Données projet'!$A$62,$AF$205^A24,IF(A24='Données projet'!$A$62,'Données projet'!$B$62,AI23+AH24-AQ23)))</f>
        <v>16.31832700927982</v>
      </c>
      <c r="AJ24" s="13">
        <f>AI24*VLOOKUP('Données projet'!$B$10,Paramètres!$A$1:$I$89,3,0)*VLOOKUP('Données projet'!$B$10,Paramètres!$A$1:$I$89,5,0)</f>
        <v>16.292217686064973</v>
      </c>
      <c r="AK24" s="13">
        <f t="shared" si="35"/>
        <v>5.4257249414817252</v>
      </c>
      <c r="AL24" s="20">
        <f t="shared" si="4"/>
        <v>37.825416742977161</v>
      </c>
      <c r="AM24" s="59">
        <f t="shared" si="5"/>
        <v>320.15875007631047</v>
      </c>
      <c r="AN24" s="59">
        <f ca="1">AVERAGE(OFFSET($AM$3,0,0,'Données projet'!$E$10+1,1))-AVERAGE(OFFSET($H$3,0,0,'Données projet'!$E$10+1,1))</f>
        <v>206.53345322763442</v>
      </c>
      <c r="AO24" s="59">
        <f t="shared" si="36"/>
        <v>96.700732426680929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8.1999999999999993</v>
      </c>
      <c r="BD24" s="12">
        <f>IF('Données projet'!$A$88&gt;35,BD23+BC24-BL23,IF(A24&lt;'Données projet'!$A$88,$BA$205^A24,IF(A24='Données projet'!$A$88,'Données projet'!$B$88,BD23+BC24-BL23)))</f>
        <v>75.2</v>
      </c>
      <c r="BE24" s="13">
        <f>BD24*VLOOKUP('Données projet'!$B$11,Paramètres!$A$1:$I$89,3,0)*VLOOKUP('Données projet'!$B$11,Paramètres!$A$1:$I$89,5,0)</f>
        <v>63.348480000000009</v>
      </c>
      <c r="BF24" s="13">
        <f t="shared" si="37"/>
        <v>18.012175511673341</v>
      </c>
      <c r="BG24" s="20">
        <f t="shared" si="7"/>
        <v>141.70314168283105</v>
      </c>
      <c r="BH24" s="59">
        <f t="shared" si="8"/>
        <v>424.03647501616433</v>
      </c>
      <c r="BI24" s="59">
        <f ca="1">AVERAGE(OFFSET($BH$3,0,0,'Données projet'!$E$11+1,1))-AVERAGE(OFFSET($H$3,0,0,'Données projet'!$E$11+1,1))</f>
        <v>328.34986205643321</v>
      </c>
      <c r="BJ24" s="59">
        <f t="shared" si="38"/>
        <v>251.60894449147008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3.3721656785549454</v>
      </c>
      <c r="BS24" s="22">
        <f t="shared" si="9"/>
        <v>3.3721656785549454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8.1999999999999993</v>
      </c>
      <c r="BY24" s="12">
        <f>IF('Données projet'!$A$114&gt;35,BY23+BX24-CG23,IF(A24&lt;'Données projet'!$A$114,$BV$205^A24,IF(A24='Données projet'!$A$114,'Données projet'!$B$114,BY23+BX24-CG23)))</f>
        <v>75.2</v>
      </c>
      <c r="BZ24" s="13">
        <f>BY24*VLOOKUP('Données projet'!$B$12,Paramètres!$A$1:$I$89,3,0)*VLOOKUP('Données projet'!$B$12,Paramètres!$A$1:$I$89,5,0)</f>
        <v>68.040959999999998</v>
      </c>
      <c r="CA24" s="13">
        <f t="shared" si="39"/>
        <v>19.186158107165539</v>
      </c>
      <c r="CB24" s="20">
        <f t="shared" si="10"/>
        <v>151.92056403664665</v>
      </c>
      <c r="CC24" s="59">
        <f t="shared" si="11"/>
        <v>434.25389736998</v>
      </c>
      <c r="CD24" s="59">
        <f ca="1">AVERAGE(OFFSET($CC$3,0,0,'Données projet'!$E$12+1,1))-AVERAGE(OFFSET($H$3,0,0,'Données projet'!$E$12+1,1))</f>
        <v>360.44607552967267</v>
      </c>
      <c r="CE24" s="59">
        <f t="shared" si="40"/>
        <v>271.54361159160169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3.6219557288182744</v>
      </c>
      <c r="CN24" s="22">
        <f t="shared" si="12"/>
        <v>3.6219557288182744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21.8</v>
      </c>
      <c r="CT24" s="12">
        <f>IF('Données projet'!$A$140&gt;35,CT23+CS24-DB23,IF(A24&lt;'Données projet'!$A$140,$CQ$205^A24,IF(A24='Données projet'!$A$140,'Données projet'!$B$140,CT23+CS24-DB23)))</f>
        <v>259</v>
      </c>
      <c r="CU24" s="17">
        <f>CT24*VLOOKUP('Données projet'!$B$13,Paramètres!$A$1:$I$89,3,0)*VLOOKUP('Données projet'!$B$13,Paramètres!$A$1:$I$89,5,0)</f>
        <v>130.50492</v>
      </c>
      <c r="CV24" s="13">
        <f t="shared" si="41"/>
        <v>34.113005183967196</v>
      </c>
      <c r="CW24" s="20">
        <f t="shared" si="13"/>
        <v>286.70955302874285</v>
      </c>
      <c r="CX24" s="59">
        <f t="shared" si="14"/>
        <v>569.04288636207616</v>
      </c>
      <c r="CY24" s="59">
        <f ca="1">AVERAGE(OFFSET($CX$3,0,0,'Données projet'!$E$13+1,1))-AVERAGE(OFFSET($H$3,0,0,'Données projet'!$E$13+1,1))</f>
        <v>309.89554000341082</v>
      </c>
      <c r="CZ24" s="59">
        <f t="shared" si="42"/>
        <v>465.9235824539021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11.4</v>
      </c>
      <c r="N25" s="13">
        <f>IF('Données projet'!$A$36&gt;35,N24+M25-V24,IF(A25&lt;'Données projet'!$A$36,$K$205^A25,IF(A25='Données projet'!$A$36,'Données projet'!$B$36,N24+M25-V24)))</f>
        <v>110.79999999999998</v>
      </c>
      <c r="O25" s="13">
        <f>N25*VLOOKUP('Données projet'!$B$9,Paramètres!$A$1:$I$89,3,0)*VLOOKUP('Données projet'!$B$9,Paramètres!$A$1:$I$89,5,0)</f>
        <v>96.794879999999992</v>
      </c>
      <c r="P25" s="13">
        <f t="shared" si="33"/>
        <v>26.196980264498734</v>
      </c>
      <c r="Q25" s="20">
        <f t="shared" si="2"/>
        <v>214.21082329400193</v>
      </c>
      <c r="R25" s="59">
        <f t="shared" si="0"/>
        <v>497.76637884955744</v>
      </c>
      <c r="S25" s="59">
        <f ca="1">AVERAGE(OFFSET($R$3,0,0,'Données projet'!$E$9+1,1))-AVERAGE(OFFSET($H$3,0,0,'Données projet'!$E$9+1,1))</f>
        <v>281.82797419088109</v>
      </c>
      <c r="T25" s="59">
        <f t="shared" si="34"/>
        <v>298.98873283425371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1.8</v>
      </c>
      <c r="AI25" s="13">
        <f>IF('Données projet'!$A$62&gt;35,AI24+AH25-AQ24,IF(A25&lt;'Données projet'!$A$62,$AF$205^A25,IF(A25='Données projet'!$A$62,'Données projet'!$B$62,AI24+AH25-AQ24)))</f>
        <v>18.63897777730768</v>
      </c>
      <c r="AJ25" s="13">
        <f>AI25*VLOOKUP('Données projet'!$B$10,Paramètres!$A$1:$I$89,3,0)*VLOOKUP('Données projet'!$B$10,Paramètres!$A$1:$I$89,5,0)</f>
        <v>18.609155412863988</v>
      </c>
      <c r="AK25" s="13">
        <f t="shared" si="35"/>
        <v>6.1021452949592776</v>
      </c>
      <c r="AL25" s="20">
        <f t="shared" si="4"/>
        <v>43.038848732792189</v>
      </c>
      <c r="AM25" s="59">
        <f t="shared" si="5"/>
        <v>326.59440428834773</v>
      </c>
      <c r="AN25" s="59">
        <f ca="1">AVERAGE(OFFSET($AM$3,0,0,'Données projet'!$E$10+1,1))-AVERAGE(OFFSET($H$3,0,0,'Données projet'!$E$10+1,1))</f>
        <v>206.53345322763442</v>
      </c>
      <c r="AO25" s="59">
        <f t="shared" si="36"/>
        <v>96.700732426680929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8.1999999999999993</v>
      </c>
      <c r="BD25" s="12">
        <f>IF('Données projet'!$A$88&gt;35,BD24+BC25-BL24,IF(A25&lt;'Données projet'!$A$88,$BA$205^A25,IF(A25='Données projet'!$A$88,'Données projet'!$B$88,BD24+BC25-BL24)))</f>
        <v>83.4</v>
      </c>
      <c r="BE25" s="13">
        <f>BD25*VLOOKUP('Données projet'!$B$11,Paramètres!$A$1:$I$89,3,0)*VLOOKUP('Données projet'!$B$11,Paramètres!$A$1:$I$89,5,0)</f>
        <v>70.256160000000023</v>
      </c>
      <c r="BF25" s="13">
        <f t="shared" si="37"/>
        <v>19.737057597671299</v>
      </c>
      <c r="BG25" s="20">
        <f t="shared" si="7"/>
        <v>156.7381873159442</v>
      </c>
      <c r="BH25" s="59">
        <f t="shared" si="8"/>
        <v>440.29374287149972</v>
      </c>
      <c r="BI25" s="59">
        <f ca="1">AVERAGE(OFFSET($BH$3,0,0,'Données projet'!$E$11+1,1))-AVERAGE(OFFSET($H$3,0,0,'Données projet'!$E$11+1,1))</f>
        <v>328.34986205643321</v>
      </c>
      <c r="BJ25" s="59">
        <f t="shared" si="38"/>
        <v>251.60894449147008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2.3844812185907376</v>
      </c>
      <c r="BS25" s="22">
        <f t="shared" si="9"/>
        <v>2.3844812185907376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8.1999999999999993</v>
      </c>
      <c r="BY25" s="12">
        <f>IF('Données projet'!$A$114&gt;35,BY24+BX25-CG24,IF(A25&lt;'Données projet'!$A$114,$BV$205^A25,IF(A25='Données projet'!$A$114,'Données projet'!$B$114,BY24+BX25-CG24)))</f>
        <v>83.4</v>
      </c>
      <c r="BZ25" s="13">
        <f>BY25*VLOOKUP('Données projet'!$B$12,Paramètres!$A$1:$I$89,3,0)*VLOOKUP('Données projet'!$B$12,Paramètres!$A$1:$I$89,5,0)</f>
        <v>75.460319999999996</v>
      </c>
      <c r="CA25" s="13">
        <f t="shared" si="39"/>
        <v>21.023463123249066</v>
      </c>
      <c r="CB25" s="20">
        <f t="shared" si="10"/>
        <v>168.04258893965877</v>
      </c>
      <c r="CC25" s="59">
        <f t="shared" si="11"/>
        <v>451.59814449521434</v>
      </c>
      <c r="CD25" s="59">
        <f ca="1">AVERAGE(OFFSET($CC$3,0,0,'Données projet'!$E$12+1,1))-AVERAGE(OFFSET($H$3,0,0,'Données projet'!$E$12+1,1))</f>
        <v>360.44607552967267</v>
      </c>
      <c r="CE25" s="59">
        <f t="shared" si="40"/>
        <v>271.54361159160169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2.561109457004866</v>
      </c>
      <c r="CN25" s="22">
        <f t="shared" si="12"/>
        <v>2.561109457004866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21.8</v>
      </c>
      <c r="CT25" s="12">
        <f>IF('Données projet'!$A$140&gt;35,CT24+CS25-DB24,IF(A25&lt;'Données projet'!$A$140,$CQ$205^A25,IF(A25='Données projet'!$A$140,'Données projet'!$B$140,CT24+CS25-DB24)))</f>
        <v>280.8</v>
      </c>
      <c r="CU25" s="17">
        <f>CT25*VLOOKUP('Données projet'!$B$13,Paramètres!$A$1:$I$89,3,0)*VLOOKUP('Données projet'!$B$13,Paramètres!$A$1:$I$89,5,0)</f>
        <v>141.48950400000001</v>
      </c>
      <c r="CV25" s="13">
        <f t="shared" si="41"/>
        <v>36.638019488031183</v>
      </c>
      <c r="CW25" s="20">
        <f t="shared" si="13"/>
        <v>310.2387700749876</v>
      </c>
      <c r="CX25" s="59">
        <f t="shared" si="14"/>
        <v>593.7943256305432</v>
      </c>
      <c r="CY25" s="59">
        <f ca="1">AVERAGE(OFFSET($CX$3,0,0,'Données projet'!$E$13+1,1))-AVERAGE(OFFSET($H$3,0,0,'Données projet'!$E$13+1,1))</f>
        <v>309.89554000341082</v>
      </c>
      <c r="CZ25" s="59">
        <f t="shared" si="42"/>
        <v>465.9235824539021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11.4</v>
      </c>
      <c r="N26" s="13">
        <f>IF('Données projet'!$A$36&gt;35,N25+M26-V25,IF(A26&lt;'Données projet'!$A$36,$K$205^A26,IF(A26='Données projet'!$A$36,'Données projet'!$B$36,N25+M26-V25)))</f>
        <v>122.19999999999999</v>
      </c>
      <c r="O26" s="13">
        <f>N26*VLOOKUP('Données projet'!$B$9,Paramètres!$A$1:$I$89,3,0)*VLOOKUP('Données projet'!$B$9,Paramètres!$A$1:$I$89,5,0)</f>
        <v>106.75392000000001</v>
      </c>
      <c r="P26" s="13">
        <f t="shared" si="33"/>
        <v>28.564854626855976</v>
      </c>
      <c r="Q26" s="20">
        <f t="shared" si="2"/>
        <v>235.68019914177421</v>
      </c>
      <c r="R26" s="59">
        <f t="shared" si="0"/>
        <v>520.45797691955204</v>
      </c>
      <c r="S26" s="59">
        <f ca="1">AVERAGE(OFFSET($R$3,0,0,'Données projet'!$E$9+1,1))-AVERAGE(OFFSET($H$3,0,0,'Données projet'!$E$9+1,1))</f>
        <v>281.82797419088109</v>
      </c>
      <c r="T26" s="59">
        <f t="shared" si="34"/>
        <v>298.98873283425371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1.8</v>
      </c>
      <c r="AI26" s="13">
        <f>IF('Données projet'!$A$62&gt;35,AI25+AH26-AQ25,IF(A26&lt;'Données projet'!$A$62,$AF$205^A26,IF(A26='Données projet'!$A$62,'Données projet'!$B$62,AI25+AH26-AQ25)))</f>
        <v>21.289651346330135</v>
      </c>
      <c r="AJ26" s="13">
        <f>AI26*VLOOKUP('Données projet'!$B$10,Paramètres!$A$1:$I$89,3,0)*VLOOKUP('Données projet'!$B$10,Paramètres!$A$1:$I$89,5,0)</f>
        <v>21.255587904176007</v>
      </c>
      <c r="AK26" s="13">
        <f t="shared" si="35"/>
        <v>6.8628943786126957</v>
      </c>
      <c r="AL26" s="20">
        <f t="shared" si="4"/>
        <v>48.973023309190324</v>
      </c>
      <c r="AM26" s="59">
        <f t="shared" si="5"/>
        <v>333.75080108696807</v>
      </c>
      <c r="AN26" s="59">
        <f ca="1">AVERAGE(OFFSET($AM$3,0,0,'Données projet'!$E$10+1,1))-AVERAGE(OFFSET($H$3,0,0,'Données projet'!$E$10+1,1))</f>
        <v>206.53345322763442</v>
      </c>
      <c r="AO26" s="59">
        <f t="shared" si="36"/>
        <v>96.700732426680929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8.1999999999999993</v>
      </c>
      <c r="BD26" s="12">
        <f>IF('Données projet'!$A$88&gt;35,BD25+BC26-BL25,IF(A26&lt;'Données projet'!$A$88,$BA$205^A26,IF(A26='Données projet'!$A$88,'Données projet'!$B$88,BD25+BC26-BL25)))</f>
        <v>91.600000000000009</v>
      </c>
      <c r="BE26" s="13">
        <f>BD26*VLOOKUP('Données projet'!$B$11,Paramètres!$A$1:$I$89,3,0)*VLOOKUP('Données projet'!$B$11,Paramètres!$A$1:$I$89,5,0)</f>
        <v>77.163840000000008</v>
      </c>
      <c r="BF26" s="13">
        <f t="shared" si="37"/>
        <v>21.442278213774838</v>
      </c>
      <c r="BG26" s="20">
        <f t="shared" si="7"/>
        <v>171.73898922232453</v>
      </c>
      <c r="BH26" s="59">
        <f t="shared" si="8"/>
        <v>456.51676700010228</v>
      </c>
      <c r="BI26" s="59">
        <f ca="1">AVERAGE(OFFSET($BH$3,0,0,'Données projet'!$E$11+1,1))-AVERAGE(OFFSET($H$3,0,0,'Données projet'!$E$11+1,1))</f>
        <v>328.34986205643321</v>
      </c>
      <c r="BJ26" s="59">
        <f t="shared" si="38"/>
        <v>251.60894449147008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1.6860828392774729</v>
      </c>
      <c r="BS26" s="22">
        <f t="shared" si="9"/>
        <v>1.6860828392774729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8.1999999999999993</v>
      </c>
      <c r="BY26" s="12">
        <f>IF('Données projet'!$A$114&gt;35,BY25+BX26-CG25,IF(A26&lt;'Données projet'!$A$114,$BV$205^A26,IF(A26='Données projet'!$A$114,'Données projet'!$B$114,BY25+BX26-CG25)))</f>
        <v>91.600000000000009</v>
      </c>
      <c r="BZ26" s="13">
        <f>BY26*VLOOKUP('Données projet'!$B$12,Paramètres!$A$1:$I$89,3,0)*VLOOKUP('Données projet'!$B$12,Paramètres!$A$1:$I$89,5,0)</f>
        <v>82.879680000000008</v>
      </c>
      <c r="CA26" s="13">
        <f t="shared" si="39"/>
        <v>22.83982519050506</v>
      </c>
      <c r="CB26" s="20">
        <f t="shared" si="10"/>
        <v>184.12813820679631</v>
      </c>
      <c r="CC26" s="59">
        <f t="shared" si="11"/>
        <v>468.90591598457411</v>
      </c>
      <c r="CD26" s="59">
        <f ca="1">AVERAGE(OFFSET($CC$3,0,0,'Données projet'!$E$12+1,1))-AVERAGE(OFFSET($H$3,0,0,'Données projet'!$E$12+1,1))</f>
        <v>360.44607552967267</v>
      </c>
      <c r="CE26" s="59">
        <f t="shared" si="40"/>
        <v>271.54361159160169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1.8109778644091374</v>
      </c>
      <c r="CN26" s="22">
        <f t="shared" si="12"/>
        <v>1.8109778644091374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21.8</v>
      </c>
      <c r="CT26" s="12">
        <f>IF('Données projet'!$A$140&gt;35,CT25+CS26-DB25,IF(A26&lt;'Données projet'!$A$140,$CQ$205^A26,IF(A26='Données projet'!$A$140,'Données projet'!$B$140,CT25+CS26-DB25)))</f>
        <v>302.60000000000002</v>
      </c>
      <c r="CU26" s="17">
        <f>CT26*VLOOKUP('Données projet'!$B$13,Paramètres!$A$1:$I$89,3,0)*VLOOKUP('Données projet'!$B$13,Paramètres!$A$1:$I$89,5,0)</f>
        <v>152.47408800000002</v>
      </c>
      <c r="CV26" s="13">
        <f t="shared" si="41"/>
        <v>39.14029455568447</v>
      </c>
      <c r="CW26" s="20">
        <f t="shared" si="13"/>
        <v>333.72838295115054</v>
      </c>
      <c r="CX26" s="59">
        <f t="shared" si="14"/>
        <v>618.50616072892831</v>
      </c>
      <c r="CY26" s="59">
        <f ca="1">AVERAGE(OFFSET($CX$3,0,0,'Données projet'!$E$13+1,1))-AVERAGE(OFFSET($H$3,0,0,'Données projet'!$E$13+1,1))</f>
        <v>309.89554000341082</v>
      </c>
      <c r="CZ26" s="59">
        <f t="shared" si="42"/>
        <v>465.9235824539021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11.4</v>
      </c>
      <c r="N27" s="13">
        <f>IF('Données projet'!$A$36&gt;35,N26+M27-V26,IF(A27&lt;'Données projet'!$A$36,$K$205^A27,IF(A27='Données projet'!$A$36,'Données projet'!$B$36,N26+M27-V26)))</f>
        <v>133.6</v>
      </c>
      <c r="O27" s="13">
        <f>N27*VLOOKUP('Données projet'!$B$9,Paramètres!$A$1:$I$89,3,0)*VLOOKUP('Données projet'!$B$9,Paramètres!$A$1:$I$89,5,0)</f>
        <v>116.71296000000001</v>
      </c>
      <c r="P27" s="13">
        <f t="shared" si="33"/>
        <v>30.90711634982064</v>
      </c>
      <c r="Q27" s="20">
        <f t="shared" si="2"/>
        <v>257.10496630927094</v>
      </c>
      <c r="R27" s="59">
        <f t="shared" si="0"/>
        <v>543.10496630927094</v>
      </c>
      <c r="S27" s="59">
        <f ca="1">AVERAGE(OFFSET($R$3,0,0,'Données projet'!$E$9+1,1))-AVERAGE(OFFSET($H$3,0,0,'Données projet'!$E$9+1,1))</f>
        <v>281.82797419088109</v>
      </c>
      <c r="T27" s="59">
        <f t="shared" si="34"/>
        <v>298.98873283425371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1.8</v>
      </c>
      <c r="AI27" s="13">
        <f>IF('Données projet'!$A$62&gt;35,AI26+AH27-AQ26,IF(A27&lt;'Données projet'!$A$62,$AF$205^A27,IF(A27='Données projet'!$A$62,'Données projet'!$B$62,AI26+AH27-AQ26)))</f>
        <v>24.317280693371075</v>
      </c>
      <c r="AJ27" s="13">
        <f>AI27*VLOOKUP('Données projet'!$B$10,Paramètres!$A$1:$I$89,3,0)*VLOOKUP('Données projet'!$B$10,Paramètres!$A$1:$I$89,5,0)</f>
        <v>24.278373044261681</v>
      </c>
      <c r="AK27" s="13">
        <f t="shared" si="35"/>
        <v>7.7184853810184544</v>
      </c>
      <c r="AL27" s="20">
        <f t="shared" si="4"/>
        <v>55.727861757362895</v>
      </c>
      <c r="AM27" s="59">
        <f t="shared" si="5"/>
        <v>341.72786175736292</v>
      </c>
      <c r="AN27" s="59">
        <f ca="1">AVERAGE(OFFSET($AM$3,0,0,'Données projet'!$E$10+1,1))-AVERAGE(OFFSET($H$3,0,0,'Données projet'!$E$10+1,1))</f>
        <v>206.53345322763442</v>
      </c>
      <c r="AO27" s="59">
        <f t="shared" si="36"/>
        <v>96.700732426680929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8.1999999999999993</v>
      </c>
      <c r="BD27" s="12">
        <f>IF('Données projet'!$A$88&gt;35,BD26+BC27-BL26,IF(A27&lt;'Données projet'!$A$88,$BA$205^A27,IF(A27='Données projet'!$A$88,'Données projet'!$B$88,BD26+BC27-BL26)))</f>
        <v>99.800000000000011</v>
      </c>
      <c r="BE27" s="13">
        <f>BD27*VLOOKUP('Données projet'!$B$11,Paramètres!$A$1:$I$89,3,0)*VLOOKUP('Données projet'!$B$11,Paramètres!$A$1:$I$89,5,0)</f>
        <v>84.071520000000021</v>
      </c>
      <c r="BF27" s="13">
        <f t="shared" si="37"/>
        <v>23.129797599684554</v>
      </c>
      <c r="BG27" s="20">
        <f t="shared" si="7"/>
        <v>186.70896148611726</v>
      </c>
      <c r="BH27" s="59">
        <f t="shared" si="8"/>
        <v>472.70896148611723</v>
      </c>
      <c r="BI27" s="59">
        <f ca="1">AVERAGE(OFFSET($BH$3,0,0,'Données projet'!$E$11+1,1))-AVERAGE(OFFSET($H$3,0,0,'Données projet'!$E$11+1,1))</f>
        <v>328.34986205643321</v>
      </c>
      <c r="BJ27" s="59">
        <f t="shared" si="38"/>
        <v>251.60894449147008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1.192240609295369</v>
      </c>
      <c r="BS27" s="22">
        <f t="shared" si="9"/>
        <v>1.192240609295369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8.1999999999999993</v>
      </c>
      <c r="BY27" s="12">
        <f>IF('Données projet'!$A$114&gt;35,BY26+BX27-CG26,IF(A27&lt;'Données projet'!$A$114,$BV$205^A27,IF(A27='Données projet'!$A$114,'Données projet'!$B$114,BY26+BX27-CG26)))</f>
        <v>99.800000000000011</v>
      </c>
      <c r="BZ27" s="13">
        <f>BY27*VLOOKUP('Données projet'!$B$12,Paramètres!$A$1:$I$89,3,0)*VLOOKUP('Données projet'!$B$12,Paramètres!$A$1:$I$89,5,0)</f>
        <v>90.299040000000005</v>
      </c>
      <c r="CA27" s="13">
        <f t="shared" si="39"/>
        <v>24.637332311507059</v>
      </c>
      <c r="CB27" s="20">
        <f t="shared" si="10"/>
        <v>200.18084844254145</v>
      </c>
      <c r="CC27" s="59">
        <f t="shared" si="11"/>
        <v>486.18084844254145</v>
      </c>
      <c r="CD27" s="59">
        <f ca="1">AVERAGE(OFFSET($CC$3,0,0,'Données projet'!$E$12+1,1))-AVERAGE(OFFSET($H$3,0,0,'Données projet'!$E$12+1,1))</f>
        <v>360.44607552967267</v>
      </c>
      <c r="CE27" s="59">
        <f t="shared" si="40"/>
        <v>271.54361159160169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1.2805547285024332</v>
      </c>
      <c r="CN27" s="22">
        <f t="shared" si="12"/>
        <v>1.2805547285024332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21.8</v>
      </c>
      <c r="CT27" s="12">
        <f>IF('Données projet'!$A$140&gt;35,CT26+CS27-DB26,IF(A27&lt;'Données projet'!$A$140,$CQ$205^A27,IF(A27='Données projet'!$A$140,'Données projet'!$B$140,CT26+CS27-DB26)))</f>
        <v>324.40000000000003</v>
      </c>
      <c r="CU27" s="17">
        <f>CT27*VLOOKUP('Données projet'!$B$13,Paramètres!$A$1:$I$89,3,0)*VLOOKUP('Données projet'!$B$13,Paramètres!$A$1:$I$89,5,0)</f>
        <v>163.45867200000004</v>
      </c>
      <c r="CV27" s="13">
        <f t="shared" si="41"/>
        <v>41.621654882574106</v>
      </c>
      <c r="CW27" s="20">
        <f t="shared" si="13"/>
        <v>357.18156932048322</v>
      </c>
      <c r="CX27" s="59">
        <f t="shared" si="14"/>
        <v>643.18156932048328</v>
      </c>
      <c r="CY27" s="59">
        <f ca="1">AVERAGE(OFFSET($CX$3,0,0,'Données projet'!$E$13+1,1))-AVERAGE(OFFSET($H$3,0,0,'Données projet'!$E$13+1,1))</f>
        <v>309.89554000341082</v>
      </c>
      <c r="CZ27" s="59">
        <f t="shared" si="42"/>
        <v>465.9235824539021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145</v>
      </c>
      <c r="L28" s="12">
        <f>VLOOKUP(A28,'Données projet'!$A$35:$I$55,9,0)</f>
        <v>11.4</v>
      </c>
      <c r="M28" s="12">
        <f t="array" ref="M28">INDEX(L:L,MIN(IF(ISNUMBER(L28:L224),ROW(L28:L224),"")))</f>
        <v>11.4</v>
      </c>
      <c r="N28" s="13">
        <f>IF('Données projet'!$A$36&gt;35,N27+M28-V27,IF(A28&lt;'Données projet'!$A$36,$K$205^A28,IF(A28='Données projet'!$A$36,'Données projet'!$B$36,N27+M28-V27)))</f>
        <v>145</v>
      </c>
      <c r="O28" s="13">
        <f>N28*VLOOKUP('Données projet'!$B$9,Paramètres!$A$1:$I$89,3,0)*VLOOKUP('Données projet'!$B$9,Paramètres!$A$1:$I$89,5,0)</f>
        <v>126.67200000000001</v>
      </c>
      <c r="P28" s="13">
        <f t="shared" si="33"/>
        <v>33.226199426361347</v>
      </c>
      <c r="Q28" s="20">
        <f t="shared" si="2"/>
        <v>278.48936400091276</v>
      </c>
      <c r="R28" s="59">
        <f t="shared" si="0"/>
        <v>565.71158622313499</v>
      </c>
      <c r="S28" s="59">
        <f ca="1">AVERAGE(OFFSET($R$3,0,0,'Données projet'!$E$9+1,1))-AVERAGE(OFFSET($H$3,0,0,'Données projet'!$E$9+1,1))</f>
        <v>281.82797419088109</v>
      </c>
      <c r="T28" s="59">
        <f t="shared" si="34"/>
        <v>298.98873283425371</v>
      </c>
      <c r="U28" s="15">
        <f>IF(ISNA(VLOOKUP(A28,'Données projet'!$A$35:$I$55,3,0)),0,VLOOKUP(A28,'Données projet'!$A$35:$I$55,3,0))</f>
        <v>4</v>
      </c>
      <c r="V28" s="15">
        <f>IF(ISNA(VLOOKUP(A28,'Données projet'!$A$35:$I$55,4,0)),0,VLOOKUP(A28,'Données projet'!$A$35:$I$55,4,0))</f>
        <v>31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0.8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20.441774792461828</v>
      </c>
      <c r="AC28" s="22">
        <f t="shared" si="3"/>
        <v>20.441774792461828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1.8</v>
      </c>
      <c r="AI28" s="13">
        <f>IF('Données projet'!$A$62&gt;35,AI27+AH28-AQ27,IF(A28&lt;'Données projet'!$A$62,$AF$205^A28,IF(A28='Données projet'!$A$62,'Données projet'!$B$62,AI27+AH28-AQ27)))</f>
        <v>27.775473195906979</v>
      </c>
      <c r="AJ28" s="13">
        <f>AI28*VLOOKUP('Données projet'!$B$10,Paramètres!$A$1:$I$89,3,0)*VLOOKUP('Données projet'!$B$10,Paramètres!$A$1:$I$89,5,0)</f>
        <v>27.73103243879353</v>
      </c>
      <c r="AK28" s="13">
        <f t="shared" si="35"/>
        <v>8.6807421607206017</v>
      </c>
      <c r="AL28" s="20">
        <f t="shared" si="4"/>
        <v>63.417174094153772</v>
      </c>
      <c r="AM28" s="59">
        <f t="shared" si="5"/>
        <v>350.63939631637601</v>
      </c>
      <c r="AN28" s="59">
        <f ca="1">AVERAGE(OFFSET($AM$3,0,0,'Données projet'!$E$10+1,1))-AVERAGE(OFFSET($H$3,0,0,'Données projet'!$E$10+1,1))</f>
        <v>206.53345322763442</v>
      </c>
      <c r="AO28" s="59">
        <f t="shared" si="36"/>
        <v>96.700732426680929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8.1999999999999993</v>
      </c>
      <c r="BD28" s="12">
        <f>IF('Données projet'!$A$88&gt;35,BD27+BC28-BL27,IF(A28&lt;'Données projet'!$A$88,$BA$205^A28,IF(A28='Données projet'!$A$88,'Données projet'!$B$88,BD27+BC28-BL27)))</f>
        <v>108.00000000000001</v>
      </c>
      <c r="BE28" s="13">
        <f>BD28*VLOOKUP('Données projet'!$B$11,Paramètres!$A$1:$I$89,3,0)*VLOOKUP('Données projet'!$B$11,Paramètres!$A$1:$I$89,5,0)</f>
        <v>90.97920000000002</v>
      </c>
      <c r="BF28" s="13">
        <f t="shared" si="37"/>
        <v>24.801235516871511</v>
      </c>
      <c r="BG28" s="20">
        <f t="shared" si="7"/>
        <v>201.65092519188457</v>
      </c>
      <c r="BH28" s="59">
        <f t="shared" si="8"/>
        <v>488.87314741410682</v>
      </c>
      <c r="BI28" s="59">
        <f ca="1">AVERAGE(OFFSET($BH$3,0,0,'Données projet'!$E$11+1,1))-AVERAGE(OFFSET($H$3,0,0,'Données projet'!$E$11+1,1))</f>
        <v>328.34986205643321</v>
      </c>
      <c r="BJ28" s="59">
        <f t="shared" si="38"/>
        <v>251.60894449147008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0.84304141963873669</v>
      </c>
      <c r="BS28" s="22">
        <f t="shared" si="9"/>
        <v>0.84304141963873669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8.1999999999999993</v>
      </c>
      <c r="BY28" s="12">
        <f>IF('Données projet'!$A$114&gt;35,BY27+BX28-CG27,IF(A28&lt;'Données projet'!$A$114,$BV$205^A28,IF(A28='Données projet'!$A$114,'Données projet'!$B$114,BY27+BX28-CG27)))</f>
        <v>108.00000000000001</v>
      </c>
      <c r="BZ28" s="13">
        <f>BY28*VLOOKUP('Données projet'!$B$12,Paramètres!$A$1:$I$89,3,0)*VLOOKUP('Données projet'!$B$12,Paramètres!$A$1:$I$89,5,0)</f>
        <v>97.718400000000003</v>
      </c>
      <c r="CA28" s="13">
        <f t="shared" si="39"/>
        <v>26.417709819192194</v>
      </c>
      <c r="CB28" s="20">
        <f t="shared" si="10"/>
        <v>216.20372460175975</v>
      </c>
      <c r="CC28" s="59">
        <f t="shared" si="11"/>
        <v>503.42594682398197</v>
      </c>
      <c r="CD28" s="59">
        <f ca="1">AVERAGE(OFFSET($CC$3,0,0,'Données projet'!$E$12+1,1))-AVERAGE(OFFSET($H$3,0,0,'Données projet'!$E$12+1,1))</f>
        <v>360.44607552967267</v>
      </c>
      <c r="CE28" s="59">
        <f t="shared" si="40"/>
        <v>271.54361159160169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0.90548893220456894</v>
      </c>
      <c r="CN28" s="22">
        <f t="shared" si="12"/>
        <v>0.90548893220456894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346.2</v>
      </c>
      <c r="CR28" s="12">
        <f>VLOOKUP(A28,'Données projet'!$A$139:$I$159,9,0)</f>
        <v>21.8</v>
      </c>
      <c r="CS28" s="12">
        <f t="array" ref="CS28">INDEX(CR:CR,MIN(IF(ISNUMBER(CR28:CR224),ROW(CR28:CR224),"")))</f>
        <v>21.8</v>
      </c>
      <c r="CT28" s="12">
        <f>IF('Données projet'!$A$140&gt;35,CT27+CS28-DB27,IF(A28&lt;'Données projet'!$A$140,$CQ$205^A28,IF(A28='Données projet'!$A$140,'Données projet'!$B$140,CT27+CS28-DB27)))</f>
        <v>346.20000000000005</v>
      </c>
      <c r="CU28" s="17">
        <f>CT28*VLOOKUP('Données projet'!$B$13,Paramètres!$A$1:$I$89,3,0)*VLOOKUP('Données projet'!$B$13,Paramètres!$A$1:$I$89,5,0)</f>
        <v>174.44325600000005</v>
      </c>
      <c r="CV28" s="13">
        <f t="shared" si="41"/>
        <v>44.083665873428671</v>
      </c>
      <c r="CW28" s="20">
        <f t="shared" si="13"/>
        <v>380.60105559622161</v>
      </c>
      <c r="CX28" s="59">
        <f t="shared" si="14"/>
        <v>667.82327781844378</v>
      </c>
      <c r="CY28" s="59">
        <f ca="1">AVERAGE(OFFSET($CX$3,0,0,'Données projet'!$E$13+1,1))-AVERAGE(OFFSET($H$3,0,0,'Données projet'!$E$13+1,1))</f>
        <v>309.89554000341082</v>
      </c>
      <c r="CZ28" s="59">
        <f t="shared" si="42"/>
        <v>465.9235824539021</v>
      </c>
      <c r="DA28" s="15">
        <f>IF(ISNA(VLOOKUP(A28,'Données projet'!$A$139:$I$159,3,0)),0,VLOOKUP(A28,'Données projet'!$A$139:$I$159,3,0))</f>
        <v>5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11</v>
      </c>
      <c r="N29" s="13">
        <f>IF('Données projet'!$A$36&gt;35,N28+M29-V28,IF(A29&lt;'Données projet'!$A$36,$K$205^A29,IF(A29='Données projet'!$A$36,'Données projet'!$B$36,N28+M29-V28)))</f>
        <v>125</v>
      </c>
      <c r="O29" s="13">
        <f>N29*VLOOKUP('Données projet'!$B$9,Paramètres!$A$1:$I$89,3,0)*VLOOKUP('Données projet'!$B$9,Paramètres!$A$1:$I$89,5,0)</f>
        <v>109.2</v>
      </c>
      <c r="P29" s="13">
        <f t="shared" si="33"/>
        <v>29.142418334948612</v>
      </c>
      <c r="Q29" s="20">
        <f t="shared" si="2"/>
        <v>240.94637860003544</v>
      </c>
      <c r="R29" s="59">
        <f t="shared" si="0"/>
        <v>529.39082304447993</v>
      </c>
      <c r="S29" s="59">
        <f ca="1">AVERAGE(OFFSET($R$3,0,0,'Données projet'!$E$9+1,1))-AVERAGE(OFFSET($H$3,0,0,'Données projet'!$E$9+1,1))</f>
        <v>281.82797419088109</v>
      </c>
      <c r="T29" s="59">
        <f t="shared" si="34"/>
        <v>298.98873283425371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14.45451757523799</v>
      </c>
      <c r="AC29" s="22">
        <f t="shared" si="3"/>
        <v>14.45451757523799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1.8</v>
      </c>
      <c r="AI29" s="13">
        <f>IF('Données projet'!$A$62&gt;35,AI28+AH29-AQ28,IF(A29&lt;'Données projet'!$A$62,$AF$205^A29,IF(A29='Données projet'!$A$62,'Données projet'!$B$62,AI28+AH29-AQ28)))</f>
        <v>31.725459807142535</v>
      </c>
      <c r="AJ29" s="13">
        <f>AI29*VLOOKUP('Données projet'!$B$10,Paramètres!$A$1:$I$89,3,0)*VLOOKUP('Données projet'!$B$10,Paramètres!$A$1:$I$89,5,0)</f>
        <v>31.674699071451109</v>
      </c>
      <c r="AK29" s="13">
        <f t="shared" si="35"/>
        <v>9.7629626463021175</v>
      </c>
      <c r="AL29" s="20">
        <f t="shared" si="4"/>
        <v>72.170594158420201</v>
      </c>
      <c r="AM29" s="59">
        <f t="shared" si="5"/>
        <v>360.61503860286467</v>
      </c>
      <c r="AN29" s="59">
        <f ca="1">AVERAGE(OFFSET($AM$3,0,0,'Données projet'!$E$10+1,1))-AVERAGE(OFFSET($H$3,0,0,'Données projet'!$E$10+1,1))</f>
        <v>206.53345322763442</v>
      </c>
      <c r="AO29" s="59">
        <f t="shared" si="36"/>
        <v>96.700732426680929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8.1999999999999993</v>
      </c>
      <c r="BD29" s="12">
        <f>IF('Données projet'!$A$88&gt;35,BD28+BC29-BL28,IF(A29&lt;'Données projet'!$A$88,$BA$205^A29,IF(A29='Données projet'!$A$88,'Données projet'!$B$88,BD28+BC29-BL28)))</f>
        <v>116.20000000000002</v>
      </c>
      <c r="BE29" s="13">
        <f>BD29*VLOOKUP('Données projet'!$B$11,Paramètres!$A$1:$I$89,3,0)*VLOOKUP('Données projet'!$B$11,Paramètres!$A$1:$I$89,5,0)</f>
        <v>97.886880000000019</v>
      </c>
      <c r="BF29" s="13">
        <f t="shared" si="37"/>
        <v>26.457951797777866</v>
      </c>
      <c r="BG29" s="20">
        <f t="shared" si="7"/>
        <v>216.56724871446315</v>
      </c>
      <c r="BH29" s="59">
        <f t="shared" si="8"/>
        <v>505.01169315890763</v>
      </c>
      <c r="BI29" s="59">
        <f ca="1">AVERAGE(OFFSET($BH$3,0,0,'Données projet'!$E$11+1,1))-AVERAGE(OFFSET($H$3,0,0,'Données projet'!$E$11+1,1))</f>
        <v>328.34986205643321</v>
      </c>
      <c r="BJ29" s="59">
        <f t="shared" si="38"/>
        <v>251.60894449147008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0.59612030464768462</v>
      </c>
      <c r="BS29" s="22">
        <f t="shared" si="9"/>
        <v>0.59612030464768462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8.1999999999999993</v>
      </c>
      <c r="BY29" s="12">
        <f>IF('Données projet'!$A$114&gt;35,BY28+BX29-CG28,IF(A29&lt;'Données projet'!$A$114,$BV$205^A29,IF(A29='Données projet'!$A$114,'Données projet'!$B$114,BY28+BX29-CG28)))</f>
        <v>116.20000000000002</v>
      </c>
      <c r="BZ29" s="13">
        <f>BY29*VLOOKUP('Données projet'!$B$12,Paramètres!$A$1:$I$89,3,0)*VLOOKUP('Données projet'!$B$12,Paramètres!$A$1:$I$89,5,0)</f>
        <v>105.13776</v>
      </c>
      <c r="CA29" s="13">
        <f t="shared" si="39"/>
        <v>28.182406176030653</v>
      </c>
      <c r="CB29" s="20">
        <f t="shared" si="10"/>
        <v>232.19928942325339</v>
      </c>
      <c r="CC29" s="59">
        <f t="shared" si="11"/>
        <v>520.64373386769785</v>
      </c>
      <c r="CD29" s="59">
        <f ca="1">AVERAGE(OFFSET($CC$3,0,0,'Données projet'!$E$12+1,1))-AVERAGE(OFFSET($H$3,0,0,'Données projet'!$E$12+1,1))</f>
        <v>360.44607552967267</v>
      </c>
      <c r="CE29" s="59">
        <f t="shared" si="40"/>
        <v>271.54361159160169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0.64027736425121673</v>
      </c>
      <c r="CN29" s="22">
        <f t="shared" si="12"/>
        <v>0.64027736425121673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20.5</v>
      </c>
      <c r="CT29" s="12">
        <f>IF('Données projet'!$A$140&gt;35,CT28+CS29-DB28,IF(A29&lt;'Données projet'!$A$140,$CQ$205^A29,IF(A29='Données projet'!$A$140,'Données projet'!$B$140,CT28+CS29-DB28)))</f>
        <v>366.70000000000005</v>
      </c>
      <c r="CU29" s="17">
        <f>CT29*VLOOKUP('Données projet'!$B$13,Paramètres!$A$1:$I$89,3,0)*VLOOKUP('Données projet'!$B$13,Paramètres!$A$1:$I$89,5,0)</f>
        <v>184.77279600000003</v>
      </c>
      <c r="CV29" s="13">
        <f t="shared" si="41"/>
        <v>46.382422623707811</v>
      </c>
      <c r="CW29" s="20">
        <f t="shared" si="13"/>
        <v>402.59533910295778</v>
      </c>
      <c r="CX29" s="59">
        <f t="shared" si="14"/>
        <v>691.03978354740229</v>
      </c>
      <c r="CY29" s="59">
        <f ca="1">AVERAGE(OFFSET($CX$3,0,0,'Données projet'!$E$13+1,1))-AVERAGE(OFFSET($H$3,0,0,'Données projet'!$E$13+1,1))</f>
        <v>309.89554000341082</v>
      </c>
      <c r="CZ29" s="59">
        <f t="shared" si="42"/>
        <v>465.9235824539021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11</v>
      </c>
      <c r="N30" s="13">
        <f>IF('Données projet'!$A$36&gt;35,N29+M30-V29,IF(A30&lt;'Données projet'!$A$36,$K$205^A30,IF(A30='Données projet'!$A$36,'Données projet'!$B$36,N29+M30-V29)))</f>
        <v>136</v>
      </c>
      <c r="O30" s="13">
        <f>N30*VLOOKUP('Données projet'!$B$9,Paramètres!$A$1:$I$89,3,0)*VLOOKUP('Données projet'!$B$9,Paramètres!$A$1:$I$89,5,0)</f>
        <v>118.80960000000002</v>
      </c>
      <c r="P30" s="13">
        <f t="shared" si="33"/>
        <v>31.39719715333722</v>
      </c>
      <c r="Q30" s="20">
        <f t="shared" si="2"/>
        <v>261.61017170872901</v>
      </c>
      <c r="R30" s="59">
        <f t="shared" si="0"/>
        <v>551.27683837539576</v>
      </c>
      <c r="S30" s="59">
        <f ca="1">AVERAGE(OFFSET($R$3,0,0,'Données projet'!$E$9+1,1))-AVERAGE(OFFSET($H$3,0,0,'Données projet'!$E$9+1,1))</f>
        <v>281.82797419088109</v>
      </c>
      <c r="T30" s="59">
        <f t="shared" si="34"/>
        <v>298.98873283425371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10.220887396230916</v>
      </c>
      <c r="AC30" s="22">
        <f t="shared" si="3"/>
        <v>10.220887396230916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1.8</v>
      </c>
      <c r="AI30" s="13">
        <f>IF('Données projet'!$A$62&gt;35,AI29+AH30-AQ29,IF(A30&lt;'Données projet'!$A$62,$AF$205^A30,IF(A30='Données projet'!$A$62,'Données projet'!$B$62,AI29+AH30-AQ29)))</f>
        <v>36.237179214751805</v>
      </c>
      <c r="AJ30" s="13">
        <f>AI30*VLOOKUP('Données projet'!$B$10,Paramètres!$A$1:$I$89,3,0)*VLOOKUP('Données projet'!$B$10,Paramètres!$A$1:$I$89,5,0)</f>
        <v>36.179199728008207</v>
      </c>
      <c r="AK30" s="13">
        <f t="shared" si="35"/>
        <v>10.980102607399431</v>
      </c>
      <c r="AL30" s="20">
        <f t="shared" si="4"/>
        <v>82.135784900834963</v>
      </c>
      <c r="AM30" s="59">
        <f t="shared" si="5"/>
        <v>371.80245156750163</v>
      </c>
      <c r="AN30" s="59">
        <f ca="1">AVERAGE(OFFSET($AM$3,0,0,'Données projet'!$E$10+1,1))-AVERAGE(OFFSET($H$3,0,0,'Données projet'!$E$10+1,1))</f>
        <v>206.53345322763442</v>
      </c>
      <c r="AO30" s="59">
        <f t="shared" si="36"/>
        <v>96.700732426680929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8.1999999999999993</v>
      </c>
      <c r="BD30" s="12">
        <f>IF('Données projet'!$A$88&gt;35,BD29+BC30-BL29,IF(A30&lt;'Données projet'!$A$88,$BA$205^A30,IF(A30='Données projet'!$A$88,'Données projet'!$B$88,BD29+BC30-BL29)))</f>
        <v>124.40000000000002</v>
      </c>
      <c r="BE30" s="13">
        <f>BD30*VLOOKUP('Données projet'!$B$11,Paramètres!$A$1:$I$89,3,0)*VLOOKUP('Données projet'!$B$11,Paramètres!$A$1:$I$89,5,0)</f>
        <v>104.79456000000003</v>
      </c>
      <c r="BF30" s="13">
        <f t="shared" si="37"/>
        <v>28.101103481959861</v>
      </c>
      <c r="BG30" s="20">
        <f t="shared" si="7"/>
        <v>231.45994723108015</v>
      </c>
      <c r="BH30" s="59">
        <f t="shared" si="8"/>
        <v>521.12661389774689</v>
      </c>
      <c r="BI30" s="59">
        <f ca="1">AVERAGE(OFFSET($BH$3,0,0,'Données projet'!$E$11+1,1))-AVERAGE(OFFSET($H$3,0,0,'Données projet'!$E$11+1,1))</f>
        <v>328.34986205643321</v>
      </c>
      <c r="BJ30" s="59">
        <f t="shared" si="38"/>
        <v>251.60894449147008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0.4215207098193684</v>
      </c>
      <c r="BS30" s="22">
        <f t="shared" si="9"/>
        <v>0.4215207098193684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8.1999999999999993</v>
      </c>
      <c r="BY30" s="12">
        <f>IF('Données projet'!$A$114&gt;35,BY29+BX30-CG29,IF(A30&lt;'Données projet'!$A$114,$BV$205^A30,IF(A30='Données projet'!$A$114,'Données projet'!$B$114,BY29+BX30-CG29)))</f>
        <v>124.40000000000002</v>
      </c>
      <c r="BZ30" s="13">
        <f>BY30*VLOOKUP('Données projet'!$B$12,Paramètres!$A$1:$I$89,3,0)*VLOOKUP('Données projet'!$B$12,Paramètres!$A$1:$I$89,5,0)</f>
        <v>112.55712000000001</v>
      </c>
      <c r="CA30" s="13">
        <f t="shared" si="39"/>
        <v>29.932653834140599</v>
      </c>
      <c r="CB30" s="20">
        <f t="shared" si="10"/>
        <v>248.16968942779488</v>
      </c>
      <c r="CC30" s="59">
        <f t="shared" si="11"/>
        <v>537.83635609446151</v>
      </c>
      <c r="CD30" s="59">
        <f ca="1">AVERAGE(OFFSET($CC$3,0,0,'Données projet'!$E$12+1,1))-AVERAGE(OFFSET($H$3,0,0,'Données projet'!$E$12+1,1))</f>
        <v>360.44607552967267</v>
      </c>
      <c r="CE30" s="59">
        <f t="shared" si="40"/>
        <v>271.54361159160169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0.45274446610228453</v>
      </c>
      <c r="CN30" s="22">
        <f t="shared" si="12"/>
        <v>0.45274446610228453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20.5</v>
      </c>
      <c r="CT30" s="12">
        <f>IF('Données projet'!$A$140&gt;35,CT29+CS30-DB29,IF(A30&lt;'Données projet'!$A$140,$CQ$205^A30,IF(A30='Données projet'!$A$140,'Données projet'!$B$140,CT29+CS30-DB29)))</f>
        <v>387.20000000000005</v>
      </c>
      <c r="CU30" s="17">
        <f>CT30*VLOOKUP('Données projet'!$B$13,Paramètres!$A$1:$I$89,3,0)*VLOOKUP('Données projet'!$B$13,Paramètres!$A$1:$I$89,5,0)</f>
        <v>195.10233600000004</v>
      </c>
      <c r="CV30" s="13">
        <f t="shared" si="41"/>
        <v>48.666261204499044</v>
      </c>
      <c r="CW30" s="20">
        <f t="shared" si="13"/>
        <v>424.56364013116922</v>
      </c>
      <c r="CX30" s="59">
        <f t="shared" si="14"/>
        <v>714.23030679783596</v>
      </c>
      <c r="CY30" s="59">
        <f ca="1">AVERAGE(OFFSET($CX$3,0,0,'Données projet'!$E$13+1,1))-AVERAGE(OFFSET($H$3,0,0,'Données projet'!$E$13+1,1))</f>
        <v>309.89554000341082</v>
      </c>
      <c r="CZ30" s="59">
        <f t="shared" si="42"/>
        <v>465.9235824539021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11</v>
      </c>
      <c r="N31" s="13">
        <f>IF('Données projet'!$A$36&gt;35,N30+M31-V30,IF(A31&lt;'Données projet'!$A$36,$K$205^A31,IF(A31='Données projet'!$A$36,'Données projet'!$B$36,N30+M31-V30)))</f>
        <v>147</v>
      </c>
      <c r="O31" s="13">
        <f>N31*VLOOKUP('Données projet'!$B$9,Paramètres!$A$1:$I$89,3,0)*VLOOKUP('Données projet'!$B$9,Paramètres!$A$1:$I$89,5,0)</f>
        <v>128.41920000000002</v>
      </c>
      <c r="P31" s="13">
        <f t="shared" si="33"/>
        <v>33.630823177860762</v>
      </c>
      <c r="Q31" s="20">
        <f t="shared" si="2"/>
        <v>282.23712370144091</v>
      </c>
      <c r="R31" s="59">
        <f t="shared" si="0"/>
        <v>573.12601259032976</v>
      </c>
      <c r="S31" s="59">
        <f ca="1">AVERAGE(OFFSET($R$3,0,0,'Données projet'!$E$9+1,1))-AVERAGE(OFFSET($H$3,0,0,'Données projet'!$E$9+1,1))</f>
        <v>281.82797419088109</v>
      </c>
      <c r="T31" s="59">
        <f t="shared" si="34"/>
        <v>298.98873283425371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7.2272587876189966</v>
      </c>
      <c r="AC31" s="22">
        <f t="shared" si="3"/>
        <v>7.2272587876189966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1.8</v>
      </c>
      <c r="AI31" s="13">
        <f>IF('Données projet'!$A$62&gt;35,AI30+AH31-AQ30,IF(A31&lt;'Données projet'!$A$62,$AF$205^A31,IF(A31='Données projet'!$A$62,'Données projet'!$B$62,AI30+AH31-AQ30)))</f>
        <v>41.390516179261404</v>
      </c>
      <c r="AJ31" s="13">
        <f>AI31*VLOOKUP('Données projet'!$B$10,Paramètres!$A$1:$I$89,3,0)*VLOOKUP('Données projet'!$B$10,Paramètres!$A$1:$I$89,5,0)</f>
        <v>41.324291353374591</v>
      </c>
      <c r="AK31" s="13">
        <f t="shared" si="35"/>
        <v>12.348982336287532</v>
      </c>
      <c r="AL31" s="20">
        <f t="shared" si="4"/>
        <v>93.480951676161524</v>
      </c>
      <c r="AM31" s="59">
        <f t="shared" si="5"/>
        <v>384.36984056505037</v>
      </c>
      <c r="AN31" s="59">
        <f ca="1">AVERAGE(OFFSET($AM$3,0,0,'Données projet'!$E$10+1,1))-AVERAGE(OFFSET($H$3,0,0,'Données projet'!$E$10+1,1))</f>
        <v>206.53345322763442</v>
      </c>
      <c r="AO31" s="59">
        <f t="shared" si="36"/>
        <v>96.700732426680929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8.1999999999999993</v>
      </c>
      <c r="BD31" s="12">
        <f>IF('Données projet'!$A$88&gt;35,BD30+BC31-BL30,IF(A31&lt;'Données projet'!$A$88,$BA$205^A31,IF(A31='Données projet'!$A$88,'Données projet'!$B$88,BD30+BC31-BL30)))</f>
        <v>132.60000000000002</v>
      </c>
      <c r="BE31" s="13">
        <f>BD31*VLOOKUP('Données projet'!$B$11,Paramètres!$A$1:$I$89,3,0)*VLOOKUP('Données projet'!$B$11,Paramètres!$A$1:$I$89,5,0)</f>
        <v>111.70224000000003</v>
      </c>
      <c r="BF31" s="13">
        <f t="shared" si="37"/>
        <v>29.731686445309627</v>
      </c>
      <c r="BG31" s="20">
        <f t="shared" si="7"/>
        <v>246.33075522558093</v>
      </c>
      <c r="BH31" s="59">
        <f t="shared" si="8"/>
        <v>537.21964411446982</v>
      </c>
      <c r="BI31" s="59">
        <f ca="1">AVERAGE(OFFSET($BH$3,0,0,'Données projet'!$E$11+1,1))-AVERAGE(OFFSET($H$3,0,0,'Données projet'!$E$11+1,1))</f>
        <v>328.34986205643321</v>
      </c>
      <c r="BJ31" s="59">
        <f t="shared" si="38"/>
        <v>251.60894449147008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0.29806015232384236</v>
      </c>
      <c r="BS31" s="22">
        <f t="shared" si="9"/>
        <v>0.29806015232384236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8.1999999999999993</v>
      </c>
      <c r="BY31" s="12">
        <f>IF('Données projet'!$A$114&gt;35,BY30+BX31-CG30,IF(A31&lt;'Données projet'!$A$114,$BV$205^A31,IF(A31='Données projet'!$A$114,'Données projet'!$B$114,BY30+BX31-CG30)))</f>
        <v>132.60000000000002</v>
      </c>
      <c r="BZ31" s="13">
        <f>BY31*VLOOKUP('Données projet'!$B$12,Paramètres!$A$1:$I$89,3,0)*VLOOKUP('Données projet'!$B$12,Paramètres!$A$1:$I$89,5,0)</f>
        <v>119.97648000000001</v>
      </c>
      <c r="CA31" s="13">
        <f t="shared" si="39"/>
        <v>31.669513577784763</v>
      </c>
      <c r="CB31" s="20">
        <f t="shared" si="10"/>
        <v>264.1167721479751</v>
      </c>
      <c r="CC31" s="59">
        <f t="shared" si="11"/>
        <v>555.00566103686401</v>
      </c>
      <c r="CD31" s="59">
        <f ca="1">AVERAGE(OFFSET($CC$3,0,0,'Données projet'!$E$12+1,1))-AVERAGE(OFFSET($H$3,0,0,'Données projet'!$E$12+1,1))</f>
        <v>360.44607552967267</v>
      </c>
      <c r="CE31" s="59">
        <f t="shared" si="40"/>
        <v>271.54361159160169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0.32013868212560842</v>
      </c>
      <c r="CN31" s="22">
        <f t="shared" si="12"/>
        <v>0.32013868212560842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20.5</v>
      </c>
      <c r="CT31" s="12">
        <f>IF('Données projet'!$A$140&gt;35,CT30+CS31-DB30,IF(A31&lt;'Données projet'!$A$140,$CQ$205^A31,IF(A31='Données projet'!$A$140,'Données projet'!$B$140,CT30+CS31-DB30)))</f>
        <v>407.70000000000005</v>
      </c>
      <c r="CU31" s="17">
        <f>CT31*VLOOKUP('Données projet'!$B$13,Paramètres!$A$1:$I$89,3,0)*VLOOKUP('Données projet'!$B$13,Paramètres!$A$1:$I$89,5,0)</f>
        <v>205.43187600000002</v>
      </c>
      <c r="CV31" s="13">
        <f t="shared" si="41"/>
        <v>50.93606151464801</v>
      </c>
      <c r="CW31" s="20">
        <f t="shared" si="13"/>
        <v>446.50749117134524</v>
      </c>
      <c r="CX31" s="59">
        <f t="shared" si="14"/>
        <v>737.39638006023415</v>
      </c>
      <c r="CY31" s="59">
        <f ca="1">AVERAGE(OFFSET($CX$3,0,0,'Données projet'!$E$13+1,1))-AVERAGE(OFFSET($H$3,0,0,'Données projet'!$E$13+1,1))</f>
        <v>309.89554000341082</v>
      </c>
      <c r="CZ31" s="59">
        <f t="shared" si="42"/>
        <v>465.9235824539021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11</v>
      </c>
      <c r="N32" s="13">
        <f>IF('Données projet'!$A$36&gt;35,N31+M32-V31,IF(A32&lt;'Données projet'!$A$36,$K$205^A32,IF(A32='Données projet'!$A$36,'Données projet'!$B$36,N31+M32-V31)))</f>
        <v>158</v>
      </c>
      <c r="O32" s="13">
        <f>N32*VLOOKUP('Données projet'!$B$9,Paramètres!$A$1:$I$89,3,0)*VLOOKUP('Données projet'!$B$9,Paramètres!$A$1:$I$89,5,0)</f>
        <v>138.02880000000002</v>
      </c>
      <c r="P32" s="13">
        <f t="shared" si="33"/>
        <v>35.845059256813073</v>
      </c>
      <c r="Q32" s="20">
        <f t="shared" si="2"/>
        <v>302.8303048722828</v>
      </c>
      <c r="R32" s="59">
        <f t="shared" si="0"/>
        <v>594.94141598339388</v>
      </c>
      <c r="S32" s="59">
        <f ca="1">AVERAGE(OFFSET($R$3,0,0,'Données projet'!$E$9+1,1))-AVERAGE(OFFSET($H$3,0,0,'Données projet'!$E$9+1,1))</f>
        <v>281.82797419088109</v>
      </c>
      <c r="T32" s="59">
        <f t="shared" si="34"/>
        <v>298.98873283425371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5.1104436981154588</v>
      </c>
      <c r="AC32" s="22">
        <f t="shared" si="3"/>
        <v>5.1104436981154588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1.8</v>
      </c>
      <c r="AI32" s="13">
        <f>IF('Données projet'!$A$62&gt;35,AI31+AH32-AQ31,IF(A32&lt;'Données projet'!$A$62,$AF$205^A32,IF(A32='Données projet'!$A$62,'Données projet'!$B$62,AI31+AH32-AQ31)))</f>
        <v>47.276715978165399</v>
      </c>
      <c r="AJ32" s="13">
        <f>AI32*VLOOKUP('Données projet'!$B$10,Paramètres!$A$1:$I$89,3,0)*VLOOKUP('Données projet'!$B$10,Paramètres!$A$1:$I$89,5,0)</f>
        <v>47.201073232600336</v>
      </c>
      <c r="AK32" s="13">
        <f t="shared" si="35"/>
        <v>13.888519096276411</v>
      </c>
      <c r="AL32" s="20">
        <f t="shared" si="4"/>
        <v>106.39770663946034</v>
      </c>
      <c r="AM32" s="59">
        <f t="shared" si="5"/>
        <v>398.5088177505715</v>
      </c>
      <c r="AN32" s="59">
        <f ca="1">AVERAGE(OFFSET($AM$3,0,0,'Données projet'!$E$10+1,1))-AVERAGE(OFFSET($H$3,0,0,'Données projet'!$E$10+1,1))</f>
        <v>206.53345322763442</v>
      </c>
      <c r="AO32" s="59">
        <f t="shared" si="36"/>
        <v>96.700732426680929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8.1999999999999993</v>
      </c>
      <c r="BD32" s="12">
        <f>IF('Données projet'!$A$88&gt;35,BD31+BC32-BL31,IF(A32&lt;'Données projet'!$A$88,$BA$205^A32,IF(A32='Données projet'!$A$88,'Données projet'!$B$88,BD31+BC32-BL31)))</f>
        <v>140.80000000000001</v>
      </c>
      <c r="BE32" s="13">
        <f>BD32*VLOOKUP('Données projet'!$B$11,Paramètres!$A$1:$I$89,3,0)*VLOOKUP('Données projet'!$B$11,Paramètres!$A$1:$I$89,5,0)</f>
        <v>118.60992000000002</v>
      </c>
      <c r="BF32" s="13">
        <f t="shared" si="37"/>
        <v>31.35056643275615</v>
      </c>
      <c r="BG32" s="20">
        <f t="shared" si="7"/>
        <v>261.18118053705035</v>
      </c>
      <c r="BH32" s="59">
        <f t="shared" si="8"/>
        <v>553.29229164816149</v>
      </c>
      <c r="BI32" s="59">
        <f ca="1">AVERAGE(OFFSET($BH$3,0,0,'Données projet'!$E$11+1,1))-AVERAGE(OFFSET($H$3,0,0,'Données projet'!$E$11+1,1))</f>
        <v>328.34986205643321</v>
      </c>
      <c r="BJ32" s="59">
        <f t="shared" si="38"/>
        <v>251.60894449147008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0.21076035490968426</v>
      </c>
      <c r="BS32" s="22">
        <f t="shared" si="9"/>
        <v>0.21076035490968426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8.1999999999999993</v>
      </c>
      <c r="BY32" s="12">
        <f>IF('Données projet'!$A$114&gt;35,BY31+BX32-CG31,IF(A32&lt;'Données projet'!$A$114,$BV$205^A32,IF(A32='Données projet'!$A$114,'Données projet'!$B$114,BY31+BX32-CG31)))</f>
        <v>140.80000000000001</v>
      </c>
      <c r="BZ32" s="13">
        <f>BY32*VLOOKUP('Données projet'!$B$12,Paramètres!$A$1:$I$89,3,0)*VLOOKUP('Données projet'!$B$12,Paramètres!$A$1:$I$89,5,0)</f>
        <v>127.39584000000001</v>
      </c>
      <c r="CA32" s="13">
        <f t="shared" si="39"/>
        <v>33.393907578695213</v>
      </c>
      <c r="CB32" s="20">
        <f t="shared" si="10"/>
        <v>280.04214369956082</v>
      </c>
      <c r="CC32" s="59">
        <f t="shared" si="11"/>
        <v>572.15325481067202</v>
      </c>
      <c r="CD32" s="59">
        <f ca="1">AVERAGE(OFFSET($CC$3,0,0,'Données projet'!$E$12+1,1))-AVERAGE(OFFSET($H$3,0,0,'Données projet'!$E$12+1,1))</f>
        <v>360.44607552967267</v>
      </c>
      <c r="CE32" s="59">
        <f t="shared" si="40"/>
        <v>271.54361159160169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0.22637223305114229</v>
      </c>
      <c r="CN32" s="22">
        <f t="shared" si="12"/>
        <v>0.22637223305114229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20.5</v>
      </c>
      <c r="CT32" s="12">
        <f>IF('Données projet'!$A$140&gt;35,CT31+CS32-DB31,IF(A32&lt;'Données projet'!$A$140,$CQ$205^A32,IF(A32='Données projet'!$A$140,'Données projet'!$B$140,CT31+CS32-DB31)))</f>
        <v>428.20000000000005</v>
      </c>
      <c r="CU32" s="17">
        <f>CT32*VLOOKUP('Données projet'!$B$13,Paramètres!$A$1:$I$89,3,0)*VLOOKUP('Données projet'!$B$13,Paramètres!$A$1:$I$89,5,0)</f>
        <v>215.76141600000003</v>
      </c>
      <c r="CV32" s="13">
        <f t="shared" si="41"/>
        <v>53.192609968313349</v>
      </c>
      <c r="CW32" s="20">
        <f t="shared" si="13"/>
        <v>468.42826189481247</v>
      </c>
      <c r="CX32" s="59">
        <f t="shared" si="14"/>
        <v>760.53937300592361</v>
      </c>
      <c r="CY32" s="59">
        <f ca="1">AVERAGE(OFFSET($CX$3,0,0,'Données projet'!$E$13+1,1))-AVERAGE(OFFSET($H$3,0,0,'Données projet'!$E$13+1,1))</f>
        <v>309.89554000341082</v>
      </c>
      <c r="CZ32" s="59">
        <f t="shared" si="42"/>
        <v>465.9235824539021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169</v>
      </c>
      <c r="L33" s="12">
        <f>VLOOKUP(A33,'Données projet'!$A$35:$I$55,9,0)</f>
        <v>11</v>
      </c>
      <c r="M33" s="12">
        <f t="array" ref="M33">INDEX(L:L,MIN(IF(ISNUMBER(L33:L229),ROW(L33:L229),"")))</f>
        <v>11</v>
      </c>
      <c r="N33" s="13">
        <f>IF('Données projet'!$A$36&gt;35,N32+M33-V32,IF(A33&lt;'Données projet'!$A$36,$K$205^A33,IF(A33='Données projet'!$A$36,'Données projet'!$B$36,N32+M33-V32)))</f>
        <v>169</v>
      </c>
      <c r="O33" s="13">
        <f>N33*VLOOKUP('Données projet'!$B$9,Paramètres!$A$1:$I$89,3,0)*VLOOKUP('Données projet'!$B$9,Paramètres!$A$1:$I$89,5,0)</f>
        <v>147.63840000000002</v>
      </c>
      <c r="P33" s="13">
        <f t="shared" si="33"/>
        <v>38.04140887895133</v>
      </c>
      <c r="Q33" s="20">
        <f t="shared" si="2"/>
        <v>323.39233379750692</v>
      </c>
      <c r="R33" s="59">
        <f t="shared" si="0"/>
        <v>616.72566713084029</v>
      </c>
      <c r="S33" s="59">
        <f ca="1">AVERAGE(OFFSET($R$3,0,0,'Données projet'!$E$9+1,1))-AVERAGE(OFFSET($H$3,0,0,'Données projet'!$E$9+1,1))</f>
        <v>281.82797419088109</v>
      </c>
      <c r="T33" s="59">
        <f t="shared" si="34"/>
        <v>298.98873283425371</v>
      </c>
      <c r="U33" s="15">
        <f>IF(ISNA(VLOOKUP(A33,'Données projet'!$A$35:$I$55,3,0)),0,VLOOKUP(A33,'Données projet'!$A$35:$I$55,3,0))</f>
        <v>5</v>
      </c>
      <c r="V33" s="15">
        <f>IF(ISNA(VLOOKUP(A33,'Données projet'!$A$35:$I$55,4,0)),0,VLOOKUP(A33,'Données projet'!$A$35:$I$55,4,0))</f>
        <v>32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0.9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27.352464636668397</v>
      </c>
      <c r="AC33" s="22">
        <f t="shared" si="3"/>
        <v>27.352464636668397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54</v>
      </c>
      <c r="AG33" s="12">
        <f>VLOOKUP(A33,'Données projet'!$A$61:$I$81,9,0)</f>
        <v>1.8</v>
      </c>
      <c r="AH33" s="12">
        <f t="array" ref="AH33">INDEX(AG:AG,MIN(IF(ISNUMBER(AG33:AG229),ROW(AG33:AG229),"")))</f>
        <v>1.8</v>
      </c>
      <c r="AI33" s="13">
        <f>IF('Données projet'!$A$62&gt;35,AI32+AH33-AQ32,IF(A33&lt;'Données projet'!$A$62,$AF$205^A33,IF(A33='Données projet'!$A$62,'Données projet'!$B$62,AI32+AH33-AQ32)))</f>
        <v>54</v>
      </c>
      <c r="AJ33" s="13">
        <f>AI33*VLOOKUP('Données projet'!$B$10,Paramètres!$A$1:$I$89,3,0)*VLOOKUP('Données projet'!$B$10,Paramètres!$A$1:$I$89,5,0)</f>
        <v>53.913600000000002</v>
      </c>
      <c r="AK33" s="13">
        <f t="shared" si="35"/>
        <v>15.619988549244528</v>
      </c>
      <c r="AL33" s="20">
        <f t="shared" si="4"/>
        <v>121.10433338993421</v>
      </c>
      <c r="AM33" s="59">
        <f t="shared" si="5"/>
        <v>414.43766672326751</v>
      </c>
      <c r="AN33" s="59">
        <f ca="1">AVERAGE(OFFSET($AM$3,0,0,'Données projet'!$E$10+1,1))-AVERAGE(OFFSET($H$3,0,0,'Données projet'!$E$10+1,1))</f>
        <v>206.53345322763442</v>
      </c>
      <c r="AO33" s="59">
        <f t="shared" si="36"/>
        <v>96.700732426680929</v>
      </c>
      <c r="AP33" s="15">
        <f>IF(ISNA(VLOOKUP(A33,'Données projet'!$A$61:$I$81,3,0)),0,VLOOKUP(A33,'Données projet'!$A$61:$I$81,3,0))</f>
        <v>1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1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149</v>
      </c>
      <c r="BB33" s="12">
        <f>VLOOKUP(A33,'Données projet'!$A$87:$I$107,9,0)</f>
        <v>8.1999999999999993</v>
      </c>
      <c r="BC33" s="12">
        <f t="array" ref="BC33">INDEX(BB:BB,MIN(IF(ISNUMBER(BB33:BB229),ROW(BB33:BB229),"")))</f>
        <v>8.1999999999999993</v>
      </c>
      <c r="BD33" s="12">
        <f>IF('Données projet'!$A$88&gt;35,BD32+BC33-BL32,IF(A33&lt;'Données projet'!$A$88,$BA$205^A33,IF(A33='Données projet'!$A$88,'Données projet'!$B$88,BD32+BC33-BL32)))</f>
        <v>149</v>
      </c>
      <c r="BE33" s="13">
        <f>BD33*VLOOKUP('Données projet'!$B$11,Paramètres!$A$1:$I$89,3,0)*VLOOKUP('Données projet'!$B$11,Paramètres!$A$1:$I$89,5,0)</f>
        <v>125.51760000000002</v>
      </c>
      <c r="BF33" s="13">
        <f t="shared" si="37"/>
        <v>32.95850265342969</v>
      </c>
      <c r="BG33" s="20">
        <f t="shared" si="7"/>
        <v>276.01254545472335</v>
      </c>
      <c r="BH33" s="59">
        <f t="shared" si="8"/>
        <v>569.34587878805667</v>
      </c>
      <c r="BI33" s="59">
        <f ca="1">AVERAGE(OFFSET($BH$3,0,0,'Données projet'!$E$11+1,1))-AVERAGE(OFFSET($H$3,0,0,'Données projet'!$E$11+1,1))</f>
        <v>328.34986205643321</v>
      </c>
      <c r="BJ33" s="59">
        <f t="shared" si="38"/>
        <v>251.60894449147008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56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1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44.659346156522354</v>
      </c>
      <c r="BS33" s="22">
        <f t="shared" si="9"/>
        <v>44.659346156522354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149</v>
      </c>
      <c r="BW33" s="12">
        <f>VLOOKUP(A33,'Données projet'!$A$113:$I$133,9,0)</f>
        <v>8.1999999999999993</v>
      </c>
      <c r="BX33" s="12">
        <f t="array" ref="BX33">INDEX(BW:BW,MIN(IF(ISNUMBER(BW33:BW229),ROW(BW33:BW229),"")))</f>
        <v>8.1999999999999993</v>
      </c>
      <c r="BY33" s="12">
        <f>IF('Données projet'!$A$114&gt;35,BY32+BX33-CG32,IF(A33&lt;'Données projet'!$A$114,$BV$205^A33,IF(A33='Données projet'!$A$114,'Données projet'!$B$114,BY32+BX33-CG32)))</f>
        <v>149</v>
      </c>
      <c r="BZ33" s="13">
        <f>BY33*VLOOKUP('Données projet'!$B$12,Paramètres!$A$1:$I$89,3,0)*VLOOKUP('Données projet'!$B$12,Paramètres!$A$1:$I$89,5,0)</f>
        <v>134.81519999999998</v>
      </c>
      <c r="CA33" s="13">
        <f t="shared" si="39"/>
        <v>35.106644529103392</v>
      </c>
      <c r="CB33" s="20">
        <f t="shared" si="10"/>
        <v>295.94721255485501</v>
      </c>
      <c r="CC33" s="59">
        <f t="shared" si="11"/>
        <v>589.28054588818827</v>
      </c>
      <c r="CD33" s="59">
        <f ca="1">AVERAGE(OFFSET($CC$3,0,0,'Données projet'!$E$12+1,1))-AVERAGE(OFFSET($H$3,0,0,'Données projet'!$E$12+1,1))</f>
        <v>360.44607552967267</v>
      </c>
      <c r="CE33" s="59">
        <f t="shared" si="40"/>
        <v>271.54361159160169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56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1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47.967445871820296</v>
      </c>
      <c r="CN33" s="22">
        <f t="shared" si="12"/>
        <v>47.967445871820296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448.7</v>
      </c>
      <c r="CR33" s="12">
        <f>VLOOKUP(A33,'Données projet'!$A$139:$I$159,9,0)</f>
        <v>20.5</v>
      </c>
      <c r="CS33" s="12">
        <f t="array" ref="CS33">INDEX(CR:CR,MIN(IF(ISNUMBER(CR33:CR229),ROW(CR33:CR229),"")))</f>
        <v>20.5</v>
      </c>
      <c r="CT33" s="12">
        <f>IF('Données projet'!$A$140&gt;35,CT32+CS33-DB32,IF(A33&lt;'Données projet'!$A$140,$CQ$205^A33,IF(A33='Données projet'!$A$140,'Données projet'!$B$140,CT32+CS33-DB32)))</f>
        <v>448.70000000000005</v>
      </c>
      <c r="CU33" s="17">
        <f>CT33*VLOOKUP('Données projet'!$B$13,Paramètres!$A$1:$I$89,3,0)*VLOOKUP('Données projet'!$B$13,Paramètres!$A$1:$I$89,5,0)</f>
        <v>226.09095600000003</v>
      </c>
      <c r="CV33" s="13">
        <f t="shared" si="41"/>
        <v>55.436613426117951</v>
      </c>
      <c r="CW33" s="20">
        <f t="shared" si="13"/>
        <v>490.32718341715537</v>
      </c>
      <c r="CX33" s="59">
        <f t="shared" si="14"/>
        <v>783.66051675048868</v>
      </c>
      <c r="CY33" s="59">
        <f ca="1">AVERAGE(OFFSET($CX$3,0,0,'Données projet'!$E$13+1,1))-AVERAGE(OFFSET($H$3,0,0,'Données projet'!$E$13+1,1))</f>
        <v>309.89554000341082</v>
      </c>
      <c r="CZ33" s="59">
        <f t="shared" si="42"/>
        <v>465.9235824539021</v>
      </c>
      <c r="DA33" s="15">
        <f>IF(ISNA(VLOOKUP(A33,'Données projet'!$A$139:$I$159,3,0)),0,VLOOKUP(A33,'Données projet'!$A$139:$I$159,3,0))</f>
        <v>6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10.4</v>
      </c>
      <c r="N34" s="13">
        <f>IF('Données projet'!$A$36&gt;35,N33+M34-V33,IF(A34&lt;'Données projet'!$A$36,$K$205^A34,IF(A34='Données projet'!$A$36,'Données projet'!$B$36,N33+M34-V33)))</f>
        <v>147.4</v>
      </c>
      <c r="O34" s="13">
        <f>N34*VLOOKUP('Données projet'!$B$9,Paramètres!$A$1:$I$89,3,0)*VLOOKUP('Données projet'!$B$9,Paramètres!$A$1:$I$89,5,0)</f>
        <v>128.76864000000003</v>
      </c>
      <c r="P34" s="13">
        <f t="shared" si="33"/>
        <v>33.711670780700224</v>
      </c>
      <c r="Q34" s="20">
        <f t="shared" si="2"/>
        <v>282.98654127638628</v>
      </c>
      <c r="R34" s="59">
        <f t="shared" si="0"/>
        <v>576.31987460971959</v>
      </c>
      <c r="S34" s="59">
        <f ca="1">AVERAGE(OFFSET($R$3,0,0,'Données projet'!$E$9+1,1))-AVERAGE(OFFSET($H$3,0,0,'Données projet'!$E$9+1,1))</f>
        <v>281.82797419088109</v>
      </c>
      <c r="T34" s="59">
        <f t="shared" si="34"/>
        <v>298.98873283425371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19.34111322675346</v>
      </c>
      <c r="AC34" s="22">
        <f t="shared" si="3"/>
        <v>19.34111322675346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5.2</v>
      </c>
      <c r="AI34" s="13">
        <f>IF('Données projet'!$A$62&gt;35,AI33+AH34-AQ33,IF(A34&lt;'Données projet'!$A$62,$AF$205^A34,IF(A34='Données projet'!$A$62,'Données projet'!$B$62,AI33+AH34-AQ33)))</f>
        <v>59.2</v>
      </c>
      <c r="AJ34" s="13">
        <f>AI34*VLOOKUP('Données projet'!$B$10,Paramètres!$A$1:$I$89,3,0)*VLOOKUP('Données projet'!$B$10,Paramètres!$A$1:$I$89,5,0)</f>
        <v>59.105280000000008</v>
      </c>
      <c r="AK34" s="13">
        <f t="shared" si="35"/>
        <v>16.941858300902407</v>
      </c>
      <c r="AL34" s="20">
        <f t="shared" si="4"/>
        <v>132.44876587407171</v>
      </c>
      <c r="AM34" s="59">
        <f t="shared" si="5"/>
        <v>425.78209920740505</v>
      </c>
      <c r="AN34" s="59">
        <f ca="1">AVERAGE(OFFSET($AM$3,0,0,'Données projet'!$E$10+1,1))-AVERAGE(OFFSET($H$3,0,0,'Données projet'!$E$10+1,1))</f>
        <v>206.53345322763442</v>
      </c>
      <c r="AO34" s="59">
        <f t="shared" si="36"/>
        <v>96.700732426680929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11</v>
      </c>
      <c r="BD34" s="12">
        <f>IF('Données projet'!$A$88&gt;35,BD33+BC34-BL33,IF(A34&lt;'Données projet'!$A$88,$BA$205^A34,IF(A34='Données projet'!$A$88,'Données projet'!$B$88,BD33+BC34-BL33)))</f>
        <v>104</v>
      </c>
      <c r="BE34" s="13">
        <f>BD34*VLOOKUP('Données projet'!$B$11,Paramètres!$A$1:$I$89,3,0)*VLOOKUP('Données projet'!$B$11,Paramètres!$A$1:$I$89,5,0)</f>
        <v>87.609600000000015</v>
      </c>
      <c r="BF34" s="13">
        <f t="shared" si="37"/>
        <v>23.987817980868787</v>
      </c>
      <c r="BG34" s="20">
        <f t="shared" si="7"/>
        <v>194.36550298334649</v>
      </c>
      <c r="BH34" s="59">
        <f t="shared" si="8"/>
        <v>487.69883631667983</v>
      </c>
      <c r="BI34" s="59">
        <f ca="1">AVERAGE(OFFSET($BH$3,0,0,'Données projet'!$E$11+1,1))-AVERAGE(OFFSET($H$3,0,0,'Données projet'!$E$11+1,1))</f>
        <v>328.34986205643321</v>
      </c>
      <c r="BJ34" s="59">
        <f t="shared" si="38"/>
        <v>251.60894449147008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31.578926510634336</v>
      </c>
      <c r="BS34" s="22">
        <f t="shared" si="9"/>
        <v>31.578926510634336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11</v>
      </c>
      <c r="BY34" s="12">
        <f>IF('Données projet'!$A$114&gt;35,BY33+BX34-CG33,IF(A34&lt;'Données projet'!$A$114,$BV$205^A34,IF(A34='Données projet'!$A$114,'Données projet'!$B$114,BY33+BX34-CG33)))</f>
        <v>104</v>
      </c>
      <c r="BZ34" s="13">
        <f>BY34*VLOOKUP('Données projet'!$B$12,Paramètres!$A$1:$I$89,3,0)*VLOOKUP('Données projet'!$B$12,Paramètres!$A$1:$I$89,5,0)</f>
        <v>94.099199999999996</v>
      </c>
      <c r="CA34" s="13">
        <f t="shared" si="39"/>
        <v>25.551276031514817</v>
      </c>
      <c r="CB34" s="20">
        <f t="shared" si="10"/>
        <v>208.39124575488827</v>
      </c>
      <c r="CC34" s="59">
        <f t="shared" si="11"/>
        <v>501.72457908822162</v>
      </c>
      <c r="CD34" s="59">
        <f ca="1">AVERAGE(OFFSET($CC$3,0,0,'Données projet'!$E$12+1,1))-AVERAGE(OFFSET($H$3,0,0,'Données projet'!$E$12+1,1))</f>
        <v>360.44607552967267</v>
      </c>
      <c r="CE34" s="59">
        <f t="shared" si="40"/>
        <v>271.54361159160169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33.918106252162801</v>
      </c>
      <c r="CN34" s="22">
        <f t="shared" si="12"/>
        <v>33.918106252162801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17.96</v>
      </c>
      <c r="CT34" s="12">
        <f>IF('Données projet'!$A$140&gt;35,CT33+CS34-DB33,IF(A34&lt;'Données projet'!$A$140,$CQ$205^A34,IF(A34='Données projet'!$A$140,'Données projet'!$B$140,CT33+CS34-DB33)))</f>
        <v>466.66</v>
      </c>
      <c r="CU34" s="17">
        <f>CT34*VLOOKUP('Données projet'!$B$13,Paramètres!$A$1:$I$89,3,0)*VLOOKUP('Données projet'!$B$13,Paramètres!$A$1:$I$89,5,0)</f>
        <v>235.14064080000006</v>
      </c>
      <c r="CV34" s="13">
        <f t="shared" si="41"/>
        <v>57.392774265788923</v>
      </c>
      <c r="CW34" s="20">
        <f t="shared" si="13"/>
        <v>509.49569790624906</v>
      </c>
      <c r="CX34" s="59">
        <f t="shared" si="14"/>
        <v>802.82903123958238</v>
      </c>
      <c r="CY34" s="59">
        <f ca="1">AVERAGE(OFFSET($CX$3,0,0,'Données projet'!$E$13+1,1))-AVERAGE(OFFSET($H$3,0,0,'Données projet'!$E$13+1,1))</f>
        <v>309.89554000341082</v>
      </c>
      <c r="CZ34" s="59">
        <f t="shared" si="42"/>
        <v>465.9235824539021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10.4</v>
      </c>
      <c r="N35" s="13">
        <f>IF('Données projet'!$A$36&gt;35,N34+M35-V34,IF(A35&lt;'Données projet'!$A$36,$K$205^A35,IF(A35='Données projet'!$A$36,'Données projet'!$B$36,N34+M35-V34)))</f>
        <v>157.80000000000001</v>
      </c>
      <c r="O35" s="13">
        <f>N35*VLOOKUP('Données projet'!$B$9,Paramètres!$A$1:$I$89,3,0)*VLOOKUP('Données projet'!$B$9,Paramètres!$A$1:$I$89,5,0)</f>
        <v>137.85408000000001</v>
      </c>
      <c r="P35" s="13">
        <f t="shared" si="33"/>
        <v>35.804964283629964</v>
      </c>
      <c r="Q35" s="20">
        <f t="shared" ref="Q35:Q66" si="53">(O35+P35)*0.475*44/12</f>
        <v>302.45616879398887</v>
      </c>
      <c r="R35" s="59">
        <f t="shared" si="0"/>
        <v>595.78950212732218</v>
      </c>
      <c r="S35" s="59">
        <f ca="1">AVERAGE(OFFSET($R$3,0,0,'Données projet'!$E$9+1,1))-AVERAGE(OFFSET($H$3,0,0,'Données projet'!$E$9+1,1))</f>
        <v>281.82797419088109</v>
      </c>
      <c r="T35" s="59">
        <f t="shared" si="34"/>
        <v>298.98873283425371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13.6762323183342</v>
      </c>
      <c r="AC35" s="22">
        <f t="shared" si="3"/>
        <v>13.6762323183342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5.2</v>
      </c>
      <c r="AI35" s="13">
        <f>IF('Données projet'!$A$62&gt;35,AI34+AH35-AQ34,IF(A35&lt;'Données projet'!$A$62,$AF$205^A35,IF(A35='Données projet'!$A$62,'Données projet'!$B$62,AI34+AH35-AQ34)))</f>
        <v>64.400000000000006</v>
      </c>
      <c r="AJ35" s="13">
        <f>AI35*VLOOKUP('Données projet'!$B$10,Paramètres!$A$1:$I$89,3,0)*VLOOKUP('Données projet'!$B$10,Paramètres!$A$1:$I$89,5,0)</f>
        <v>64.296959999999999</v>
      </c>
      <c r="AK35" s="13">
        <f t="shared" si="35"/>
        <v>18.250263421888452</v>
      </c>
      <c r="AL35" s="20">
        <f t="shared" si="4"/>
        <v>143.76974745978904</v>
      </c>
      <c r="AM35" s="59">
        <f t="shared" si="5"/>
        <v>437.10308079312233</v>
      </c>
      <c r="AN35" s="59">
        <f ca="1">AVERAGE(OFFSET($AM$3,0,0,'Données projet'!$E$10+1,1))-AVERAGE(OFFSET($H$3,0,0,'Données projet'!$E$10+1,1))</f>
        <v>206.53345322763442</v>
      </c>
      <c r="AO35" s="59">
        <f t="shared" si="36"/>
        <v>96.700732426680929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</v>
      </c>
      <c r="BD35" s="12">
        <f>IF('Données projet'!$A$88&gt;35,BD34+BC35-BL34,IF(A35&lt;'Données projet'!$A$88,$BA$205^A35,IF(A35='Données projet'!$A$88,'Données projet'!$B$88,BD34+BC35-BL34)))</f>
        <v>115</v>
      </c>
      <c r="BE35" s="13">
        <f>BD35*VLOOKUP('Données projet'!$B$11,Paramètres!$A$1:$I$89,3,0)*VLOOKUP('Données projet'!$B$11,Paramètres!$A$1:$I$89,5,0)</f>
        <v>96.876000000000005</v>
      </c>
      <c r="BF35" s="13">
        <f t="shared" si="37"/>
        <v>26.21637845945024</v>
      </c>
      <c r="BG35" s="20">
        <f t="shared" si="7"/>
        <v>214.38589248354251</v>
      </c>
      <c r="BH35" s="59">
        <f t="shared" si="8"/>
        <v>507.71922581687579</v>
      </c>
      <c r="BI35" s="59">
        <f ca="1">AVERAGE(OFFSET($BH$3,0,0,'Données projet'!$E$11+1,1))-AVERAGE(OFFSET($H$3,0,0,'Données projet'!$E$11+1,1))</f>
        <v>328.34986205643321</v>
      </c>
      <c r="BJ35" s="59">
        <f t="shared" si="38"/>
        <v>251.60894449147008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22.32967307826118</v>
      </c>
      <c r="BS35" s="22">
        <f t="shared" si="9"/>
        <v>22.32967307826118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11</v>
      </c>
      <c r="BY35" s="12">
        <f>IF('Données projet'!$A$114&gt;35,BY34+BX35-CG34,IF(A35&lt;'Données projet'!$A$114,$BV$205^A35,IF(A35='Données projet'!$A$114,'Données projet'!$B$114,BY34+BX35-CG34)))</f>
        <v>115</v>
      </c>
      <c r="BZ35" s="13">
        <f>BY35*VLOOKUP('Données projet'!$B$12,Paramètres!$A$1:$I$89,3,0)*VLOOKUP('Données projet'!$B$12,Paramètres!$A$1:$I$89,5,0)</f>
        <v>104.05199999999999</v>
      </c>
      <c r="CA35" s="13">
        <f t="shared" si="39"/>
        <v>27.925087771564417</v>
      </c>
      <c r="CB35" s="20">
        <f t="shared" si="10"/>
        <v>229.86009453547467</v>
      </c>
      <c r="CC35" s="59">
        <f t="shared" si="11"/>
        <v>523.19342786880793</v>
      </c>
      <c r="CD35" s="59">
        <f ca="1">AVERAGE(OFFSET($CC$3,0,0,'Données projet'!$E$12+1,1))-AVERAGE(OFFSET($H$3,0,0,'Données projet'!$E$12+1,1))</f>
        <v>360.44607552967267</v>
      </c>
      <c r="CE35" s="59">
        <f t="shared" si="40"/>
        <v>271.54361159160169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23.983722935910151</v>
      </c>
      <c r="CN35" s="22">
        <f t="shared" si="12"/>
        <v>23.983722935910151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17.96</v>
      </c>
      <c r="CT35" s="12">
        <f>IF('Données projet'!$A$140&gt;35,CT34+CS35-DB34,IF(A35&lt;'Données projet'!$A$140,$CQ$205^A35,IF(A35='Données projet'!$A$140,'Données projet'!$B$140,CT34+CS35-DB34)))</f>
        <v>484.62</v>
      </c>
      <c r="CU35" s="17">
        <f>CT35*VLOOKUP('Données projet'!$B$13,Paramètres!$A$1:$I$89,3,0)*VLOOKUP('Données projet'!$B$13,Paramètres!$A$1:$I$89,5,0)</f>
        <v>244.19032560000002</v>
      </c>
      <c r="CV35" s="13">
        <f t="shared" si="41"/>
        <v>59.340189212923782</v>
      </c>
      <c r="CW35" s="20">
        <f t="shared" si="13"/>
        <v>528.64897996584227</v>
      </c>
      <c r="CX35" s="59">
        <f t="shared" si="14"/>
        <v>821.98231329917553</v>
      </c>
      <c r="CY35" s="59">
        <f ca="1">AVERAGE(OFFSET($CX$3,0,0,'Données projet'!$E$13+1,1))-AVERAGE(OFFSET($H$3,0,0,'Données projet'!$E$13+1,1))</f>
        <v>309.89554000341082</v>
      </c>
      <c r="CZ35" s="59">
        <f t="shared" si="42"/>
        <v>465.9235824539021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10.4</v>
      </c>
      <c r="N36" s="13">
        <f>IF('Données projet'!$A$36&gt;35,N35+M36-V35,IF(A36&lt;'Données projet'!$A$36,$K$205^A36,IF(A36='Données projet'!$A$36,'Données projet'!$B$36,N35+M36-V35)))</f>
        <v>168.20000000000002</v>
      </c>
      <c r="O36" s="13">
        <f>N36*VLOOKUP('Données projet'!$B$9,Paramètres!$A$1:$I$89,3,0)*VLOOKUP('Données projet'!$B$9,Paramètres!$A$1:$I$89,5,0)</f>
        <v>146.93952000000004</v>
      </c>
      <c r="P36" s="13">
        <f t="shared" si="33"/>
        <v>37.882248330654257</v>
      </c>
      <c r="Q36" s="20">
        <f t="shared" si="53"/>
        <v>321.89791317588953</v>
      </c>
      <c r="R36" s="59">
        <f t="shared" si="0"/>
        <v>615.23124650922284</v>
      </c>
      <c r="S36" s="59">
        <f ca="1">AVERAGE(OFFSET($R$3,0,0,'Données projet'!$E$9+1,1))-AVERAGE(OFFSET($H$3,0,0,'Données projet'!$E$9+1,1))</f>
        <v>281.82797419088109</v>
      </c>
      <c r="T36" s="59">
        <f t="shared" si="34"/>
        <v>298.98873283425371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9.670556613376732</v>
      </c>
      <c r="AC36" s="22">
        <f t="shared" si="3"/>
        <v>9.670556613376732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5.2</v>
      </c>
      <c r="AI36" s="13">
        <f>IF('Données projet'!$A$62&gt;35,AI35+AH36-AQ35,IF(A36&lt;'Données projet'!$A$62,$AF$205^A36,IF(A36='Données projet'!$A$62,'Données projet'!$B$62,AI35+AH36-AQ35)))</f>
        <v>69.600000000000009</v>
      </c>
      <c r="AJ36" s="13">
        <f>AI36*VLOOKUP('Données projet'!$B$10,Paramètres!$A$1:$I$89,3,0)*VLOOKUP('Données projet'!$B$10,Paramètres!$A$1:$I$89,5,0)</f>
        <v>69.488640000000004</v>
      </c>
      <c r="AK36" s="13">
        <f t="shared" si="35"/>
        <v>19.546414723012209</v>
      </c>
      <c r="AL36" s="20">
        <f t="shared" si="4"/>
        <v>155.06938697591292</v>
      </c>
      <c r="AM36" s="59">
        <f t="shared" si="5"/>
        <v>448.40272030924621</v>
      </c>
      <c r="AN36" s="59">
        <f ca="1">AVERAGE(OFFSET($AM$3,0,0,'Données projet'!$E$10+1,1))-AVERAGE(OFFSET($H$3,0,0,'Données projet'!$E$10+1,1))</f>
        <v>206.53345322763442</v>
      </c>
      <c r="AO36" s="59">
        <f t="shared" si="36"/>
        <v>96.700732426680929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</v>
      </c>
      <c r="BD36" s="12">
        <f>IF('Données projet'!$A$88&gt;35,BD35+BC36-BL35,IF(A36&lt;'Données projet'!$A$88,$BA$205^A36,IF(A36='Données projet'!$A$88,'Données projet'!$B$88,BD35+BC36-BL35)))</f>
        <v>126</v>
      </c>
      <c r="BE36" s="13">
        <f>BD36*VLOOKUP('Données projet'!$B$11,Paramètres!$A$1:$I$89,3,0)*VLOOKUP('Données projet'!$B$11,Paramètres!$A$1:$I$89,5,0)</f>
        <v>106.14240000000001</v>
      </c>
      <c r="BF36" s="13">
        <f t="shared" si="37"/>
        <v>28.420224211524975</v>
      </c>
      <c r="BG36" s="20">
        <f t="shared" si="7"/>
        <v>234.36323716840602</v>
      </c>
      <c r="BH36" s="59">
        <f t="shared" si="8"/>
        <v>527.6965705017393</v>
      </c>
      <c r="BI36" s="59">
        <f ca="1">AVERAGE(OFFSET($BH$3,0,0,'Données projet'!$E$11+1,1))-AVERAGE(OFFSET($H$3,0,0,'Données projet'!$E$11+1,1))</f>
        <v>328.34986205643321</v>
      </c>
      <c r="BJ36" s="59">
        <f t="shared" si="38"/>
        <v>251.60894449147008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15.789463255317171</v>
      </c>
      <c r="BS36" s="22">
        <f t="shared" si="9"/>
        <v>15.789463255317171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11</v>
      </c>
      <c r="BY36" s="12">
        <f>IF('Données projet'!$A$114&gt;35,BY35+BX36-CG35,IF(A36&lt;'Données projet'!$A$114,$BV$205^A36,IF(A36='Données projet'!$A$114,'Données projet'!$B$114,BY35+BX36-CG35)))</f>
        <v>126</v>
      </c>
      <c r="BZ36" s="13">
        <f>BY36*VLOOKUP('Données projet'!$B$12,Paramètres!$A$1:$I$89,3,0)*VLOOKUP('Données projet'!$B$12,Paramètres!$A$1:$I$89,5,0)</f>
        <v>114.0048</v>
      </c>
      <c r="CA36" s="13">
        <f t="shared" si="39"/>
        <v>30.272573949217303</v>
      </c>
      <c r="CB36" s="20">
        <f t="shared" si="10"/>
        <v>251.28309296155342</v>
      </c>
      <c r="CC36" s="59">
        <f t="shared" si="11"/>
        <v>544.61642629488676</v>
      </c>
      <c r="CD36" s="59">
        <f ca="1">AVERAGE(OFFSET($CC$3,0,0,'Données projet'!$E$12+1,1))-AVERAGE(OFFSET($H$3,0,0,'Données projet'!$E$12+1,1))</f>
        <v>360.44607552967267</v>
      </c>
      <c r="CE36" s="59">
        <f t="shared" si="40"/>
        <v>271.54361159160169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16.9590531260814</v>
      </c>
      <c r="CN36" s="22">
        <f t="shared" si="12"/>
        <v>16.9590531260814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17.96</v>
      </c>
      <c r="CT36" s="12">
        <f>IF('Données projet'!$A$140&gt;35,CT35+CS36-DB35,IF(A36&lt;'Données projet'!$A$140,$CQ$205^A36,IF(A36='Données projet'!$A$140,'Données projet'!$B$140,CT35+CS36-DB35)))</f>
        <v>502.58</v>
      </c>
      <c r="CU36" s="17">
        <f>CT36*VLOOKUP('Données projet'!$B$13,Paramètres!$A$1:$I$89,3,0)*VLOOKUP('Données projet'!$B$13,Paramètres!$A$1:$I$89,5,0)</f>
        <v>253.24001039999999</v>
      </c>
      <c r="CV36" s="13">
        <f t="shared" si="41"/>
        <v>61.279219506758842</v>
      </c>
      <c r="CW36" s="20">
        <f t="shared" si="13"/>
        <v>547.78765875427155</v>
      </c>
      <c r="CX36" s="59">
        <f t="shared" si="14"/>
        <v>841.12099208760492</v>
      </c>
      <c r="CY36" s="59">
        <f ca="1">AVERAGE(OFFSET($CX$3,0,0,'Données projet'!$E$13+1,1))-AVERAGE(OFFSET($H$3,0,0,'Données projet'!$E$13+1,1))</f>
        <v>309.89554000341082</v>
      </c>
      <c r="CZ36" s="59">
        <f t="shared" si="42"/>
        <v>465.9235824539021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10.4</v>
      </c>
      <c r="N37" s="13">
        <f>IF('Données projet'!$A$36&gt;35,N36+M37-V36,IF(A37&lt;'Données projet'!$A$36,$K$205^A37,IF(A37='Données projet'!$A$36,'Données projet'!$B$36,N36+M37-V36)))</f>
        <v>178.60000000000002</v>
      </c>
      <c r="O37" s="13">
        <f>N37*VLOOKUP('Données projet'!$B$9,Paramètres!$A$1:$I$89,3,0)*VLOOKUP('Données projet'!$B$9,Paramètres!$A$1:$I$89,5,0)</f>
        <v>156.02496000000005</v>
      </c>
      <c r="P37" s="13">
        <f t="shared" si="33"/>
        <v>39.944625507905997</v>
      </c>
      <c r="Q37" s="20">
        <f t="shared" si="53"/>
        <v>341.31369475960304</v>
      </c>
      <c r="R37" s="59">
        <f t="shared" si="0"/>
        <v>634.64702809293635</v>
      </c>
      <c r="S37" s="59">
        <f ca="1">AVERAGE(OFFSET($R$3,0,0,'Données projet'!$E$9+1,1))-AVERAGE(OFFSET($H$3,0,0,'Données projet'!$E$9+1,1))</f>
        <v>281.82797419088109</v>
      </c>
      <c r="T37" s="59">
        <f t="shared" si="34"/>
        <v>298.98873283425371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6.8381161591671011</v>
      </c>
      <c r="AC37" s="22">
        <f t="shared" si="3"/>
        <v>6.8381161591671011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5.2</v>
      </c>
      <c r="AI37" s="13">
        <f>IF('Données projet'!$A$62&gt;35,AI36+AH37-AQ36,IF(A37&lt;'Données projet'!$A$62,$AF$205^A37,IF(A37='Données projet'!$A$62,'Données projet'!$B$62,AI36+AH37-AQ36)))</f>
        <v>74.800000000000011</v>
      </c>
      <c r="AJ37" s="13">
        <f>AI37*VLOOKUP('Données projet'!$B$10,Paramètres!$A$1:$I$89,3,0)*VLOOKUP('Données projet'!$B$10,Paramètres!$A$1:$I$89,5,0)</f>
        <v>74.680320000000009</v>
      </c>
      <c r="AK37" s="13">
        <f t="shared" si="35"/>
        <v>20.831331822788837</v>
      </c>
      <c r="AL37" s="20">
        <f t="shared" si="4"/>
        <v>166.34946025802392</v>
      </c>
      <c r="AM37" s="59">
        <f t="shared" si="5"/>
        <v>459.68279359135727</v>
      </c>
      <c r="AN37" s="59">
        <f ca="1">AVERAGE(OFFSET($AM$3,0,0,'Données projet'!$E$10+1,1))-AVERAGE(OFFSET($H$3,0,0,'Données projet'!$E$10+1,1))</f>
        <v>206.53345322763442</v>
      </c>
      <c r="AO37" s="59">
        <f t="shared" si="36"/>
        <v>96.700732426680929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</v>
      </c>
      <c r="BD37" s="12">
        <f>IF('Données projet'!$A$88&gt;35,BD36+BC37-BL36,IF(A37&lt;'Données projet'!$A$88,$BA$205^A37,IF(A37='Données projet'!$A$88,'Données projet'!$B$88,BD36+BC37-BL36)))</f>
        <v>137</v>
      </c>
      <c r="BE37" s="13">
        <f>BD37*VLOOKUP('Données projet'!$B$11,Paramètres!$A$1:$I$89,3,0)*VLOOKUP('Données projet'!$B$11,Paramètres!$A$1:$I$89,5,0)</f>
        <v>115.40880000000001</v>
      </c>
      <c r="BF37" s="13">
        <f t="shared" si="37"/>
        <v>30.60175820334798</v>
      </c>
      <c r="BG37" s="20">
        <f t="shared" si="7"/>
        <v>254.30172220416441</v>
      </c>
      <c r="BH37" s="59">
        <f t="shared" si="8"/>
        <v>547.63505553749769</v>
      </c>
      <c r="BI37" s="59">
        <f ca="1">AVERAGE(OFFSET($BH$3,0,0,'Données projet'!$E$11+1,1))-AVERAGE(OFFSET($H$3,0,0,'Données projet'!$E$11+1,1))</f>
        <v>328.34986205643321</v>
      </c>
      <c r="BJ37" s="59">
        <f t="shared" si="38"/>
        <v>251.60894449147008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11.164836539130592</v>
      </c>
      <c r="BS37" s="22">
        <f t="shared" si="9"/>
        <v>11.164836539130592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11</v>
      </c>
      <c r="BY37" s="12">
        <f>IF('Données projet'!$A$114&gt;35,BY36+BX37-CG36,IF(A37&lt;'Données projet'!$A$114,$BV$205^A37,IF(A37='Données projet'!$A$114,'Données projet'!$B$114,BY36+BX37-CG36)))</f>
        <v>137</v>
      </c>
      <c r="BZ37" s="13">
        <f>BY37*VLOOKUP('Données projet'!$B$12,Paramètres!$A$1:$I$89,3,0)*VLOOKUP('Données projet'!$B$12,Paramètres!$A$1:$I$89,5,0)</f>
        <v>123.9576</v>
      </c>
      <c r="CA37" s="13">
        <f t="shared" si="39"/>
        <v>32.59629414926458</v>
      </c>
      <c r="CB37" s="20">
        <f t="shared" si="10"/>
        <v>272.6646989766358</v>
      </c>
      <c r="CC37" s="59">
        <f t="shared" si="11"/>
        <v>565.99803230996918</v>
      </c>
      <c r="CD37" s="59">
        <f ca="1">AVERAGE(OFFSET($CC$3,0,0,'Données projet'!$E$12+1,1))-AVERAGE(OFFSET($H$3,0,0,'Données projet'!$E$12+1,1))</f>
        <v>360.44607552967267</v>
      </c>
      <c r="CE37" s="59">
        <f t="shared" si="40"/>
        <v>271.54361159160169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11.991861467955076</v>
      </c>
      <c r="CN37" s="22">
        <f t="shared" si="12"/>
        <v>11.991861467955076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17.96</v>
      </c>
      <c r="CT37" s="12">
        <f>IF('Données projet'!$A$140&gt;35,CT36+CS37-DB36,IF(A37&lt;'Données projet'!$A$140,$CQ$205^A37,IF(A37='Données projet'!$A$140,'Données projet'!$B$140,CT36+CS37-DB36)))</f>
        <v>520.54</v>
      </c>
      <c r="CU37" s="17">
        <f>CT37*VLOOKUP('Données projet'!$B$13,Paramètres!$A$1:$I$89,3,0)*VLOOKUP('Données projet'!$B$13,Paramètres!$A$1:$I$89,5,0)</f>
        <v>262.28969520000004</v>
      </c>
      <c r="CV37" s="13">
        <f t="shared" si="41"/>
        <v>63.210199104748028</v>
      </c>
      <c r="CW37" s="20">
        <f t="shared" si="13"/>
        <v>566.91231591410281</v>
      </c>
      <c r="CX37" s="59">
        <f t="shared" si="14"/>
        <v>860.24564924743618</v>
      </c>
      <c r="CY37" s="59">
        <f ca="1">AVERAGE(OFFSET($CX$3,0,0,'Données projet'!$E$13+1,1))-AVERAGE(OFFSET($H$3,0,0,'Données projet'!$E$13+1,1))</f>
        <v>309.89554000341082</v>
      </c>
      <c r="CZ37" s="59">
        <f t="shared" si="42"/>
        <v>465.9235824539021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189</v>
      </c>
      <c r="L38" s="12">
        <f>VLOOKUP(A38,'Données projet'!$A$35:$I$55,9,0)</f>
        <v>10.4</v>
      </c>
      <c r="M38" s="12">
        <f t="array" ref="M38">INDEX(L:L,MIN(IF(ISNUMBER(L38:L234),ROW(L38:L234),"")))</f>
        <v>10.4</v>
      </c>
      <c r="N38" s="13">
        <f>IF('Données projet'!$A$36&gt;35,N37+M38-V37,IF(A38&lt;'Données projet'!$A$36,$K$205^A38,IF(A38='Données projet'!$A$36,'Données projet'!$B$36,N37+M38-V37)))</f>
        <v>189.00000000000003</v>
      </c>
      <c r="O38" s="13">
        <f>N38*VLOOKUP('Données projet'!$B$9,Paramètres!$A$1:$I$89,3,0)*VLOOKUP('Données projet'!$B$9,Paramètres!$A$1:$I$89,5,0)</f>
        <v>165.11040000000006</v>
      </c>
      <c r="P38" s="13">
        <f t="shared" si="33"/>
        <v>41.993062739333482</v>
      </c>
      <c r="Q38" s="20">
        <f t="shared" si="53"/>
        <v>360.70519760433922</v>
      </c>
      <c r="R38" s="59">
        <f t="shared" si="0"/>
        <v>654.03853093767248</v>
      </c>
      <c r="S38" s="59">
        <f ca="1">AVERAGE(OFFSET($R$3,0,0,'Données projet'!$E$9+1,1))-AVERAGE(OFFSET($H$3,0,0,'Données projet'!$E$9+1,1))</f>
        <v>281.82797419088109</v>
      </c>
      <c r="T38" s="59">
        <f t="shared" si="34"/>
        <v>298.98873283425371</v>
      </c>
      <c r="U38" s="15">
        <f>IF(ISNA(VLOOKUP(A38,'Données projet'!$A$35:$I$55,3,0)),0,VLOOKUP(A38,'Données projet'!$A$35:$I$55,3,0))</f>
        <v>6</v>
      </c>
      <c r="V38" s="15">
        <f>IF(ISNA(VLOOKUP(A38,'Données projet'!$A$35:$I$55,4,0)),0,VLOOKUP(A38,'Données projet'!$A$35:$I$55,4,0))</f>
        <v>32</v>
      </c>
      <c r="W38" s="16">
        <f>IF(ISNA(VLOOKUP(A38,'Données projet'!$A$35:$I$55,5,0)),0%,VLOOKUP(A38,'Données projet'!$A$35:$I$55,5,0)*VLOOKUP('Données projet'!$B$9,Paramètres!$A$1:$I$89,7,0))</f>
        <v>0.215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0.4</v>
      </c>
      <c r="Z38" s="21">
        <f>EXP(-LN(2)/35)*Z37+(1-EXP(-LN(2)/35))/(LN(2)/35)*V38*W38*VLOOKUP('Données projet'!$B$9,Paramètres!$A$1:$I$89,3,0)*0.475*44/12</f>
        <v>6.644283794092698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15.385871747958987</v>
      </c>
      <c r="AC38" s="22">
        <f t="shared" si="3"/>
        <v>22.030155542051684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5.2</v>
      </c>
      <c r="AI38" s="13">
        <f>IF('Données projet'!$A$62&gt;35,AI37+AH38-AQ37,IF(A38&lt;'Données projet'!$A$62,$AF$205^A38,IF(A38='Données projet'!$A$62,'Données projet'!$B$62,AI37+AH38-AQ37)))</f>
        <v>80.000000000000014</v>
      </c>
      <c r="AJ38" s="13">
        <f>AI38*VLOOKUP('Données projet'!$B$10,Paramètres!$A$1:$I$89,3,0)*VLOOKUP('Données projet'!$B$10,Paramètres!$A$1:$I$89,5,0)</f>
        <v>79.872000000000014</v>
      </c>
      <c r="AK38" s="13">
        <f t="shared" si="35"/>
        <v>22.105884547145418</v>
      </c>
      <c r="AL38" s="20">
        <f t="shared" si="4"/>
        <v>177.61148225294497</v>
      </c>
      <c r="AM38" s="59">
        <f t="shared" si="5"/>
        <v>470.94481558627831</v>
      </c>
      <c r="AN38" s="59">
        <f ca="1">AVERAGE(OFFSET($AM$3,0,0,'Données projet'!$E$10+1,1))-AVERAGE(OFFSET($H$3,0,0,'Données projet'!$E$10+1,1))</f>
        <v>206.53345322763442</v>
      </c>
      <c r="AO38" s="59">
        <f t="shared" si="36"/>
        <v>96.700732426680929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</v>
      </c>
      <c r="BD38" s="12">
        <f>IF('Données projet'!$A$88&gt;35,BD37+BC38-BL37,IF(A38&lt;'Données projet'!$A$88,$BA$205^A38,IF(A38='Données projet'!$A$88,'Données projet'!$B$88,BD37+BC38-BL37)))</f>
        <v>148</v>
      </c>
      <c r="BE38" s="13">
        <f>BD38*VLOOKUP('Données projet'!$B$11,Paramètres!$A$1:$I$89,3,0)*VLOOKUP('Données projet'!$B$11,Paramètres!$A$1:$I$89,5,0)</f>
        <v>124.6752</v>
      </c>
      <c r="BF38" s="13">
        <f t="shared" si="37"/>
        <v>32.762975561628714</v>
      </c>
      <c r="BG38" s="20">
        <f t="shared" si="7"/>
        <v>274.20482243650338</v>
      </c>
      <c r="BH38" s="59">
        <f t="shared" si="8"/>
        <v>567.53815576983675</v>
      </c>
      <c r="BI38" s="59">
        <f ca="1">AVERAGE(OFFSET($BH$3,0,0,'Données projet'!$E$11+1,1))-AVERAGE(OFFSET($H$3,0,0,'Données projet'!$E$11+1,1))</f>
        <v>328.34986205643321</v>
      </c>
      <c r="BJ38" s="59">
        <f t="shared" si="38"/>
        <v>251.60894449147008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7.8947316276585866</v>
      </c>
      <c r="BS38" s="22">
        <f t="shared" si="9"/>
        <v>7.8947316276585866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11</v>
      </c>
      <c r="BY38" s="12">
        <f>IF('Données projet'!$A$114&gt;35,BY37+BX38-CG37,IF(A38&lt;'Données projet'!$A$114,$BV$205^A38,IF(A38='Données projet'!$A$114,'Données projet'!$B$114,BY37+BX38-CG37)))</f>
        <v>148</v>
      </c>
      <c r="BZ38" s="13">
        <f>BY38*VLOOKUP('Données projet'!$B$12,Paramètres!$A$1:$I$89,3,0)*VLOOKUP('Données projet'!$B$12,Paramètres!$A$1:$I$89,5,0)</f>
        <v>133.91039999999998</v>
      </c>
      <c r="CA38" s="13">
        <f t="shared" si="39"/>
        <v>34.898373535125089</v>
      </c>
      <c r="CB38" s="20">
        <f t="shared" si="10"/>
        <v>294.00861390700948</v>
      </c>
      <c r="CC38" s="59">
        <f t="shared" si="11"/>
        <v>587.34194724034273</v>
      </c>
      <c r="CD38" s="59">
        <f ca="1">AVERAGE(OFFSET($CC$3,0,0,'Données projet'!$E$12+1,1))-AVERAGE(OFFSET($H$3,0,0,'Données projet'!$E$12+1,1))</f>
        <v>360.44607552967267</v>
      </c>
      <c r="CE38" s="59">
        <f t="shared" si="40"/>
        <v>271.54361159160169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8.4795265630407002</v>
      </c>
      <c r="CN38" s="22">
        <f t="shared" si="12"/>
        <v>8.4795265630407002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538.5</v>
      </c>
      <c r="CR38" s="12">
        <f>VLOOKUP(A38,'Données projet'!$A$139:$I$159,9,0)</f>
        <v>17.96</v>
      </c>
      <c r="CS38" s="12">
        <f t="array" ref="CS38">INDEX(CR:CR,MIN(IF(ISNUMBER(CR38:CR234),ROW(CR38:CR234),"")))</f>
        <v>17.96</v>
      </c>
      <c r="CT38" s="12">
        <f>IF('Données projet'!$A$140&gt;35,CT37+CS38-DB37,IF(A38&lt;'Données projet'!$A$140,$CQ$205^A38,IF(A38='Données projet'!$A$140,'Données projet'!$B$140,CT37+CS38-DB37)))</f>
        <v>538.5</v>
      </c>
      <c r="CU38" s="17">
        <f>CT38*VLOOKUP('Données projet'!$B$13,Paramètres!$A$1:$I$89,3,0)*VLOOKUP('Données projet'!$B$13,Paramètres!$A$1:$I$89,5,0)</f>
        <v>271.33938000000006</v>
      </c>
      <c r="CV38" s="13">
        <f t="shared" si="41"/>
        <v>65.133437612507578</v>
      </c>
      <c r="CW38" s="20">
        <f t="shared" si="13"/>
        <v>586.02349067511739</v>
      </c>
      <c r="CX38" s="59">
        <f t="shared" si="14"/>
        <v>879.35682400845076</v>
      </c>
      <c r="CY38" s="59">
        <f ca="1">AVERAGE(OFFSET($CX$3,0,0,'Données projet'!$E$13+1,1))-AVERAGE(OFFSET($H$3,0,0,'Données projet'!$E$13+1,1))</f>
        <v>309.89554000341082</v>
      </c>
      <c r="CZ38" s="59">
        <f t="shared" si="42"/>
        <v>465.9235824539021</v>
      </c>
      <c r="DA38" s="15">
        <f>IF(ISNA(VLOOKUP(A38,'Données projet'!$A$139:$I$159,3,0)),0,VLOOKUP(A38,'Données projet'!$A$139:$I$159,3,0))</f>
        <v>7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9.8000000000000007</v>
      </c>
      <c r="N39" s="13">
        <f>IF('Données projet'!$A$36&gt;35,N38+M39-V38,IF(A39&lt;'Données projet'!$A$36,$K$205^A39,IF(A39='Données projet'!$A$36,'Données projet'!$B$36,N38+M39-V38)))</f>
        <v>166.80000000000004</v>
      </c>
      <c r="O39" s="13">
        <f>N39*VLOOKUP('Données projet'!$B$9,Paramètres!$A$1:$I$89,3,0)*VLOOKUP('Données projet'!$B$9,Paramètres!$A$1:$I$89,5,0)</f>
        <v>145.71648000000005</v>
      </c>
      <c r="P39" s="13">
        <f t="shared" si="33"/>
        <v>37.60350500083149</v>
      </c>
      <c r="Q39" s="20">
        <f t="shared" si="53"/>
        <v>319.28230720978155</v>
      </c>
      <c r="R39" s="59">
        <f t="shared" si="0"/>
        <v>612.61564054311486</v>
      </c>
      <c r="S39" s="59">
        <f ca="1">AVERAGE(OFFSET($R$3,0,0,'Données projet'!$E$9+1,1))-AVERAGE(OFFSET($H$3,0,0,'Données projet'!$E$9+1,1))</f>
        <v>281.82797419088109</v>
      </c>
      <c r="T39" s="59">
        <f t="shared" si="34"/>
        <v>298.98873283425371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6.5139934415034926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10.87945424744832</v>
      </c>
      <c r="AC39" s="22">
        <f t="shared" si="3"/>
        <v>17.393447688951813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5.2</v>
      </c>
      <c r="AI39" s="13">
        <f>IF('Données projet'!$A$62&gt;35,AI38+AH39-AQ38,IF(A39&lt;'Données projet'!$A$62,$AF$205^A39,IF(A39='Données projet'!$A$62,'Données projet'!$B$62,AI38+AH39-AQ38)))</f>
        <v>85.200000000000017</v>
      </c>
      <c r="AJ39" s="13">
        <f>AI39*VLOOKUP('Données projet'!$B$10,Paramètres!$A$1:$I$89,3,0)*VLOOKUP('Données projet'!$B$10,Paramètres!$A$1:$I$89,5,0)</f>
        <v>85.063680000000019</v>
      </c>
      <c r="AK39" s="13">
        <f t="shared" si="35"/>
        <v>23.370823250097935</v>
      </c>
      <c r="AL39" s="20">
        <f t="shared" si="4"/>
        <v>188.85675982725391</v>
      </c>
      <c r="AM39" s="59">
        <f t="shared" si="5"/>
        <v>482.19009316058725</v>
      </c>
      <c r="AN39" s="59">
        <f ca="1">AVERAGE(OFFSET($AM$3,0,0,'Données projet'!$E$10+1,1))-AVERAGE(OFFSET($H$3,0,0,'Données projet'!$E$10+1,1))</f>
        <v>206.53345322763442</v>
      </c>
      <c r="AO39" s="59">
        <f t="shared" si="36"/>
        <v>96.700732426680929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</v>
      </c>
      <c r="BD39" s="12">
        <f>IF('Données projet'!$A$88&gt;35,BD38+BC39-BL38,IF(A39&lt;'Données projet'!$A$88,$BA$205^A39,IF(A39='Données projet'!$A$88,'Données projet'!$B$88,BD38+BC39-BL38)))</f>
        <v>159</v>
      </c>
      <c r="BE39" s="13">
        <f>BD39*VLOOKUP('Données projet'!$B$11,Paramètres!$A$1:$I$89,3,0)*VLOOKUP('Données projet'!$B$11,Paramètres!$A$1:$I$89,5,0)</f>
        <v>133.94159999999999</v>
      </c>
      <c r="BF39" s="13">
        <f t="shared" si="37"/>
        <v>34.905558014330531</v>
      </c>
      <c r="BG39" s="20">
        <f t="shared" si="7"/>
        <v>294.07546687495898</v>
      </c>
      <c r="BH39" s="59">
        <f t="shared" si="8"/>
        <v>587.40880020829229</v>
      </c>
      <c r="BI39" s="59">
        <f ca="1">AVERAGE(OFFSET($BH$3,0,0,'Données projet'!$E$11+1,1))-AVERAGE(OFFSET($H$3,0,0,'Données projet'!$E$11+1,1))</f>
        <v>328.34986205643321</v>
      </c>
      <c r="BJ39" s="59">
        <f t="shared" si="38"/>
        <v>251.60894449147008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5.5824182695652969</v>
      </c>
      <c r="BS39" s="22">
        <f t="shared" si="9"/>
        <v>5.5824182695652969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</v>
      </c>
      <c r="BY39" s="12">
        <f>IF('Données projet'!$A$114&gt;35,BY38+BX39-CG38,IF(A39&lt;'Données projet'!$A$114,$BV$205^A39,IF(A39='Données projet'!$A$114,'Données projet'!$B$114,BY38+BX39-CG38)))</f>
        <v>159</v>
      </c>
      <c r="BZ39" s="13">
        <f>BY39*VLOOKUP('Données projet'!$B$12,Paramètres!$A$1:$I$89,3,0)*VLOOKUP('Données projet'!$B$12,Paramètres!$A$1:$I$89,5,0)</f>
        <v>143.86320000000001</v>
      </c>
      <c r="CA39" s="13">
        <f t="shared" si="39"/>
        <v>37.180603445028773</v>
      </c>
      <c r="CB39" s="20">
        <f t="shared" si="10"/>
        <v>315.31795766675845</v>
      </c>
      <c r="CC39" s="59">
        <f t="shared" si="11"/>
        <v>608.65129100009176</v>
      </c>
      <c r="CD39" s="59">
        <f ca="1">AVERAGE(OFFSET($CC$3,0,0,'Données projet'!$E$12+1,1))-AVERAGE(OFFSET($H$3,0,0,'Données projet'!$E$12+1,1))</f>
        <v>360.44607552967267</v>
      </c>
      <c r="CE39" s="59">
        <f t="shared" si="40"/>
        <v>271.54361159160169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5.9959307339775378</v>
      </c>
      <c r="CN39" s="22">
        <f t="shared" si="12"/>
        <v>5.9959307339775378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14.359999999999991</v>
      </c>
      <c r="CT39" s="12">
        <f>IF('Données projet'!$A$140&gt;35,CT38+CS39-DB38,IF(A39&lt;'Données projet'!$A$140,$CQ$205^A39,IF(A39='Données projet'!$A$140,'Données projet'!$B$140,CT38+CS39-DB38)))</f>
        <v>552.86</v>
      </c>
      <c r="CU39" s="17">
        <f>CT39*VLOOKUP('Données projet'!$B$13,Paramètres!$A$1:$I$89,3,0)*VLOOKUP('Données projet'!$B$13,Paramètres!$A$1:$I$89,5,0)</f>
        <v>278.57509679999998</v>
      </c>
      <c r="CV39" s="13">
        <f t="shared" si="41"/>
        <v>66.665796518975966</v>
      </c>
      <c r="CW39" s="20">
        <f t="shared" si="13"/>
        <v>601.29455586388315</v>
      </c>
      <c r="CX39" s="59">
        <f t="shared" si="14"/>
        <v>894.62788919721652</v>
      </c>
      <c r="CY39" s="59">
        <f ca="1">AVERAGE(OFFSET($CX$3,0,0,'Données projet'!$E$13+1,1))-AVERAGE(OFFSET($H$3,0,0,'Données projet'!$E$13+1,1))</f>
        <v>309.89554000341082</v>
      </c>
      <c r="CZ39" s="59">
        <f t="shared" si="42"/>
        <v>465.9235824539021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9.8000000000000007</v>
      </c>
      <c r="N40" s="13">
        <f>IF('Données projet'!$A$36&gt;35,N39+M40-V39,IF(A40&lt;'Données projet'!$A$36,$K$205^A40,IF(A40='Données projet'!$A$36,'Données projet'!$B$36,N39+M40-V39)))</f>
        <v>176.60000000000005</v>
      </c>
      <c r="O40" s="13">
        <f>N40*VLOOKUP('Données projet'!$B$9,Paramètres!$A$1:$I$89,3,0)*VLOOKUP('Données projet'!$B$9,Paramètres!$A$1:$I$89,5,0)</f>
        <v>154.27776000000009</v>
      </c>
      <c r="P40" s="13">
        <f t="shared" si="33"/>
        <v>39.549125277353333</v>
      </c>
      <c r="Q40" s="20">
        <f t="shared" si="53"/>
        <v>337.58182519139058</v>
      </c>
      <c r="R40" s="59">
        <f t="shared" si="0"/>
        <v>630.91515852472389</v>
      </c>
      <c r="S40" s="59">
        <f ca="1">AVERAGE(OFFSET($R$3,0,0,'Données projet'!$E$9+1,1))-AVERAGE(OFFSET($H$3,0,0,'Données projet'!$E$9+1,1))</f>
        <v>281.82797419088109</v>
      </c>
      <c r="T40" s="59">
        <f t="shared" si="34"/>
        <v>298.98873283425371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6.386258003259293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7.6929358739794953</v>
      </c>
      <c r="AC40" s="22">
        <f t="shared" si="3"/>
        <v>14.079193877238788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5.2</v>
      </c>
      <c r="AI40" s="13">
        <f>IF('Données projet'!$A$62&gt;35,AI39+AH40-AQ39,IF(A40&lt;'Données projet'!$A$62,$AF$205^A40,IF(A40='Données projet'!$A$62,'Données projet'!$B$62,AI39+AH40-AQ39)))</f>
        <v>90.40000000000002</v>
      </c>
      <c r="AJ40" s="13">
        <f>AI40*VLOOKUP('Données projet'!$B$10,Paramètres!$A$1:$I$89,3,0)*VLOOKUP('Données projet'!$B$10,Paramètres!$A$1:$I$89,5,0)</f>
        <v>90.255360000000024</v>
      </c>
      <c r="AK40" s="13">
        <f t="shared" si="35"/>
        <v>24.626801517594394</v>
      </c>
      <c r="AL40" s="20">
        <f t="shared" si="4"/>
        <v>200.08643130981031</v>
      </c>
      <c r="AM40" s="59">
        <f t="shared" si="5"/>
        <v>493.41976464314359</v>
      </c>
      <c r="AN40" s="59">
        <f ca="1">AVERAGE(OFFSET($AM$3,0,0,'Données projet'!$E$10+1,1))-AVERAGE(OFFSET($H$3,0,0,'Données projet'!$E$10+1,1))</f>
        <v>206.53345322763442</v>
      </c>
      <c r="AO40" s="59">
        <f t="shared" si="36"/>
        <v>96.700732426680929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</v>
      </c>
      <c r="BD40" s="12">
        <f>IF('Données projet'!$A$88&gt;35,BD39+BC40-BL39,IF(A40&lt;'Données projet'!$A$88,$BA$205^A40,IF(A40='Données projet'!$A$88,'Données projet'!$B$88,BD39+BC40-BL39)))</f>
        <v>170</v>
      </c>
      <c r="BE40" s="13">
        <f>BD40*VLOOKUP('Données projet'!$B$11,Paramètres!$A$1:$I$89,3,0)*VLOOKUP('Données projet'!$B$11,Paramètres!$A$1:$I$89,5,0)</f>
        <v>143.20800000000003</v>
      </c>
      <c r="BF40" s="13">
        <f t="shared" si="37"/>
        <v>37.030941422835831</v>
      </c>
      <c r="BG40" s="20">
        <f t="shared" si="7"/>
        <v>313.91615631143912</v>
      </c>
      <c r="BH40" s="59">
        <f t="shared" si="8"/>
        <v>607.24948964477244</v>
      </c>
      <c r="BI40" s="59">
        <f ca="1">AVERAGE(OFFSET($BH$3,0,0,'Données projet'!$E$11+1,1))-AVERAGE(OFFSET($H$3,0,0,'Données projet'!$E$11+1,1))</f>
        <v>328.34986205643321</v>
      </c>
      <c r="BJ40" s="59">
        <f t="shared" si="38"/>
        <v>251.60894449147008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3.9473658138292937</v>
      </c>
      <c r="BS40" s="22">
        <f t="shared" si="9"/>
        <v>3.9473658138292937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</v>
      </c>
      <c r="BY40" s="12">
        <f>IF('Données projet'!$A$114&gt;35,BY39+BX40-CG39,IF(A40&lt;'Données projet'!$A$114,$BV$205^A40,IF(A40='Données projet'!$A$114,'Données projet'!$B$114,BY39+BX40-CG39)))</f>
        <v>170</v>
      </c>
      <c r="BZ40" s="13">
        <f>BY40*VLOOKUP('Données projet'!$B$12,Paramètres!$A$1:$I$89,3,0)*VLOOKUP('Données projet'!$B$12,Paramètres!$A$1:$I$89,5,0)</f>
        <v>153.816</v>
      </c>
      <c r="CA40" s="13">
        <f t="shared" si="39"/>
        <v>39.444513325737063</v>
      </c>
      <c r="CB40" s="20">
        <f t="shared" si="10"/>
        <v>336.59539404232538</v>
      </c>
      <c r="CC40" s="59">
        <f t="shared" si="11"/>
        <v>629.9287273756587</v>
      </c>
      <c r="CD40" s="59">
        <f ca="1">AVERAGE(OFFSET($CC$3,0,0,'Données projet'!$E$12+1,1))-AVERAGE(OFFSET($H$3,0,0,'Données projet'!$E$12+1,1))</f>
        <v>360.44607552967267</v>
      </c>
      <c r="CE40" s="59">
        <f t="shared" si="40"/>
        <v>271.54361159160169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4.2397632815203501</v>
      </c>
      <c r="CN40" s="22">
        <f t="shared" si="12"/>
        <v>4.2397632815203501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14.359999999999991</v>
      </c>
      <c r="CT40" s="12">
        <f>IF('Données projet'!$A$140&gt;35,CT39+CS40-DB39,IF(A40&lt;'Données projet'!$A$140,$CQ$205^A40,IF(A40='Données projet'!$A$140,'Données projet'!$B$140,CT39+CS40-DB39)))</f>
        <v>567.22</v>
      </c>
      <c r="CU40" s="17">
        <f>CT40*VLOOKUP('Données projet'!$B$13,Paramètres!$A$1:$I$89,3,0)*VLOOKUP('Données projet'!$B$13,Paramètres!$A$1:$I$89,5,0)</f>
        <v>285.81081360000002</v>
      </c>
      <c r="CV40" s="13">
        <f t="shared" si="41"/>
        <v>68.193528974052953</v>
      </c>
      <c r="CW40" s="20">
        <f t="shared" si="13"/>
        <v>616.55756331647569</v>
      </c>
      <c r="CX40" s="59">
        <f t="shared" si="14"/>
        <v>909.89089664980906</v>
      </c>
      <c r="CY40" s="59">
        <f ca="1">AVERAGE(OFFSET($CX$3,0,0,'Données projet'!$E$13+1,1))-AVERAGE(OFFSET($H$3,0,0,'Données projet'!$E$13+1,1))</f>
        <v>309.89554000341082</v>
      </c>
      <c r="CZ40" s="59">
        <f t="shared" si="42"/>
        <v>465.9235824539021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9.8000000000000007</v>
      </c>
      <c r="N41" s="13">
        <f>IF('Données projet'!$A$36&gt;35,N40+M41-V40,IF(A41&lt;'Données projet'!$A$36,$K$205^A41,IF(A41='Données projet'!$A$36,'Données projet'!$B$36,N40+M41-V40)))</f>
        <v>186.40000000000006</v>
      </c>
      <c r="O41" s="13">
        <f>N41*VLOOKUP('Données projet'!$B$9,Paramètres!$A$1:$I$89,3,0)*VLOOKUP('Données projet'!$B$9,Paramètres!$A$1:$I$89,5,0)</f>
        <v>162.83904000000007</v>
      </c>
      <c r="P41" s="13">
        <f t="shared" si="33"/>
        <v>41.482211836000111</v>
      </c>
      <c r="Q41" s="20">
        <f t="shared" si="53"/>
        <v>355.85951361436696</v>
      </c>
      <c r="R41" s="59">
        <f t="shared" si="0"/>
        <v>649.19284694770022</v>
      </c>
      <c r="S41" s="59">
        <f ca="1">AVERAGE(OFFSET($R$3,0,0,'Données projet'!$E$9+1,1))-AVERAGE(OFFSET($H$3,0,0,'Données projet'!$E$9+1,1))</f>
        <v>281.82797419088109</v>
      </c>
      <c r="T41" s="59">
        <f t="shared" si="34"/>
        <v>298.98873283425371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6.2610273790481381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5.4397271237241611</v>
      </c>
      <c r="AC41" s="22">
        <f t="shared" si="3"/>
        <v>11.700754502772298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5.2</v>
      </c>
      <c r="AI41" s="13">
        <f>IF('Données projet'!$A$62&gt;35,AI40+AH41-AQ40,IF(A41&lt;'Données projet'!$A$62,$AF$205^A41,IF(A41='Données projet'!$A$62,'Données projet'!$B$62,AI40+AH41-AQ40)))</f>
        <v>95.600000000000023</v>
      </c>
      <c r="AJ41" s="13">
        <f>AI41*VLOOKUP('Données projet'!$B$10,Paramètres!$A$1:$I$89,3,0)*VLOOKUP('Données projet'!$B$10,Paramètres!$A$1:$I$89,5,0)</f>
        <v>95.44704000000003</v>
      </c>
      <c r="AK41" s="13">
        <f t="shared" si="35"/>
        <v>25.874393497141583</v>
      </c>
      <c r="AL41" s="20">
        <f t="shared" si="4"/>
        <v>211.30149667418831</v>
      </c>
      <c r="AM41" s="59">
        <f t="shared" si="5"/>
        <v>504.6348300075216</v>
      </c>
      <c r="AN41" s="59">
        <f ca="1">AVERAGE(OFFSET($AM$3,0,0,'Données projet'!$E$10+1,1))-AVERAGE(OFFSET($H$3,0,0,'Données projet'!$E$10+1,1))</f>
        <v>206.53345322763442</v>
      </c>
      <c r="AO41" s="59">
        <f t="shared" si="36"/>
        <v>96.700732426680929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</v>
      </c>
      <c r="BD41" s="12">
        <f>IF('Données projet'!$A$88&gt;35,BD40+BC41-BL40,IF(A41&lt;'Données projet'!$A$88,$BA$205^A41,IF(A41='Données projet'!$A$88,'Données projet'!$B$88,BD40+BC41-BL40)))</f>
        <v>181</v>
      </c>
      <c r="BE41" s="13">
        <f>BD41*VLOOKUP('Données projet'!$B$11,Paramètres!$A$1:$I$89,3,0)*VLOOKUP('Données projet'!$B$11,Paramètres!$A$1:$I$89,5,0)</f>
        <v>152.47440000000003</v>
      </c>
      <c r="BF41" s="13">
        <f t="shared" si="37"/>
        <v>39.140365323908171</v>
      </c>
      <c r="BG41" s="20">
        <f t="shared" si="7"/>
        <v>333.72904960580678</v>
      </c>
      <c r="BH41" s="59">
        <f t="shared" si="8"/>
        <v>627.06238293914009</v>
      </c>
      <c r="BI41" s="59">
        <f ca="1">AVERAGE(OFFSET($BH$3,0,0,'Données projet'!$E$11+1,1))-AVERAGE(OFFSET($H$3,0,0,'Données projet'!$E$11+1,1))</f>
        <v>328.34986205643321</v>
      </c>
      <c r="BJ41" s="59">
        <f t="shared" si="38"/>
        <v>251.60894449147008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2.7912091347826489</v>
      </c>
      <c r="BS41" s="22">
        <f t="shared" si="9"/>
        <v>2.7912091347826489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</v>
      </c>
      <c r="BY41" s="12">
        <f>IF('Données projet'!$A$114&gt;35,BY40+BX41-CG40,IF(A41&lt;'Données projet'!$A$114,$BV$205^A41,IF(A41='Données projet'!$A$114,'Données projet'!$B$114,BY40+BX41-CG40)))</f>
        <v>181</v>
      </c>
      <c r="BZ41" s="13">
        <f>BY41*VLOOKUP('Données projet'!$B$12,Paramètres!$A$1:$I$89,3,0)*VLOOKUP('Données projet'!$B$12,Paramètres!$A$1:$I$89,5,0)</f>
        <v>163.7688</v>
      </c>
      <c r="CA41" s="13">
        <f t="shared" si="39"/>
        <v>41.691423503509803</v>
      </c>
      <c r="CB41" s="20">
        <f t="shared" si="10"/>
        <v>357.84322260194625</v>
      </c>
      <c r="CC41" s="59">
        <f t="shared" si="11"/>
        <v>651.17655593527957</v>
      </c>
      <c r="CD41" s="59">
        <f ca="1">AVERAGE(OFFSET($CC$3,0,0,'Données projet'!$E$12+1,1))-AVERAGE(OFFSET($H$3,0,0,'Données projet'!$E$12+1,1))</f>
        <v>360.44607552967267</v>
      </c>
      <c r="CE41" s="59">
        <f t="shared" si="40"/>
        <v>271.54361159160169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2.9979653669887689</v>
      </c>
      <c r="CN41" s="22">
        <f t="shared" si="12"/>
        <v>2.9979653669887689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14.359999999999991</v>
      </c>
      <c r="CT41" s="12">
        <f>IF('Données projet'!$A$140&gt;35,CT40+CS41-DB40,IF(A41&lt;'Données projet'!$A$140,$CQ$205^A41,IF(A41='Données projet'!$A$140,'Données projet'!$B$140,CT40+CS41-DB40)))</f>
        <v>581.58000000000004</v>
      </c>
      <c r="CU41" s="17">
        <f>CT41*VLOOKUP('Données projet'!$B$13,Paramètres!$A$1:$I$89,3,0)*VLOOKUP('Données projet'!$B$13,Paramètres!$A$1:$I$89,5,0)</f>
        <v>293.04653040000005</v>
      </c>
      <c r="CV41" s="13">
        <f t="shared" si="41"/>
        <v>69.71676557223384</v>
      </c>
      <c r="CW41" s="20">
        <f t="shared" si="13"/>
        <v>631.81274048497403</v>
      </c>
      <c r="CX41" s="59">
        <f t="shared" si="14"/>
        <v>925.14607381830729</v>
      </c>
      <c r="CY41" s="59">
        <f ca="1">AVERAGE(OFFSET($CX$3,0,0,'Données projet'!$E$13+1,1))-AVERAGE(OFFSET($H$3,0,0,'Données projet'!$E$13+1,1))</f>
        <v>309.89554000341082</v>
      </c>
      <c r="CZ41" s="59">
        <f t="shared" si="42"/>
        <v>465.9235824539021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9.8000000000000007</v>
      </c>
      <c r="N42" s="13">
        <f>IF('Données projet'!$A$36&gt;35,N41+M42-V41,IF(A42&lt;'Données projet'!$A$36,$K$205^A42,IF(A42='Données projet'!$A$36,'Données projet'!$B$36,N41+M42-V41)))</f>
        <v>196.20000000000007</v>
      </c>
      <c r="O42" s="13">
        <f>N42*VLOOKUP('Données projet'!$B$9,Paramètres!$A$1:$I$89,3,0)*VLOOKUP('Données projet'!$B$9,Paramètres!$A$1:$I$89,5,0)</f>
        <v>171.40032000000011</v>
      </c>
      <c r="P42" s="13">
        <f t="shared" si="33"/>
        <v>43.40349878862115</v>
      </c>
      <c r="Q42" s="20">
        <f t="shared" si="53"/>
        <v>374.11665105684864</v>
      </c>
      <c r="R42" s="59">
        <f t="shared" si="0"/>
        <v>667.44998439018195</v>
      </c>
      <c r="S42" s="59">
        <f ca="1">AVERAGE(OFFSET($R$3,0,0,'Données projet'!$E$9+1,1))-AVERAGE(OFFSET($H$3,0,0,'Données projet'!$E$9+1,1))</f>
        <v>281.82797419088109</v>
      </c>
      <c r="T42" s="59">
        <f t="shared" si="34"/>
        <v>298.98873283425371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6.1382524509946252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3.8464679369897481</v>
      </c>
      <c r="AC42" s="22">
        <f t="shared" si="3"/>
        <v>9.9847203879843729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5.2</v>
      </c>
      <c r="AI42" s="13">
        <f>IF('Données projet'!$A$62&gt;35,AI41+AH42-AQ41,IF(A42&lt;'Données projet'!$A$62,$AF$205^A42,IF(A42='Données projet'!$A$62,'Données projet'!$B$62,AI41+AH42-AQ41)))</f>
        <v>100.80000000000003</v>
      </c>
      <c r="AJ42" s="13">
        <f>AI42*VLOOKUP('Données projet'!$B$10,Paramètres!$A$1:$I$89,3,0)*VLOOKUP('Données projet'!$B$10,Paramètres!$A$1:$I$89,5,0)</f>
        <v>100.63872000000002</v>
      </c>
      <c r="AK42" s="13">
        <f t="shared" si="35"/>
        <v>27.114107349094599</v>
      </c>
      <c r="AL42" s="20">
        <f t="shared" si="4"/>
        <v>222.50284096633979</v>
      </c>
      <c r="AM42" s="59">
        <f t="shared" si="5"/>
        <v>515.83617429967308</v>
      </c>
      <c r="AN42" s="59">
        <f ca="1">AVERAGE(OFFSET($AM$3,0,0,'Données projet'!$E$10+1,1))-AVERAGE(OFFSET($H$3,0,0,'Données projet'!$E$10+1,1))</f>
        <v>206.53345322763442</v>
      </c>
      <c r="AO42" s="59">
        <f t="shared" si="36"/>
        <v>96.700732426680929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</v>
      </c>
      <c r="BD42" s="12">
        <f>IF('Données projet'!$A$88&gt;35,BD41+BC42-BL41,IF(A42&lt;'Données projet'!$A$88,$BA$205^A42,IF(A42='Données projet'!$A$88,'Données projet'!$B$88,BD41+BC42-BL41)))</f>
        <v>192</v>
      </c>
      <c r="BE42" s="13">
        <f>BD42*VLOOKUP('Données projet'!$B$11,Paramètres!$A$1:$I$89,3,0)*VLOOKUP('Données projet'!$B$11,Paramètres!$A$1:$I$89,5,0)</f>
        <v>161.74080000000001</v>
      </c>
      <c r="BF42" s="13">
        <f t="shared" si="37"/>
        <v>41.234910079352424</v>
      </c>
      <c r="BG42" s="20">
        <f t="shared" si="7"/>
        <v>353.51602838820548</v>
      </c>
      <c r="BH42" s="59">
        <f t="shared" si="8"/>
        <v>646.8493617215388</v>
      </c>
      <c r="BI42" s="59">
        <f ca="1">AVERAGE(OFFSET($BH$3,0,0,'Données projet'!$E$11+1,1))-AVERAGE(OFFSET($H$3,0,0,'Données projet'!$E$11+1,1))</f>
        <v>328.34986205643321</v>
      </c>
      <c r="BJ42" s="59">
        <f t="shared" si="38"/>
        <v>251.60894449147008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1.9736829069146473</v>
      </c>
      <c r="BS42" s="22">
        <f t="shared" si="9"/>
        <v>1.9736829069146473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</v>
      </c>
      <c r="BY42" s="12">
        <f>IF('Données projet'!$A$114&gt;35,BY41+BX42-CG41,IF(A42&lt;'Données projet'!$A$114,$BV$205^A42,IF(A42='Données projet'!$A$114,'Données projet'!$B$114,BY41+BX42-CG41)))</f>
        <v>192</v>
      </c>
      <c r="BZ42" s="13">
        <f>BY42*VLOOKUP('Données projet'!$B$12,Paramètres!$A$1:$I$89,3,0)*VLOOKUP('Données projet'!$B$12,Paramètres!$A$1:$I$89,5,0)</f>
        <v>173.7216</v>
      </c>
      <c r="CA42" s="13">
        <f t="shared" si="39"/>
        <v>43.922484755075111</v>
      </c>
      <c r="CB42" s="20">
        <f t="shared" si="10"/>
        <v>379.06344761508916</v>
      </c>
      <c r="CC42" s="59">
        <f t="shared" si="11"/>
        <v>672.39678094842247</v>
      </c>
      <c r="CD42" s="59">
        <f ca="1">AVERAGE(OFFSET($CC$3,0,0,'Données projet'!$E$12+1,1))-AVERAGE(OFFSET($H$3,0,0,'Données projet'!$E$12+1,1))</f>
        <v>360.44607552967267</v>
      </c>
      <c r="CE42" s="59">
        <f t="shared" si="40"/>
        <v>271.54361159160169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2.119881640760175</v>
      </c>
      <c r="CN42" s="22">
        <f t="shared" si="12"/>
        <v>2.119881640760175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14.359999999999991</v>
      </c>
      <c r="CT42" s="12">
        <f>IF('Données projet'!$A$140&gt;35,CT41+CS42-DB41,IF(A42&lt;'Données projet'!$A$140,$CQ$205^A42,IF(A42='Données projet'!$A$140,'Données projet'!$B$140,CT41+CS42-DB41)))</f>
        <v>595.94000000000005</v>
      </c>
      <c r="CU42" s="17">
        <f>CT42*VLOOKUP('Données projet'!$B$13,Paramètres!$A$1:$I$89,3,0)*VLOOKUP('Données projet'!$B$13,Paramètres!$A$1:$I$89,5,0)</f>
        <v>300.28224720000003</v>
      </c>
      <c r="CV42" s="13">
        <f t="shared" si="41"/>
        <v>71.235630091274629</v>
      </c>
      <c r="CW42" s="20">
        <f t="shared" si="13"/>
        <v>647.06030294897005</v>
      </c>
      <c r="CX42" s="59">
        <f t="shared" si="14"/>
        <v>940.39363628230331</v>
      </c>
      <c r="CY42" s="59">
        <f ca="1">AVERAGE(OFFSET($CX$3,0,0,'Données projet'!$E$13+1,1))-AVERAGE(OFFSET($H$3,0,0,'Données projet'!$E$13+1,1))</f>
        <v>309.89554000341082</v>
      </c>
      <c r="CZ42" s="59">
        <f t="shared" si="42"/>
        <v>465.9235824539021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206</v>
      </c>
      <c r="L43" s="12">
        <f>VLOOKUP(A43,'Données projet'!$A$35:$I$55,9,0)</f>
        <v>9.8000000000000007</v>
      </c>
      <c r="M43" s="12">
        <f t="array" ref="M43">INDEX(L:L,MIN(IF(ISNUMBER(L43:L239),ROW(L43:L239),"")))</f>
        <v>9.8000000000000007</v>
      </c>
      <c r="N43" s="13">
        <f>IF('Données projet'!$A$36&gt;35,N42+M43-V42,IF(A43&lt;'Données projet'!$A$36,$K$205^A43,IF(A43='Données projet'!$A$36,'Données projet'!$B$36,N42+M43-V42)))</f>
        <v>206.00000000000009</v>
      </c>
      <c r="O43" s="13">
        <f>N43*VLOOKUP('Données projet'!$B$9,Paramètres!$A$1:$I$89,3,0)*VLOOKUP('Données projet'!$B$9,Paramètres!$A$1:$I$89,5,0)</f>
        <v>179.96160000000009</v>
      </c>
      <c r="P43" s="13">
        <f t="shared" si="33"/>
        <v>45.313642767960104</v>
      </c>
      <c r="Q43" s="20">
        <f t="shared" si="53"/>
        <v>392.35438115419737</v>
      </c>
      <c r="R43" s="59">
        <f t="shared" si="0"/>
        <v>685.68771448753068</v>
      </c>
      <c r="S43" s="59">
        <f ca="1">AVERAGE(OFFSET($R$3,0,0,'Données projet'!$E$9+1,1))-AVERAGE(OFFSET($H$3,0,0,'Données projet'!$E$9+1,1))</f>
        <v>281.82797419088109</v>
      </c>
      <c r="T43" s="59">
        <f t="shared" si="34"/>
        <v>298.98873283425371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31</v>
      </c>
      <c r="W43" s="16">
        <f>IF(ISNA(VLOOKUP(A43,'Données projet'!$A$35:$I$55,5,0)),0%,VLOOKUP(A43,'Données projet'!$A$35:$I$55,5,0)*VLOOKUP('Données projet'!$B$9,Paramètres!$A$1:$I$89,7,0))</f>
        <v>0.25800000000000001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0.3</v>
      </c>
      <c r="Z43" s="21">
        <f>EXP(-LN(2)/35)*Z42+(1-EXP(-LN(2)/35))/(LN(2)/35)*V43*W43*VLOOKUP('Données projet'!$B$9,Paramètres!$A$1:$I$89,3,0)*0.475*44/12</f>
        <v>13.741864975027694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10.385529109035266</v>
      </c>
      <c r="AC43" s="22">
        <f t="shared" si="3"/>
        <v>24.12739408406296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106</v>
      </c>
      <c r="AG43" s="12">
        <f>VLOOKUP(A43,'Données projet'!$A$61:$I$81,9,0)</f>
        <v>5.2</v>
      </c>
      <c r="AH43" s="12">
        <f t="array" ref="AH43">INDEX(AG:AG,MIN(IF(ISNUMBER(AG43:AG239),ROW(AG43:AG239),"")))</f>
        <v>5.2</v>
      </c>
      <c r="AI43" s="13">
        <f>IF('Données projet'!$A$62&gt;35,AI42+AH43-AQ42,IF(A43&lt;'Données projet'!$A$62,$AF$205^A43,IF(A43='Données projet'!$A$62,'Données projet'!$B$62,AI42+AH43-AQ42)))</f>
        <v>106.00000000000003</v>
      </c>
      <c r="AJ43" s="13">
        <f>AI43*VLOOKUP('Données projet'!$B$10,Paramètres!$A$1:$I$89,3,0)*VLOOKUP('Données projet'!$B$10,Paramètres!$A$1:$I$89,5,0)</f>
        <v>105.83040000000003</v>
      </c>
      <c r="AK43" s="13">
        <f t="shared" si="35"/>
        <v>28.346395843226233</v>
      </c>
      <c r="AL43" s="20">
        <f t="shared" si="4"/>
        <v>233.69125276028578</v>
      </c>
      <c r="AM43" s="59">
        <f t="shared" si="5"/>
        <v>527.02458609361906</v>
      </c>
      <c r="AN43" s="59">
        <f ca="1">AVERAGE(OFFSET($AM$3,0,0,'Données projet'!$E$10+1,1))-AVERAGE(OFFSET($H$3,0,0,'Données projet'!$E$10+1,1))</f>
        <v>206.53345322763442</v>
      </c>
      <c r="AO43" s="59">
        <f t="shared" si="36"/>
        <v>96.700732426680929</v>
      </c>
      <c r="AP43" s="15">
        <f>IF(ISNA(VLOOKUP(A43,'Données projet'!$A$61:$I$81,3,0)),0,VLOOKUP(A43,'Données projet'!$A$61:$I$81,3,0))</f>
        <v>2</v>
      </c>
      <c r="AQ43" s="15">
        <f>IF(ISNA(VLOOKUP(A43,'Données projet'!$A$61:$I$81,4,0)),0,VLOOKUP(A43,'Données projet'!$A$61:$I$81,4,0))</f>
        <v>27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1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25.434466331634528</v>
      </c>
      <c r="AX43" s="21">
        <f t="shared" si="6"/>
        <v>25.434466331634528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203</v>
      </c>
      <c r="BB43" s="12">
        <f>VLOOKUP(A43,'Données projet'!$A$87:$I$107,9,0)</f>
        <v>11</v>
      </c>
      <c r="BC43" s="12">
        <f t="array" ref="BC43">INDEX(BB:BB,MIN(IF(ISNUMBER(BB43:BB239),ROW(BB43:BB239),"")))</f>
        <v>11</v>
      </c>
      <c r="BD43" s="12">
        <f>IF('Données projet'!$A$88&gt;35,BD42+BC43-BL42,IF(A43&lt;'Données projet'!$A$88,$BA$205^A43,IF(A43='Données projet'!$A$88,'Données projet'!$B$88,BD42+BC43-BL42)))</f>
        <v>203</v>
      </c>
      <c r="BE43" s="13">
        <f>BD43*VLOOKUP('Données projet'!$B$11,Paramètres!$A$1:$I$89,3,0)*VLOOKUP('Données projet'!$B$11,Paramètres!$A$1:$I$89,5,0)</f>
        <v>171.00720000000001</v>
      </c>
      <c r="BF43" s="13">
        <f t="shared" si="37"/>
        <v>43.315525267338089</v>
      </c>
      <c r="BG43" s="20">
        <f t="shared" si="7"/>
        <v>373.27874650728057</v>
      </c>
      <c r="BH43" s="59">
        <f t="shared" si="8"/>
        <v>666.61207984061389</v>
      </c>
      <c r="BI43" s="59">
        <f ca="1">AVERAGE(OFFSET($BH$3,0,0,'Données projet'!$E$11+1,1))-AVERAGE(OFFSET($H$3,0,0,'Données projet'!$E$11+1,1))</f>
        <v>328.34986205643321</v>
      </c>
      <c r="BJ43" s="59">
        <f t="shared" si="38"/>
        <v>251.60894449147008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56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1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45.905920647751756</v>
      </c>
      <c r="BS43" s="22">
        <f t="shared" si="9"/>
        <v>45.905920647751756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203</v>
      </c>
      <c r="BW43" s="12">
        <f>VLOOKUP(A43,'Données projet'!$A$113:$I$133,9,0)</f>
        <v>11</v>
      </c>
      <c r="BX43" s="12">
        <f t="array" ref="BX43">INDEX(BW:BW,MIN(IF(ISNUMBER(BW43:BW239),ROW(BW43:BW239),"")))</f>
        <v>11</v>
      </c>
      <c r="BY43" s="12">
        <f>IF('Données projet'!$A$114&gt;35,BY42+BX43-CG42,IF(A43&lt;'Données projet'!$A$114,$BV$205^A43,IF(A43='Données projet'!$A$114,'Données projet'!$B$114,BY42+BX43-CG42)))</f>
        <v>203</v>
      </c>
      <c r="BZ43" s="13">
        <f>BY43*VLOOKUP('Données projet'!$B$12,Paramètres!$A$1:$I$89,3,0)*VLOOKUP('Données projet'!$B$12,Paramètres!$A$1:$I$89,5,0)</f>
        <v>183.67439999999999</v>
      </c>
      <c r="CA43" s="13">
        <f t="shared" si="39"/>
        <v>46.138708549418673</v>
      </c>
      <c r="CB43" s="20">
        <f t="shared" si="10"/>
        <v>400.25783072357081</v>
      </c>
      <c r="CC43" s="59">
        <f t="shared" si="11"/>
        <v>693.59116405690406</v>
      </c>
      <c r="CD43" s="59">
        <f ca="1">AVERAGE(OFFSET($CC$3,0,0,'Données projet'!$E$12+1,1))-AVERAGE(OFFSET($H$3,0,0,'Données projet'!$E$12+1,1))</f>
        <v>360.44607552967267</v>
      </c>
      <c r="CE43" s="59">
        <f t="shared" si="40"/>
        <v>271.54361159160169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56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1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49.306359214251877</v>
      </c>
      <c r="CN43" s="22">
        <f t="shared" si="12"/>
        <v>49.306359214251877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610.29999999999995</v>
      </c>
      <c r="CR43" s="12">
        <f>VLOOKUP(A43,'Données projet'!$A$139:$I$159,9,0)</f>
        <v>14.359999999999991</v>
      </c>
      <c r="CS43" s="12">
        <f t="array" ref="CS43">INDEX(CR:CR,MIN(IF(ISNUMBER(CR43:CR239),ROW(CR43:CR239),"")))</f>
        <v>14.359999999999991</v>
      </c>
      <c r="CT43" s="12">
        <f>IF('Données projet'!$A$140&gt;35,CT42+CS43-DB42,IF(A43&lt;'Données projet'!$A$140,$CQ$205^A43,IF(A43='Données projet'!$A$140,'Données projet'!$B$140,CT42+CS43-DB42)))</f>
        <v>610.30000000000007</v>
      </c>
      <c r="CU43" s="17">
        <f>CT43*VLOOKUP('Données projet'!$B$13,Paramètres!$A$1:$I$89,3,0)*VLOOKUP('Données projet'!$B$13,Paramètres!$A$1:$I$89,5,0)</f>
        <v>307.51796400000006</v>
      </c>
      <c r="CV43" s="13">
        <f t="shared" si="41"/>
        <v>72.750240003570681</v>
      </c>
      <c r="CW43" s="20">
        <f t="shared" si="13"/>
        <v>662.30045530621908</v>
      </c>
      <c r="CX43" s="59">
        <f t="shared" si="14"/>
        <v>955.63378863955245</v>
      </c>
      <c r="CY43" s="59">
        <f ca="1">AVERAGE(OFFSET($CX$3,0,0,'Données projet'!$E$13+1,1))-AVERAGE(OFFSET($H$3,0,0,'Données projet'!$E$13+1,1))</f>
        <v>309.89554000341082</v>
      </c>
      <c r="CZ43" s="59">
        <f t="shared" si="42"/>
        <v>465.9235824539021</v>
      </c>
      <c r="DA43" s="15">
        <f>IF(ISNA(VLOOKUP(A43,'Données projet'!$A$139:$I$159,3,0)),0,VLOOKUP(A43,'Données projet'!$A$139:$I$159,3,0))</f>
        <v>8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8.8000000000000007</v>
      </c>
      <c r="N44" s="13">
        <f>IF('Données projet'!$A$36&gt;35,N43+M44-V43,IF(A44&lt;'Données projet'!$A$36,$K$205^A44,IF(A44='Données projet'!$A$36,'Données projet'!$B$36,N43+M44-V43)))</f>
        <v>183.8000000000001</v>
      </c>
      <c r="O44" s="13">
        <f>N44*VLOOKUP('Données projet'!$B$9,Paramètres!$A$1:$I$89,3,0)*VLOOKUP('Données projet'!$B$9,Paramètres!$A$1:$I$89,5,0)</f>
        <v>160.56768000000011</v>
      </c>
      <c r="P44" s="13">
        <f t="shared" si="33"/>
        <v>40.970530810309917</v>
      </c>
      <c r="Q44" s="20">
        <f t="shared" si="53"/>
        <v>351.01238382795663</v>
      </c>
      <c r="R44" s="59">
        <f t="shared" si="0"/>
        <v>644.34571716128994</v>
      </c>
      <c r="S44" s="59">
        <f ca="1">AVERAGE(OFFSET($R$3,0,0,'Données projet'!$E$9+1,1))-AVERAGE(OFFSET($H$3,0,0,'Données projet'!$E$9+1,1))</f>
        <v>281.82797419088109</v>
      </c>
      <c r="T44" s="59">
        <f t="shared" si="34"/>
        <v>298.98873283425371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13.47239538457741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7.34367805920912</v>
      </c>
      <c r="AC44" s="22">
        <f t="shared" si="3"/>
        <v>20.816073443786529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5.6</v>
      </c>
      <c r="AI44" s="13">
        <f>IF('Données projet'!$A$62&gt;35,AI43+AH44-AQ43,IF(A44&lt;'Données projet'!$A$62,$AF$205^A44,IF(A44='Données projet'!$A$62,'Données projet'!$B$62,AI43+AH44-AQ43)))</f>
        <v>84.600000000000023</v>
      </c>
      <c r="AJ44" s="13">
        <f>AI44*VLOOKUP('Données projet'!$B$10,Paramètres!$A$1:$I$89,3,0)*VLOOKUP('Données projet'!$B$10,Paramètres!$A$1:$I$89,5,0)</f>
        <v>84.464640000000017</v>
      </c>
      <c r="AK44" s="13">
        <f t="shared" si="35"/>
        <v>23.225337718637984</v>
      </c>
      <c r="AL44" s="20">
        <f t="shared" si="4"/>
        <v>187.56004452662785</v>
      </c>
      <c r="AM44" s="59">
        <f t="shared" si="5"/>
        <v>480.89337785996116</v>
      </c>
      <c r="AN44" s="59">
        <f ca="1">AVERAGE(OFFSET($AM$3,0,0,'Données projet'!$E$10+1,1))-AVERAGE(OFFSET($H$3,0,0,'Données projet'!$E$10+1,1))</f>
        <v>206.53345322763442</v>
      </c>
      <c r="AO44" s="59">
        <f t="shared" si="36"/>
        <v>96.700732426680929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17.984883618959707</v>
      </c>
      <c r="AX44" s="21">
        <f t="shared" si="6"/>
        <v>17.984883618959707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11.2</v>
      </c>
      <c r="BD44" s="12">
        <f>IF('Données projet'!$A$88&gt;35,BD43+BC44-BL43,IF(A44&lt;'Données projet'!$A$88,$BA$205^A44,IF(A44='Données projet'!$A$88,'Données projet'!$B$88,BD43+BC44-BL43)))</f>
        <v>158.19999999999999</v>
      </c>
      <c r="BE44" s="13">
        <f>BD44*VLOOKUP('Données projet'!$B$11,Paramètres!$A$1:$I$89,3,0)*VLOOKUP('Données projet'!$B$11,Paramètres!$A$1:$I$89,5,0)</f>
        <v>133.26768000000001</v>
      </c>
      <c r="BF44" s="13">
        <f t="shared" si="37"/>
        <v>34.750329840004937</v>
      </c>
      <c r="BG44" s="20">
        <f t="shared" si="7"/>
        <v>292.63136713800856</v>
      </c>
      <c r="BH44" s="59">
        <f t="shared" si="8"/>
        <v>585.96470047134187</v>
      </c>
      <c r="BI44" s="59">
        <f ca="1">AVERAGE(OFFSET($BH$3,0,0,'Données projet'!$E$11+1,1))-AVERAGE(OFFSET($H$3,0,0,'Données projet'!$E$11+1,1))</f>
        <v>328.34986205643321</v>
      </c>
      <c r="BJ44" s="59">
        <f t="shared" si="38"/>
        <v>251.60894449147008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32.460387786636815</v>
      </c>
      <c r="BS44" s="22">
        <f t="shared" si="9"/>
        <v>32.460387786636815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11.2</v>
      </c>
      <c r="BY44" s="12">
        <f>IF('Données projet'!$A$114&gt;35,BY43+BX44-CG43,IF(A44&lt;'Données projet'!$A$114,$BV$205^A44,IF(A44='Données projet'!$A$114,'Données projet'!$B$114,BY43+BX44-CG43)))</f>
        <v>158.19999999999999</v>
      </c>
      <c r="BZ44" s="13">
        <f>BY44*VLOOKUP('Données projet'!$B$12,Paramètres!$A$1:$I$89,3,0)*VLOOKUP('Données projet'!$B$12,Paramètres!$A$1:$I$89,5,0)</f>
        <v>143.13935999999998</v>
      </c>
      <c r="CA44" s="13">
        <f t="shared" si="39"/>
        <v>37.015257937854066</v>
      </c>
      <c r="CB44" s="20">
        <f t="shared" si="10"/>
        <v>313.76929290842912</v>
      </c>
      <c r="CC44" s="59">
        <f t="shared" si="11"/>
        <v>607.10262624176244</v>
      </c>
      <c r="CD44" s="59">
        <f ca="1">AVERAGE(OFFSET($CC$3,0,0,'Données projet'!$E$12+1,1))-AVERAGE(OFFSET($H$3,0,0,'Données projet'!$E$12+1,1))</f>
        <v>360.44607552967267</v>
      </c>
      <c r="CE44" s="59">
        <f t="shared" si="40"/>
        <v>271.54361159160169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34.864860956017317</v>
      </c>
      <c r="CN44" s="22">
        <f t="shared" si="12"/>
        <v>34.864860956017317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10.640000000000009</v>
      </c>
      <c r="CT44" s="12">
        <f>IF('Données projet'!$A$140&gt;35,CT43+CS44-DB43,IF(A44&lt;'Données projet'!$A$140,$CQ$205^A44,IF(A44='Données projet'!$A$140,'Données projet'!$B$140,CT43+CS44-DB43)))</f>
        <v>620.94000000000005</v>
      </c>
      <c r="CU44" s="17">
        <f>CT44*VLOOKUP('Données projet'!$B$13,Paramètres!$A$1:$I$89,3,0)*VLOOKUP('Données projet'!$B$13,Paramètres!$A$1:$I$89,5,0)</f>
        <v>312.87924720000001</v>
      </c>
      <c r="CV44" s="13">
        <f t="shared" si="41"/>
        <v>73.869807665531198</v>
      </c>
      <c r="CW44" s="20">
        <f t="shared" si="13"/>
        <v>673.5879372241335</v>
      </c>
      <c r="CX44" s="59">
        <f t="shared" si="14"/>
        <v>966.92127055746687</v>
      </c>
      <c r="CY44" s="59">
        <f ca="1">AVERAGE(OFFSET($CX$3,0,0,'Données projet'!$E$13+1,1))-AVERAGE(OFFSET($H$3,0,0,'Données projet'!$E$13+1,1))</f>
        <v>309.89554000341082</v>
      </c>
      <c r="CZ44" s="59">
        <f t="shared" si="42"/>
        <v>465.9235824539021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8.8000000000000007</v>
      </c>
      <c r="N45" s="13">
        <f>IF('Données projet'!$A$36&gt;35,N44+M45-V44,IF(A45&lt;'Données projet'!$A$36,$K$205^A45,IF(A45='Données projet'!$A$36,'Données projet'!$B$36,N44+M45-V44)))</f>
        <v>192.60000000000011</v>
      </c>
      <c r="O45" s="13">
        <f>N45*VLOOKUP('Données projet'!$B$9,Paramètres!$A$1:$I$89,3,0)*VLOOKUP('Données projet'!$B$9,Paramètres!$A$1:$I$89,5,0)</f>
        <v>168.25536000000011</v>
      </c>
      <c r="P45" s="13">
        <f t="shared" si="33"/>
        <v>42.699047982710923</v>
      </c>
      <c r="Q45" s="20">
        <f t="shared" si="53"/>
        <v>367.41226056988836</v>
      </c>
      <c r="R45" s="59">
        <f t="shared" si="0"/>
        <v>660.74559390322167</v>
      </c>
      <c r="S45" s="59">
        <f ca="1">AVERAGE(OFFSET($R$3,0,0,'Données projet'!$E$9+1,1))-AVERAGE(OFFSET($H$3,0,0,'Données projet'!$E$9+1,1))</f>
        <v>281.82797419088109</v>
      </c>
      <c r="T45" s="59">
        <f t="shared" si="34"/>
        <v>298.98873283425371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13.208209928435636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5.192764554517634</v>
      </c>
      <c r="AC45" s="22">
        <f t="shared" si="3"/>
        <v>18.40097448295327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5.6</v>
      </c>
      <c r="AI45" s="13">
        <f>IF('Données projet'!$A$62&gt;35,AI44+AH45-AQ44,IF(A45&lt;'Données projet'!$A$62,$AF$205^A45,IF(A45='Données projet'!$A$62,'Données projet'!$B$62,AI44+AH45-AQ44)))</f>
        <v>90.200000000000017</v>
      </c>
      <c r="AJ45" s="13">
        <f>AI45*VLOOKUP('Données projet'!$B$10,Paramètres!$A$1:$I$89,3,0)*VLOOKUP('Données projet'!$B$10,Paramètres!$A$1:$I$89,5,0)</f>
        <v>90.055680000000009</v>
      </c>
      <c r="AK45" s="13">
        <f t="shared" si="35"/>
        <v>24.578653185730918</v>
      </c>
      <c r="AL45" s="20">
        <f t="shared" si="4"/>
        <v>199.65479696514799</v>
      </c>
      <c r="AM45" s="59">
        <f t="shared" si="5"/>
        <v>492.98813029848134</v>
      </c>
      <c r="AN45" s="59">
        <f ca="1">AVERAGE(OFFSET($AM$3,0,0,'Données projet'!$E$10+1,1))-AVERAGE(OFFSET($H$3,0,0,'Données projet'!$E$10+1,1))</f>
        <v>206.53345322763442</v>
      </c>
      <c r="AO45" s="59">
        <f t="shared" si="36"/>
        <v>96.700732426680929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12.717233165817266</v>
      </c>
      <c r="AX45" s="21">
        <f t="shared" si="6"/>
        <v>12.717233165817266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11.2</v>
      </c>
      <c r="BD45" s="12">
        <f>IF('Données projet'!$A$88&gt;35,BD44+BC45-BL44,IF(A45&lt;'Données projet'!$A$88,$BA$205^A45,IF(A45='Données projet'!$A$88,'Données projet'!$B$88,BD44+BC45-BL44)))</f>
        <v>169.39999999999998</v>
      </c>
      <c r="BE45" s="13">
        <f>BD45*VLOOKUP('Données projet'!$B$11,Paramètres!$A$1:$I$89,3,0)*VLOOKUP('Données projet'!$B$11,Paramètres!$A$1:$I$89,5,0)</f>
        <v>142.70256000000001</v>
      </c>
      <c r="BF45" s="13">
        <f t="shared" si="37"/>
        <v>36.91543341153259</v>
      </c>
      <c r="BG45" s="20">
        <f t="shared" si="7"/>
        <v>312.83467185841931</v>
      </c>
      <c r="BH45" s="59">
        <f t="shared" si="8"/>
        <v>606.16800519175263</v>
      </c>
      <c r="BI45" s="59">
        <f ca="1">AVERAGE(OFFSET($BH$3,0,0,'Données projet'!$E$11+1,1))-AVERAGE(OFFSET($H$3,0,0,'Données projet'!$E$11+1,1))</f>
        <v>328.34986205643321</v>
      </c>
      <c r="BJ45" s="59">
        <f t="shared" si="38"/>
        <v>251.60894449147008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22.952960323875878</v>
      </c>
      <c r="BS45" s="22">
        <f t="shared" si="9"/>
        <v>22.952960323875878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11.2</v>
      </c>
      <c r="BY45" s="12">
        <f>IF('Données projet'!$A$114&gt;35,BY44+BX45-CG44,IF(A45&lt;'Données projet'!$A$114,$BV$205^A45,IF(A45='Données projet'!$A$114,'Données projet'!$B$114,BY44+BX45-CG44)))</f>
        <v>169.39999999999998</v>
      </c>
      <c r="BZ45" s="13">
        <f>BY45*VLOOKUP('Données projet'!$B$12,Paramètres!$A$1:$I$89,3,0)*VLOOKUP('Données projet'!$B$12,Paramètres!$A$1:$I$89,5,0)</f>
        <v>153.27311999999998</v>
      </c>
      <c r="CA45" s="13">
        <f t="shared" si="39"/>
        <v>39.321476829336504</v>
      </c>
      <c r="CB45" s="20">
        <f t="shared" si="10"/>
        <v>335.43558947776097</v>
      </c>
      <c r="CC45" s="59">
        <f t="shared" si="11"/>
        <v>628.76892281109428</v>
      </c>
      <c r="CD45" s="59">
        <f ca="1">AVERAGE(OFFSET($CC$3,0,0,'Données projet'!$E$12+1,1))-AVERAGE(OFFSET($H$3,0,0,'Données projet'!$E$12+1,1))</f>
        <v>360.44607552967267</v>
      </c>
      <c r="CE45" s="59">
        <f t="shared" si="40"/>
        <v>271.54361159160169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24.653179607125942</v>
      </c>
      <c r="CN45" s="22">
        <f t="shared" si="12"/>
        <v>24.653179607125942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10.640000000000009</v>
      </c>
      <c r="CT45" s="12">
        <f>IF('Données projet'!$A$140&gt;35,CT44+CS45-DB44,IF(A45&lt;'Données projet'!$A$140,$CQ$205^A45,IF(A45='Données projet'!$A$140,'Données projet'!$B$140,CT44+CS45-DB44)))</f>
        <v>631.58000000000004</v>
      </c>
      <c r="CU45" s="17">
        <f>CT45*VLOOKUP('Données projet'!$B$13,Paramètres!$A$1:$I$89,3,0)*VLOOKUP('Données projet'!$B$13,Paramètres!$A$1:$I$89,5,0)</f>
        <v>318.24053040000007</v>
      </c>
      <c r="CV45" s="13">
        <f t="shared" si="41"/>
        <v>74.987144403638538</v>
      </c>
      <c r="CW45" s="20">
        <f t="shared" si="13"/>
        <v>684.87153361633716</v>
      </c>
      <c r="CX45" s="59">
        <f t="shared" si="14"/>
        <v>978.20486694967053</v>
      </c>
      <c r="CY45" s="59">
        <f ca="1">AVERAGE(OFFSET($CX$3,0,0,'Données projet'!$E$13+1,1))-AVERAGE(OFFSET($H$3,0,0,'Données projet'!$E$13+1,1))</f>
        <v>309.89554000341082</v>
      </c>
      <c r="CZ45" s="59">
        <f t="shared" si="42"/>
        <v>465.9235824539021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8.8000000000000007</v>
      </c>
      <c r="N46" s="13">
        <f>IF('Données projet'!$A$36&gt;35,N45+M46-V45,IF(A46&lt;'Données projet'!$A$36,$K$205^A46,IF(A46='Données projet'!$A$36,'Données projet'!$B$36,N45+M46-V45)))</f>
        <v>201.40000000000012</v>
      </c>
      <c r="O46" s="13">
        <f>N46*VLOOKUP('Données projet'!$B$9,Paramètres!$A$1:$I$89,3,0)*VLOOKUP('Données projet'!$B$9,Paramètres!$A$1:$I$89,5,0)</f>
        <v>175.94304000000014</v>
      </c>
      <c r="P46" s="13">
        <f t="shared" si="33"/>
        <v>44.418393276556458</v>
      </c>
      <c r="Q46" s="20">
        <f t="shared" si="53"/>
        <v>383.79616295666938</v>
      </c>
      <c r="R46" s="59">
        <f t="shared" si="0"/>
        <v>677.12949629000263</v>
      </c>
      <c r="S46" s="59">
        <f ca="1">AVERAGE(OFFSET($R$3,0,0,'Données projet'!$E$9+1,1))-AVERAGE(OFFSET($H$3,0,0,'Données projet'!$E$9+1,1))</f>
        <v>281.82797419088109</v>
      </c>
      <c r="T46" s="59">
        <f t="shared" si="34"/>
        <v>298.98873283425371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12.949204987951585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3.6718390296045609</v>
      </c>
      <c r="AC46" s="22">
        <f t="shared" si="3"/>
        <v>16.621044017556144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5.6</v>
      </c>
      <c r="AI46" s="13">
        <f>IF('Données projet'!$A$62&gt;35,AI45+AH46-AQ45,IF(A46&lt;'Données projet'!$A$62,$AF$205^A46,IF(A46='Données projet'!$A$62,'Données projet'!$B$62,AI45+AH46-AQ45)))</f>
        <v>95.800000000000011</v>
      </c>
      <c r="AJ46" s="13">
        <f>AI46*VLOOKUP('Données projet'!$B$10,Paramètres!$A$1:$I$89,3,0)*VLOOKUP('Données projet'!$B$10,Paramètres!$A$1:$I$89,5,0)</f>
        <v>95.646720000000016</v>
      </c>
      <c r="AK46" s="13">
        <f t="shared" si="35"/>
        <v>25.922217414648212</v>
      </c>
      <c r="AL46" s="20">
        <f t="shared" si="4"/>
        <v>211.73256599717899</v>
      </c>
      <c r="AM46" s="59">
        <f t="shared" si="5"/>
        <v>505.06589933051231</v>
      </c>
      <c r="AN46" s="59">
        <f ca="1">AVERAGE(OFFSET($AM$3,0,0,'Données projet'!$E$10+1,1))-AVERAGE(OFFSET($H$3,0,0,'Données projet'!$E$10+1,1))</f>
        <v>206.53345322763442</v>
      </c>
      <c r="AO46" s="59">
        <f t="shared" si="36"/>
        <v>96.700732426680929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8.9924418094798551</v>
      </c>
      <c r="AX46" s="21">
        <f t="shared" si="6"/>
        <v>8.9924418094798551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11.2</v>
      </c>
      <c r="BD46" s="12">
        <f>IF('Données projet'!$A$88&gt;35,BD45+BC46-BL45,IF(A46&lt;'Données projet'!$A$88,$BA$205^A46,IF(A46='Données projet'!$A$88,'Données projet'!$B$88,BD45+BC46-BL45)))</f>
        <v>180.59999999999997</v>
      </c>
      <c r="BE46" s="13">
        <f>BD46*VLOOKUP('Données projet'!$B$11,Paramètres!$A$1:$I$89,3,0)*VLOOKUP('Données projet'!$B$11,Paramètres!$A$1:$I$89,5,0)</f>
        <v>152.13744</v>
      </c>
      <c r="BF46" s="13">
        <f t="shared" si="37"/>
        <v>39.063925813036093</v>
      </c>
      <c r="BG46" s="20">
        <f t="shared" si="7"/>
        <v>333.00904545770453</v>
      </c>
      <c r="BH46" s="59">
        <f t="shared" si="8"/>
        <v>626.34237879103785</v>
      </c>
      <c r="BI46" s="59">
        <f ca="1">AVERAGE(OFFSET($BH$3,0,0,'Données projet'!$E$11+1,1))-AVERAGE(OFFSET($H$3,0,0,'Données projet'!$E$11+1,1))</f>
        <v>328.34986205643321</v>
      </c>
      <c r="BJ46" s="59">
        <f t="shared" si="38"/>
        <v>251.60894449147008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16.230193893318408</v>
      </c>
      <c r="BS46" s="22">
        <f t="shared" si="9"/>
        <v>16.230193893318408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11.2</v>
      </c>
      <c r="BY46" s="12">
        <f>IF('Données projet'!$A$114&gt;35,BY45+BX46-CG45,IF(A46&lt;'Données projet'!$A$114,$BV$205^A46,IF(A46='Données projet'!$A$114,'Données projet'!$B$114,BY45+BX46-CG45)))</f>
        <v>180.59999999999997</v>
      </c>
      <c r="BZ46" s="13">
        <f>BY46*VLOOKUP('Données projet'!$B$12,Paramètres!$A$1:$I$89,3,0)*VLOOKUP('Données projet'!$B$12,Paramètres!$A$1:$I$89,5,0)</f>
        <v>163.40687999999997</v>
      </c>
      <c r="CA46" s="13">
        <f t="shared" si="39"/>
        <v>41.610001881769797</v>
      </c>
      <c r="CB46" s="20">
        <f t="shared" si="10"/>
        <v>357.07106927741569</v>
      </c>
      <c r="CC46" s="59">
        <f t="shared" si="11"/>
        <v>650.404402610749</v>
      </c>
      <c r="CD46" s="59">
        <f ca="1">AVERAGE(OFFSET($CC$3,0,0,'Données projet'!$E$12+1,1))-AVERAGE(OFFSET($H$3,0,0,'Données projet'!$E$12+1,1))</f>
        <v>360.44607552967267</v>
      </c>
      <c r="CE46" s="59">
        <f t="shared" si="40"/>
        <v>271.54361159160169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17.432430478008662</v>
      </c>
      <c r="CN46" s="22">
        <f t="shared" si="12"/>
        <v>17.432430478008662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10.640000000000009</v>
      </c>
      <c r="CT46" s="12">
        <f>IF('Données projet'!$A$140&gt;35,CT45+CS46-DB45,IF(A46&lt;'Données projet'!$A$140,$CQ$205^A46,IF(A46='Données projet'!$A$140,'Données projet'!$B$140,CT45+CS46-DB45)))</f>
        <v>642.22</v>
      </c>
      <c r="CU46" s="17">
        <f>CT46*VLOOKUP('Données projet'!$B$13,Paramètres!$A$1:$I$89,3,0)*VLOOKUP('Données projet'!$B$13,Paramètres!$A$1:$I$89,5,0)</f>
        <v>323.60181360000001</v>
      </c>
      <c r="CV46" s="13">
        <f t="shared" si="41"/>
        <v>76.10229213907192</v>
      </c>
      <c r="CW46" s="20">
        <f t="shared" si="13"/>
        <v>696.15131749555019</v>
      </c>
      <c r="CX46" s="59">
        <f t="shared" si="14"/>
        <v>989.48465082888356</v>
      </c>
      <c r="CY46" s="59">
        <f ca="1">AVERAGE(OFFSET($CX$3,0,0,'Données projet'!$E$13+1,1))-AVERAGE(OFFSET($H$3,0,0,'Données projet'!$E$13+1,1))</f>
        <v>309.89554000341082</v>
      </c>
      <c r="CZ46" s="59">
        <f t="shared" si="42"/>
        <v>465.9235824539021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8.8000000000000007</v>
      </c>
      <c r="N47" s="13">
        <f>IF('Données projet'!$A$36&gt;35,N46+M47-V46,IF(A47&lt;'Données projet'!$A$36,$K$205^A47,IF(A47='Données projet'!$A$36,'Données projet'!$B$36,N46+M47-V46)))</f>
        <v>210.20000000000013</v>
      </c>
      <c r="O47" s="13">
        <f>N47*VLOOKUP('Données projet'!$B$9,Paramètres!$A$1:$I$89,3,0)*VLOOKUP('Données projet'!$B$9,Paramètres!$A$1:$I$89,5,0)</f>
        <v>183.63072000000014</v>
      </c>
      <c r="P47" s="13">
        <f t="shared" si="33"/>
        <v>46.129013251634483</v>
      </c>
      <c r="Q47" s="20">
        <f t="shared" si="53"/>
        <v>400.16486874659699</v>
      </c>
      <c r="R47" s="59">
        <f t="shared" si="0"/>
        <v>693.49820207993025</v>
      </c>
      <c r="S47" s="59">
        <f ca="1">AVERAGE(OFFSET($R$3,0,0,'Données projet'!$E$9+1,1))-AVERAGE(OFFSET($H$3,0,0,'Données projet'!$E$9+1,1))</f>
        <v>281.82797419088109</v>
      </c>
      <c r="T47" s="59">
        <f t="shared" si="34"/>
        <v>298.98873283425371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12.695278976373011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2.5963822772588174</v>
      </c>
      <c r="AC47" s="22">
        <f t="shared" si="3"/>
        <v>15.291661253631828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5.6</v>
      </c>
      <c r="AI47" s="13">
        <f>IF('Données projet'!$A$62&gt;35,AI46+AH47-AQ46,IF(A47&lt;'Données projet'!$A$62,$AF$205^A47,IF(A47='Données projet'!$A$62,'Données projet'!$B$62,AI46+AH47-AQ46)))</f>
        <v>101.4</v>
      </c>
      <c r="AJ47" s="13">
        <f>AI47*VLOOKUP('Données projet'!$B$10,Paramètres!$A$1:$I$89,3,0)*VLOOKUP('Données projet'!$B$10,Paramètres!$A$1:$I$89,5,0)</f>
        <v>101.23776000000001</v>
      </c>
      <c r="AK47" s="13">
        <f t="shared" si="35"/>
        <v>27.256665348119011</v>
      </c>
      <c r="AL47" s="20">
        <f t="shared" si="4"/>
        <v>223.79445748130729</v>
      </c>
      <c r="AM47" s="59">
        <f t="shared" si="5"/>
        <v>517.12779081464055</v>
      </c>
      <c r="AN47" s="59">
        <f ca="1">AVERAGE(OFFSET($AM$3,0,0,'Données projet'!$E$10+1,1))-AVERAGE(OFFSET($H$3,0,0,'Données projet'!$E$10+1,1))</f>
        <v>206.53345322763442</v>
      </c>
      <c r="AO47" s="59">
        <f t="shared" si="36"/>
        <v>96.700732426680929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6.3586165829086339</v>
      </c>
      <c r="AX47" s="21">
        <f t="shared" si="6"/>
        <v>6.3586165829086339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11.2</v>
      </c>
      <c r="BD47" s="12">
        <f>IF('Données projet'!$A$88&gt;35,BD46+BC47-BL46,IF(A47&lt;'Données projet'!$A$88,$BA$205^A47,IF(A47='Données projet'!$A$88,'Données projet'!$B$88,BD46+BC47-BL46)))</f>
        <v>191.79999999999995</v>
      </c>
      <c r="BE47" s="13">
        <f>BD47*VLOOKUP('Données projet'!$B$11,Paramètres!$A$1:$I$89,3,0)*VLOOKUP('Données projet'!$B$11,Paramètres!$A$1:$I$89,5,0)</f>
        <v>161.57231999999999</v>
      </c>
      <c r="BF47" s="13">
        <f t="shared" si="37"/>
        <v>41.196954479055741</v>
      </c>
      <c r="BG47" s="20">
        <f t="shared" si="7"/>
        <v>353.15648638435545</v>
      </c>
      <c r="BH47" s="59">
        <f t="shared" si="8"/>
        <v>646.48981971768876</v>
      </c>
      <c r="BI47" s="59">
        <f ca="1">AVERAGE(OFFSET($BH$3,0,0,'Données projet'!$E$11+1,1))-AVERAGE(OFFSET($H$3,0,0,'Données projet'!$E$11+1,1))</f>
        <v>328.34986205643321</v>
      </c>
      <c r="BJ47" s="59">
        <f t="shared" si="38"/>
        <v>251.60894449147008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11.476480161937939</v>
      </c>
      <c r="BS47" s="22">
        <f t="shared" si="9"/>
        <v>11.476480161937939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11.2</v>
      </c>
      <c r="BY47" s="12">
        <f>IF('Données projet'!$A$114&gt;35,BY46+BX47-CG46,IF(A47&lt;'Données projet'!$A$114,$BV$205^A47,IF(A47='Données projet'!$A$114,'Données projet'!$B$114,BY46+BX47-CG46)))</f>
        <v>191.79999999999995</v>
      </c>
      <c r="BZ47" s="13">
        <f>BY47*VLOOKUP('Données projet'!$B$12,Paramètres!$A$1:$I$89,3,0)*VLOOKUP('Données projet'!$B$12,Paramètres!$A$1:$I$89,5,0)</f>
        <v>173.54063999999997</v>
      </c>
      <c r="CA47" s="13">
        <f t="shared" si="39"/>
        <v>43.882055316228445</v>
      </c>
      <c r="CB47" s="20">
        <f t="shared" si="10"/>
        <v>378.6778610090978</v>
      </c>
      <c r="CC47" s="59">
        <f t="shared" si="11"/>
        <v>672.01119434243105</v>
      </c>
      <c r="CD47" s="59">
        <f ca="1">AVERAGE(OFFSET($CC$3,0,0,'Données projet'!$E$12+1,1))-AVERAGE(OFFSET($H$3,0,0,'Données projet'!$E$12+1,1))</f>
        <v>360.44607552967267</v>
      </c>
      <c r="CE47" s="59">
        <f t="shared" si="40"/>
        <v>271.54361159160169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12.326589803562975</v>
      </c>
      <c r="CN47" s="22">
        <f t="shared" si="12"/>
        <v>12.326589803562975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10.640000000000009</v>
      </c>
      <c r="CT47" s="12">
        <f>IF('Données projet'!$A$140&gt;35,CT46+CS47-DB46,IF(A47&lt;'Données projet'!$A$140,$CQ$205^A47,IF(A47='Données projet'!$A$140,'Données projet'!$B$140,CT46+CS47-DB46)))</f>
        <v>652.86</v>
      </c>
      <c r="CU47" s="17">
        <f>CT47*VLOOKUP('Données projet'!$B$13,Paramètres!$A$1:$I$89,3,0)*VLOOKUP('Données projet'!$B$13,Paramètres!$A$1:$I$89,5,0)</f>
        <v>328.96309680000002</v>
      </c>
      <c r="CV47" s="13">
        <f t="shared" si="41"/>
        <v>77.215291324321853</v>
      </c>
      <c r="CW47" s="20">
        <f t="shared" si="13"/>
        <v>707.42735931652726</v>
      </c>
      <c r="CX47" s="59">
        <f t="shared" si="14"/>
        <v>1000.7606926498606</v>
      </c>
      <c r="CY47" s="59">
        <f ca="1">AVERAGE(OFFSET($CX$3,0,0,'Données projet'!$E$13+1,1))-AVERAGE(OFFSET($H$3,0,0,'Données projet'!$E$13+1,1))</f>
        <v>309.89554000341082</v>
      </c>
      <c r="CZ47" s="59">
        <f t="shared" si="42"/>
        <v>465.9235824539021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219</v>
      </c>
      <c r="L48" s="12">
        <f>VLOOKUP(A48,'Données projet'!$A$35:$I$55,9,0)</f>
        <v>8.8000000000000007</v>
      </c>
      <c r="M48" s="12">
        <f t="array" ref="M48">INDEX(L:L,MIN(IF(ISNUMBER(L48:L244),ROW(L48:L244),"")))</f>
        <v>8.8000000000000007</v>
      </c>
      <c r="N48" s="13">
        <f>IF('Données projet'!$A$36&gt;35,N47+M48-V47,IF(A48&lt;'Données projet'!$A$36,$K$205^A48,IF(A48='Données projet'!$A$36,'Données projet'!$B$36,N47+M48-V47)))</f>
        <v>219.00000000000014</v>
      </c>
      <c r="O48" s="13">
        <f>N48*VLOOKUP('Données projet'!$B$9,Paramètres!$A$1:$I$89,3,0)*VLOOKUP('Données projet'!$B$9,Paramètres!$A$1:$I$89,5,0)</f>
        <v>191.31840000000014</v>
      </c>
      <c r="P48" s="13">
        <f t="shared" si="33"/>
        <v>47.831314962098396</v>
      </c>
      <c r="Q48" s="20">
        <f t="shared" si="53"/>
        <v>416.51908689232158</v>
      </c>
      <c r="R48" s="59">
        <f t="shared" si="0"/>
        <v>709.8524202256549</v>
      </c>
      <c r="S48" s="59">
        <f ca="1">AVERAGE(OFFSET($R$3,0,0,'Données projet'!$E$9+1,1))-AVERAGE(OFFSET($H$3,0,0,'Données projet'!$E$9+1,1))</f>
        <v>281.82797419088109</v>
      </c>
      <c r="T48" s="59">
        <f t="shared" si="34"/>
        <v>298.98873283425371</v>
      </c>
      <c r="U48" s="15">
        <f>IF(ISNA(VLOOKUP(A48,'Données projet'!$A$35:$I$55,3,0)),0,VLOOKUP(A48,'Données projet'!$A$35:$I$55,3,0))</f>
        <v>8</v>
      </c>
      <c r="V48" s="15">
        <f>IF(ISNA(VLOOKUP(A48,'Données projet'!$A$35:$I$55,4,0)),0,VLOOKUP(A48,'Données projet'!$A$35:$I$55,4,0))</f>
        <v>30</v>
      </c>
      <c r="W48" s="16">
        <f>IF(ISNA(VLOOKUP(A48,'Données projet'!$A$35:$I$55,5,0)),0%,VLOOKUP(A48,'Données projet'!$A$35:$I$55,5,0)*VLOOKUP('Données projet'!$B$9,Paramètres!$A$1:$I$89,7,0))</f>
        <v>0.30099999999999999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0.2</v>
      </c>
      <c r="Z48" s="21">
        <f>EXP(-LN(2)/35)*Z47+(1-EXP(-LN(2)/35))/(LN(2)/35)*V48*W48*VLOOKUP('Données projet'!$B$9,Paramètres!$A$1:$I$89,3,0)*0.475*44/12</f>
        <v>21.166954778748586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6.7815101903978849</v>
      </c>
      <c r="AC48" s="22">
        <f t="shared" si="3"/>
        <v>27.948464969146471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5.6</v>
      </c>
      <c r="AI48" s="13">
        <f>IF('Données projet'!$A$62&gt;35,AI47+AH48-AQ47,IF(A48&lt;'Données projet'!$A$62,$AF$205^A48,IF(A48='Données projet'!$A$62,'Données projet'!$B$62,AI47+AH48-AQ47)))</f>
        <v>107</v>
      </c>
      <c r="AJ48" s="13">
        <f>AI48*VLOOKUP('Données projet'!$B$10,Paramètres!$A$1:$I$89,3,0)*VLOOKUP('Données projet'!$B$10,Paramètres!$A$1:$I$89,5,0)</f>
        <v>106.82880000000002</v>
      </c>
      <c r="AK48" s="13">
        <f t="shared" si="35"/>
        <v>28.582557836195459</v>
      </c>
      <c r="AL48" s="20">
        <f t="shared" si="4"/>
        <v>235.84144823137376</v>
      </c>
      <c r="AM48" s="59">
        <f t="shared" si="5"/>
        <v>529.17478156470702</v>
      </c>
      <c r="AN48" s="59">
        <f ca="1">AVERAGE(OFFSET($AM$3,0,0,'Données projet'!$E$10+1,1))-AVERAGE(OFFSET($H$3,0,0,'Données projet'!$E$10+1,1))</f>
        <v>206.53345322763442</v>
      </c>
      <c r="AO48" s="59">
        <f t="shared" si="36"/>
        <v>96.700732426680929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4.4962209047399284</v>
      </c>
      <c r="AX48" s="21">
        <f t="shared" si="6"/>
        <v>4.4962209047399284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11.2</v>
      </c>
      <c r="BD48" s="12">
        <f>IF('Données projet'!$A$88&gt;35,BD47+BC48-BL47,IF(A48&lt;'Données projet'!$A$88,$BA$205^A48,IF(A48='Données projet'!$A$88,'Données projet'!$B$88,BD47+BC48-BL47)))</f>
        <v>202.99999999999994</v>
      </c>
      <c r="BE48" s="13">
        <f>BD48*VLOOKUP('Données projet'!$B$11,Paramètres!$A$1:$I$89,3,0)*VLOOKUP('Données projet'!$B$11,Paramètres!$A$1:$I$89,5,0)</f>
        <v>171.00719999999995</v>
      </c>
      <c r="BF48" s="13">
        <f t="shared" si="37"/>
        <v>43.315525267338089</v>
      </c>
      <c r="BG48" s="20">
        <f t="shared" si="7"/>
        <v>373.27874650728046</v>
      </c>
      <c r="BH48" s="59">
        <f t="shared" si="8"/>
        <v>666.61207984061377</v>
      </c>
      <c r="BI48" s="59">
        <f ca="1">AVERAGE(OFFSET($BH$3,0,0,'Données projet'!$E$11+1,1))-AVERAGE(OFFSET($H$3,0,0,'Données projet'!$E$11+1,1))</f>
        <v>328.34986205643321</v>
      </c>
      <c r="BJ48" s="59">
        <f t="shared" si="38"/>
        <v>251.60894449147008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8.1150969466592038</v>
      </c>
      <c r="BS48" s="22">
        <f t="shared" si="9"/>
        <v>8.1150969466592038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11.2</v>
      </c>
      <c r="BY48" s="12">
        <f>IF('Données projet'!$A$114&gt;35,BY47+BX48-CG47,IF(A48&lt;'Données projet'!$A$114,$BV$205^A48,IF(A48='Données projet'!$A$114,'Données projet'!$B$114,BY47+BX48-CG47)))</f>
        <v>202.99999999999994</v>
      </c>
      <c r="BZ48" s="13">
        <f>BY48*VLOOKUP('Données projet'!$B$12,Paramètres!$A$1:$I$89,3,0)*VLOOKUP('Données projet'!$B$12,Paramètres!$A$1:$I$89,5,0)</f>
        <v>183.67439999999993</v>
      </c>
      <c r="CA48" s="13">
        <f t="shared" si="39"/>
        <v>46.138708549418673</v>
      </c>
      <c r="CB48" s="20">
        <f t="shared" si="10"/>
        <v>400.25783072357075</v>
      </c>
      <c r="CC48" s="59">
        <f t="shared" si="11"/>
        <v>693.59116405690406</v>
      </c>
      <c r="CD48" s="59">
        <f ca="1">AVERAGE(OFFSET($CC$3,0,0,'Données projet'!$E$12+1,1))-AVERAGE(OFFSET($H$3,0,0,'Données projet'!$E$12+1,1))</f>
        <v>360.44607552967267</v>
      </c>
      <c r="CE48" s="59">
        <f t="shared" si="40"/>
        <v>271.54361159160169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8.7162152390043328</v>
      </c>
      <c r="CN48" s="22">
        <f t="shared" si="12"/>
        <v>8.7162152390043328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663.5</v>
      </c>
      <c r="CR48" s="12">
        <f>VLOOKUP(A48,'Données projet'!$A$139:$I$159,9,0)</f>
        <v>10.640000000000009</v>
      </c>
      <c r="CS48" s="12">
        <f t="array" ref="CS48">INDEX(CR:CR,MIN(IF(ISNUMBER(CR48:CR244),ROW(CR48:CR244),"")))</f>
        <v>10.640000000000009</v>
      </c>
      <c r="CT48" s="12">
        <f>IF('Données projet'!$A$140&gt;35,CT47+CS48-DB47,IF(A48&lt;'Données projet'!$A$140,$CQ$205^A48,IF(A48='Données projet'!$A$140,'Données projet'!$B$140,CT47+CS48-DB47)))</f>
        <v>663.5</v>
      </c>
      <c r="CU48" s="17">
        <f>CT48*VLOOKUP('Données projet'!$B$13,Paramètres!$A$1:$I$89,3,0)*VLOOKUP('Données projet'!$B$13,Paramètres!$A$1:$I$89,5,0)</f>
        <v>334.32438000000002</v>
      </c>
      <c r="CV48" s="13">
        <f t="shared" si="41"/>
        <v>78.32618101772664</v>
      </c>
      <c r="CW48" s="20">
        <f t="shared" si="13"/>
        <v>718.69972710587388</v>
      </c>
      <c r="CX48" s="59">
        <f t="shared" si="14"/>
        <v>1012.0330604392072</v>
      </c>
      <c r="CY48" s="59">
        <f ca="1">AVERAGE(OFFSET($CX$3,0,0,'Données projet'!$E$13+1,1))-AVERAGE(OFFSET($H$3,0,0,'Données projet'!$E$13+1,1))</f>
        <v>309.89554000341082</v>
      </c>
      <c r="CZ48" s="59">
        <f t="shared" si="42"/>
        <v>465.9235824539021</v>
      </c>
      <c r="DA48" s="15">
        <f>IF(ISNA(VLOOKUP(A48,'Données projet'!$A$139:$I$159,3,0)),0,VLOOKUP(A48,'Données projet'!$A$139:$I$159,3,0))</f>
        <v>9</v>
      </c>
      <c r="DB48" s="15">
        <f>IF(ISNA(VLOOKUP(A48,'Données projet'!$A$139:$I$159,4,0)),0,VLOOKUP(A48,'Données projet'!$A$139:$I$159,4,0))</f>
        <v>663.5</v>
      </c>
      <c r="DC48" s="16">
        <f>IF(ISNA(VLOOKUP(A48,'Données projet'!$A$139:$I$159,5,0)),0%,VLOOKUP(A48,'Données projet'!$A$139:$I$159,5,0)*VLOOKUP('Données projet'!$B$13,Paramètres!$A$1:$I$89,7,0))</f>
        <v>0.51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0.15</v>
      </c>
      <c r="DF48" s="21">
        <f>EXP(-LN(2)/35)*DF47+(1-EXP(-LN(2)/35))/(LN(2)/35)*DB48*DC48*VLOOKUP('Données projet'!$B$13,Paramètres!$A$1:$I$89,3,0)*0.475*44/12</f>
        <v>188.48870661531632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47.316607610813897</v>
      </c>
      <c r="DI48" s="22">
        <f t="shared" si="15"/>
        <v>235.80531422613021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8.1999999999999993</v>
      </c>
      <c r="N49" s="13">
        <f>IF('Données projet'!$A$36&gt;35,N48+M49-V48,IF(A49&lt;'Données projet'!$A$36,$K$205^A49,IF(A49='Données projet'!$A$36,'Données projet'!$B$36,N48+M49-V48)))</f>
        <v>197.20000000000013</v>
      </c>
      <c r="O49" s="13">
        <f>N49*VLOOKUP('Données projet'!$B$9,Paramètres!$A$1:$I$89,3,0)*VLOOKUP('Données projet'!$B$9,Paramètres!$A$1:$I$89,5,0)</f>
        <v>172.27392000000015</v>
      </c>
      <c r="P49" s="13">
        <f t="shared" si="33"/>
        <v>43.59891151369964</v>
      </c>
      <c r="Q49" s="20">
        <f t="shared" si="53"/>
        <v>375.97851488636047</v>
      </c>
      <c r="R49" s="59">
        <f t="shared" si="0"/>
        <v>669.31184821969373</v>
      </c>
      <c r="S49" s="59">
        <f ca="1">AVERAGE(OFFSET($R$3,0,0,'Données projet'!$E$9+1,1))-AVERAGE(OFFSET($H$3,0,0,'Données projet'!$E$9+1,1))</f>
        <v>281.82797419088109</v>
      </c>
      <c r="T49" s="59">
        <f t="shared" si="34"/>
        <v>298.98873283425371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20.75188370610493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4.79525184231602</v>
      </c>
      <c r="AC49" s="22">
        <f t="shared" si="3"/>
        <v>25.54713554842095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5.6</v>
      </c>
      <c r="AI49" s="13">
        <f>IF('Données projet'!$A$62&gt;35,AI48+AH49-AQ48,IF(A49&lt;'Données projet'!$A$62,$AF$205^A49,IF(A49='Données projet'!$A$62,'Données projet'!$B$62,AI48+AH49-AQ48)))</f>
        <v>112.6</v>
      </c>
      <c r="AJ49" s="13">
        <f>AI49*VLOOKUP('Données projet'!$B$10,Paramètres!$A$1:$I$89,3,0)*VLOOKUP('Données projet'!$B$10,Paramètres!$A$1:$I$89,5,0)</f>
        <v>112.41983999999999</v>
      </c>
      <c r="AK49" s="13">
        <f t="shared" si="35"/>
        <v>29.900393707402358</v>
      </c>
      <c r="AL49" s="20">
        <f t="shared" si="4"/>
        <v>247.87440704039238</v>
      </c>
      <c r="AM49" s="59">
        <f t="shared" si="5"/>
        <v>541.20774037372576</v>
      </c>
      <c r="AN49" s="59">
        <f ca="1">AVERAGE(OFFSET($AM$3,0,0,'Données projet'!$E$10+1,1))-AVERAGE(OFFSET($H$3,0,0,'Données projet'!$E$10+1,1))</f>
        <v>206.53345322763442</v>
      </c>
      <c r="AO49" s="59">
        <f t="shared" si="36"/>
        <v>96.700732426680929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3.1793082914543174</v>
      </c>
      <c r="AX49" s="21">
        <f t="shared" si="6"/>
        <v>3.1793082914543174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11.2</v>
      </c>
      <c r="BD49" s="12">
        <f>IF('Données projet'!$A$88&gt;35,BD48+BC49-BL48,IF(A49&lt;'Données projet'!$A$88,$BA$205^A49,IF(A49='Données projet'!$A$88,'Données projet'!$B$88,BD48+BC49-BL48)))</f>
        <v>214.19999999999993</v>
      </c>
      <c r="BE49" s="13">
        <f>BD49*VLOOKUP('Données projet'!$B$11,Paramètres!$A$1:$I$89,3,0)*VLOOKUP('Données projet'!$B$11,Paramètres!$A$1:$I$89,5,0)</f>
        <v>180.44207999999995</v>
      </c>
      <c r="BF49" s="13">
        <f t="shared" si="37"/>
        <v>45.420526775820029</v>
      </c>
      <c r="BG49" s="20">
        <f t="shared" si="7"/>
        <v>393.37737346788646</v>
      </c>
      <c r="BH49" s="59">
        <f t="shared" si="8"/>
        <v>686.71070680121977</v>
      </c>
      <c r="BI49" s="59">
        <f ca="1">AVERAGE(OFFSET($BH$3,0,0,'Données projet'!$E$11+1,1))-AVERAGE(OFFSET($H$3,0,0,'Données projet'!$E$11+1,1))</f>
        <v>328.34986205643321</v>
      </c>
      <c r="BJ49" s="59">
        <f t="shared" si="38"/>
        <v>251.60894449147008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5.7382400809689695</v>
      </c>
      <c r="BS49" s="22">
        <f t="shared" si="9"/>
        <v>5.7382400809689695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11.2</v>
      </c>
      <c r="BY49" s="12">
        <f>IF('Données projet'!$A$114&gt;35,BY48+BX49-CG48,IF(A49&lt;'Données projet'!$A$114,$BV$205^A49,IF(A49='Données projet'!$A$114,'Données projet'!$B$114,BY48+BX49-CG48)))</f>
        <v>214.19999999999993</v>
      </c>
      <c r="BZ49" s="13">
        <f>BY49*VLOOKUP('Données projet'!$B$12,Paramètres!$A$1:$I$89,3,0)*VLOOKUP('Données projet'!$B$12,Paramètres!$A$1:$I$89,5,0)</f>
        <v>193.80815999999993</v>
      </c>
      <c r="CA49" s="13">
        <f t="shared" si="39"/>
        <v>48.380908095574689</v>
      </c>
      <c r="CB49" s="20">
        <f t="shared" si="10"/>
        <v>421.81262693312578</v>
      </c>
      <c r="CC49" s="59">
        <f t="shared" si="11"/>
        <v>715.14596026645904</v>
      </c>
      <c r="CD49" s="59">
        <f ca="1">AVERAGE(OFFSET($CC$3,0,0,'Données projet'!$E$12+1,1))-AVERAGE(OFFSET($H$3,0,0,'Données projet'!$E$12+1,1))</f>
        <v>360.44607552967267</v>
      </c>
      <c r="CE49" s="59">
        <f t="shared" si="40"/>
        <v>271.54361159160169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6.1632949017814882</v>
      </c>
      <c r="CN49" s="22">
        <f t="shared" si="12"/>
        <v>6.1632949017814882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>
        <f>CT49*VLOOKUP('Données projet'!$B$13,Paramètres!$A$1:$I$89,3,0)*VLOOKUP('Données projet'!$B$13,Paramètres!$A$1:$I$89,5,0)</f>
        <v>0</v>
      </c>
      <c r="CV49" s="13" t="e">
        <f t="shared" si="41"/>
        <v>#NUM!</v>
      </c>
      <c r="CW49" s="20" t="e">
        <f t="shared" si="13"/>
        <v>#NUM!</v>
      </c>
      <c r="CX49" s="59" t="e">
        <f t="shared" si="14"/>
        <v>#NUM!</v>
      </c>
      <c r="CY49" s="59">
        <f ca="1">AVERAGE(OFFSET($CX$3,0,0,'Données projet'!$E$13+1,1))-AVERAGE(OFFSET($H$3,0,0,'Données projet'!$E$13+1,1))</f>
        <v>309.89554000341082</v>
      </c>
      <c r="CZ49" s="59">
        <f t="shared" si="42"/>
        <v>465.9235824539021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184.79255804534898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33.457894104349513</v>
      </c>
      <c r="DI49" s="22">
        <f t="shared" si="15"/>
        <v>218.2504521496985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8.1999999999999993</v>
      </c>
      <c r="N50" s="13">
        <f>IF('Données projet'!$A$36&gt;35,N49+M50-V49,IF(A50&lt;'Données projet'!$A$36,$K$205^A50,IF(A50='Données projet'!$A$36,'Données projet'!$B$36,N49+M50-V49)))</f>
        <v>205.40000000000012</v>
      </c>
      <c r="O50" s="13">
        <f>N50*VLOOKUP('Données projet'!$B$9,Paramètres!$A$1:$I$89,3,0)*VLOOKUP('Données projet'!$B$9,Paramètres!$A$1:$I$89,5,0)</f>
        <v>179.43744000000012</v>
      </c>
      <c r="P50" s="13">
        <f t="shared" si="33"/>
        <v>45.197004138831659</v>
      </c>
      <c r="Q50" s="20">
        <f t="shared" si="53"/>
        <v>391.23832354179859</v>
      </c>
      <c r="R50" s="59">
        <f t="shared" si="0"/>
        <v>684.57165687513191</v>
      </c>
      <c r="S50" s="59">
        <f ca="1">AVERAGE(OFFSET($R$3,0,0,'Données projet'!$E$9+1,1))-AVERAGE(OFFSET($H$3,0,0,'Données projet'!$E$9+1,1))</f>
        <v>281.82797419088109</v>
      </c>
      <c r="T50" s="59">
        <f t="shared" si="34"/>
        <v>298.98873283425371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20.344951924027459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3.3907550951989429</v>
      </c>
      <c r="AC50" s="22">
        <f t="shared" si="3"/>
        <v>23.735707019226403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5.6</v>
      </c>
      <c r="AI50" s="13">
        <f>IF('Données projet'!$A$62&gt;35,AI49+AH50-AQ49,IF(A50&lt;'Données projet'!$A$62,$AF$205^A50,IF(A50='Données projet'!$A$62,'Données projet'!$B$62,AI49+AH50-AQ49)))</f>
        <v>118.19999999999999</v>
      </c>
      <c r="AJ50" s="13">
        <f>AI50*VLOOKUP('Données projet'!$B$10,Paramètres!$A$1:$I$89,3,0)*VLOOKUP('Données projet'!$B$10,Paramètres!$A$1:$I$89,5,0)</f>
        <v>118.01088</v>
      </c>
      <c r="AK50" s="13">
        <f t="shared" si="35"/>
        <v>31.210619370303242</v>
      </c>
      <c r="AL50" s="20">
        <f t="shared" si="4"/>
        <v>259.89411140327815</v>
      </c>
      <c r="AM50" s="59">
        <f t="shared" si="5"/>
        <v>553.22744473661146</v>
      </c>
      <c r="AN50" s="59">
        <f ca="1">AVERAGE(OFFSET($AM$3,0,0,'Données projet'!$E$10+1,1))-AVERAGE(OFFSET($H$3,0,0,'Données projet'!$E$10+1,1))</f>
        <v>206.53345322763442</v>
      </c>
      <c r="AO50" s="59">
        <f t="shared" si="36"/>
        <v>96.700732426680929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2.2481104523699642</v>
      </c>
      <c r="AX50" s="21">
        <f t="shared" si="6"/>
        <v>2.2481104523699642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11.2</v>
      </c>
      <c r="BD50" s="12">
        <f>IF('Données projet'!$A$88&gt;35,BD49+BC50-BL49,IF(A50&lt;'Données projet'!$A$88,$BA$205^A50,IF(A50='Données projet'!$A$88,'Données projet'!$B$88,BD49+BC50-BL49)))</f>
        <v>225.39999999999992</v>
      </c>
      <c r="BE50" s="13">
        <f>BD50*VLOOKUP('Données projet'!$B$11,Paramètres!$A$1:$I$89,3,0)*VLOOKUP('Données projet'!$B$11,Paramètres!$A$1:$I$89,5,0)</f>
        <v>189.87695999999994</v>
      </c>
      <c r="BF50" s="13">
        <f t="shared" si="37"/>
        <v>47.5127494286954</v>
      </c>
      <c r="BG50" s="20">
        <f t="shared" si="7"/>
        <v>413.45374392164439</v>
      </c>
      <c r="BH50" s="59">
        <f t="shared" si="8"/>
        <v>706.7870772549777</v>
      </c>
      <c r="BI50" s="59">
        <f ca="1">AVERAGE(OFFSET($BH$3,0,0,'Données projet'!$E$11+1,1))-AVERAGE(OFFSET($H$3,0,0,'Données projet'!$E$11+1,1))</f>
        <v>328.34986205643321</v>
      </c>
      <c r="BJ50" s="59">
        <f t="shared" si="38"/>
        <v>251.60894449147008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4.0575484733296019</v>
      </c>
      <c r="BS50" s="22">
        <f t="shared" si="9"/>
        <v>4.0575484733296019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11.2</v>
      </c>
      <c r="BY50" s="12">
        <f>IF('Données projet'!$A$114&gt;35,BY49+BX50-CG49,IF(A50&lt;'Données projet'!$A$114,$BV$205^A50,IF(A50='Données projet'!$A$114,'Données projet'!$B$114,BY49+BX50-CG49)))</f>
        <v>225.39999999999992</v>
      </c>
      <c r="BZ50" s="13">
        <f>BY50*VLOOKUP('Données projet'!$B$12,Paramètres!$A$1:$I$89,3,0)*VLOOKUP('Données projet'!$B$12,Paramètres!$A$1:$I$89,5,0)</f>
        <v>203.94191999999993</v>
      </c>
      <c r="CA50" s="13">
        <f t="shared" si="39"/>
        <v>50.609495896501116</v>
      </c>
      <c r="CB50" s="20">
        <f t="shared" si="10"/>
        <v>443.3437160197393</v>
      </c>
      <c r="CC50" s="59">
        <f t="shared" si="11"/>
        <v>736.67704935307256</v>
      </c>
      <c r="CD50" s="59">
        <f ca="1">AVERAGE(OFFSET($CC$3,0,0,'Données projet'!$E$12+1,1))-AVERAGE(OFFSET($H$3,0,0,'Données projet'!$E$12+1,1))</f>
        <v>360.44607552967267</v>
      </c>
      <c r="CE50" s="59">
        <f t="shared" si="40"/>
        <v>271.54361159160169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4.3581076195021673</v>
      </c>
      <c r="CN50" s="22">
        <f t="shared" si="12"/>
        <v>4.3581076195021673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>
        <f>CT50*VLOOKUP('Données projet'!$B$13,Paramètres!$A$1:$I$89,3,0)*VLOOKUP('Données projet'!$B$13,Paramètres!$A$1:$I$89,5,0)</f>
        <v>0</v>
      </c>
      <c r="CV50" s="13" t="e">
        <f t="shared" si="41"/>
        <v>#NUM!</v>
      </c>
      <c r="CW50" s="20" t="e">
        <f t="shared" si="13"/>
        <v>#NUM!</v>
      </c>
      <c r="CX50" s="59" t="e">
        <f t="shared" si="14"/>
        <v>#NUM!</v>
      </c>
      <c r="CY50" s="59">
        <f ca="1">AVERAGE(OFFSET($CX$3,0,0,'Données projet'!$E$13+1,1))-AVERAGE(OFFSET($H$3,0,0,'Données projet'!$E$13+1,1))</f>
        <v>309.89554000341082</v>
      </c>
      <c r="CZ50" s="59">
        <f t="shared" si="42"/>
        <v>465.9235824539021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181.16888869441067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23.658303805406952</v>
      </c>
      <c r="DI50" s="22">
        <f t="shared" si="15"/>
        <v>204.82719249981761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8.1999999999999993</v>
      </c>
      <c r="N51" s="13">
        <f>IF('Données projet'!$A$36&gt;35,N50+M51-V50,IF(A51&lt;'Données projet'!$A$36,$K$205^A51,IF(A51='Données projet'!$A$36,'Données projet'!$B$36,N50+M51-V50)))</f>
        <v>213.60000000000011</v>
      </c>
      <c r="O51" s="13">
        <f>N51*VLOOKUP('Données projet'!$B$9,Paramètres!$A$1:$I$89,3,0)*VLOOKUP('Données projet'!$B$9,Paramètres!$A$1:$I$89,5,0)</f>
        <v>186.60096000000013</v>
      </c>
      <c r="P51" s="13">
        <f t="shared" si="33"/>
        <v>46.787685683664144</v>
      </c>
      <c r="Q51" s="20">
        <f t="shared" si="53"/>
        <v>406.48522456571527</v>
      </c>
      <c r="R51" s="59">
        <f t="shared" si="0"/>
        <v>699.81855789904853</v>
      </c>
      <c r="S51" s="59">
        <f ca="1">AVERAGE(OFFSET($R$3,0,0,'Données projet'!$E$9+1,1))-AVERAGE(OFFSET($H$3,0,0,'Données projet'!$E$9+1,1))</f>
        <v>281.82797419088109</v>
      </c>
      <c r="T51" s="59">
        <f t="shared" si="34"/>
        <v>298.98873283425371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19.945999825992647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2.3976259211580104</v>
      </c>
      <c r="AC51" s="22">
        <f t="shared" si="3"/>
        <v>22.343625747150657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5.6</v>
      </c>
      <c r="AI51" s="13">
        <f>IF('Données projet'!$A$62&gt;35,AI50+AH51-AQ50,IF(A51&lt;'Données projet'!$A$62,$AF$205^A51,IF(A51='Données projet'!$A$62,'Données projet'!$B$62,AI50+AH51-AQ50)))</f>
        <v>123.79999999999998</v>
      </c>
      <c r="AJ51" s="13">
        <f>AI51*VLOOKUP('Données projet'!$B$10,Paramètres!$A$1:$I$89,3,0)*VLOOKUP('Données projet'!$B$10,Paramètres!$A$1:$I$89,5,0)</f>
        <v>123.60191999999998</v>
      </c>
      <c r="AK51" s="13">
        <f t="shared" si="35"/>
        <v>32.513636543939356</v>
      </c>
      <c r="AL51" s="20">
        <f t="shared" si="4"/>
        <v>271.9012609806943</v>
      </c>
      <c r="AM51" s="59">
        <f t="shared" si="5"/>
        <v>565.23459431402762</v>
      </c>
      <c r="AN51" s="59">
        <f ca="1">AVERAGE(OFFSET($AM$3,0,0,'Données projet'!$E$10+1,1))-AVERAGE(OFFSET($H$3,0,0,'Données projet'!$E$10+1,1))</f>
        <v>206.53345322763442</v>
      </c>
      <c r="AO51" s="59">
        <f t="shared" si="36"/>
        <v>96.700732426680929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1.5896541457271587</v>
      </c>
      <c r="AX51" s="21">
        <f t="shared" si="6"/>
        <v>1.5896541457271587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11.2</v>
      </c>
      <c r="BD51" s="12">
        <f>IF('Données projet'!$A$88&gt;35,BD50+BC51-BL50,IF(A51&lt;'Données projet'!$A$88,$BA$205^A51,IF(A51='Données projet'!$A$88,'Données projet'!$B$88,BD50+BC51-BL50)))</f>
        <v>236.59999999999991</v>
      </c>
      <c r="BE51" s="13">
        <f>BD51*VLOOKUP('Données projet'!$B$11,Paramètres!$A$1:$I$89,3,0)*VLOOKUP('Données projet'!$B$11,Paramètres!$A$1:$I$89,5,0)</f>
        <v>199.31183999999993</v>
      </c>
      <c r="BF51" s="13">
        <f t="shared" si="37"/>
        <v>49.592900661217925</v>
      </c>
      <c r="BG51" s="20">
        <f t="shared" si="7"/>
        <v>433.50908998495447</v>
      </c>
      <c r="BH51" s="59">
        <f t="shared" si="8"/>
        <v>726.84242331828773</v>
      </c>
      <c r="BI51" s="59">
        <f ca="1">AVERAGE(OFFSET($BH$3,0,0,'Données projet'!$E$11+1,1))-AVERAGE(OFFSET($H$3,0,0,'Données projet'!$E$11+1,1))</f>
        <v>328.34986205643321</v>
      </c>
      <c r="BJ51" s="59">
        <f t="shared" si="38"/>
        <v>251.60894449147008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2.8691200404844848</v>
      </c>
      <c r="BS51" s="22">
        <f t="shared" si="9"/>
        <v>2.8691200404844848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11.2</v>
      </c>
      <c r="BY51" s="12">
        <f>IF('Données projet'!$A$114&gt;35,BY50+BX51-CG50,IF(A51&lt;'Données projet'!$A$114,$BV$205^A51,IF(A51='Données projet'!$A$114,'Données projet'!$B$114,BY50+BX51-CG50)))</f>
        <v>236.59999999999991</v>
      </c>
      <c r="BZ51" s="13">
        <f>BY51*VLOOKUP('Données projet'!$B$12,Paramètres!$A$1:$I$89,3,0)*VLOOKUP('Données projet'!$B$12,Paramètres!$A$1:$I$89,5,0)</f>
        <v>214.07567999999992</v>
      </c>
      <c r="CA51" s="13">
        <f t="shared" si="39"/>
        <v>52.825225496078176</v>
      </c>
      <c r="CB51" s="20">
        <f t="shared" si="10"/>
        <v>464.85241040566939</v>
      </c>
      <c r="CC51" s="59">
        <f t="shared" si="11"/>
        <v>758.18574373900265</v>
      </c>
      <c r="CD51" s="59">
        <f ca="1">AVERAGE(OFFSET($CC$3,0,0,'Données projet'!$E$12+1,1))-AVERAGE(OFFSET($H$3,0,0,'Données projet'!$E$12+1,1))</f>
        <v>360.44607552967267</v>
      </c>
      <c r="CE51" s="59">
        <f t="shared" si="40"/>
        <v>271.54361159160169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3.0816474508907445</v>
      </c>
      <c r="CN51" s="22">
        <f t="shared" si="12"/>
        <v>3.0816474508907445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>
        <f>CT51*VLOOKUP('Données projet'!$B$13,Paramètres!$A$1:$I$89,3,0)*VLOOKUP('Données projet'!$B$13,Paramètres!$A$1:$I$89,5,0)</f>
        <v>0</v>
      </c>
      <c r="CV51" s="13" t="e">
        <f t="shared" si="41"/>
        <v>#NUM!</v>
      </c>
      <c r="CW51" s="20" t="e">
        <f t="shared" si="13"/>
        <v>#NUM!</v>
      </c>
      <c r="CX51" s="59" t="e">
        <f t="shared" si="14"/>
        <v>#NUM!</v>
      </c>
      <c r="CY51" s="59">
        <f ca="1">AVERAGE(OFFSET($CX$3,0,0,'Données projet'!$E$13+1,1))-AVERAGE(OFFSET($H$3,0,0,'Données projet'!$E$13+1,1))</f>
        <v>309.89554000341082</v>
      </c>
      <c r="CZ51" s="59">
        <f t="shared" si="42"/>
        <v>465.9235824539021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177.6162772892242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16.72894705217476</v>
      </c>
      <c r="DI51" s="22">
        <f t="shared" si="15"/>
        <v>194.34522434139896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8.1999999999999993</v>
      </c>
      <c r="N52" s="13">
        <f>IF('Données projet'!$A$36&gt;35,N51+M52-V51,IF(A52&lt;'Données projet'!$A$36,$K$205^A52,IF(A52='Données projet'!$A$36,'Données projet'!$B$36,N51+M52-V51)))</f>
        <v>221.8000000000001</v>
      </c>
      <c r="O52" s="13">
        <f>N52*VLOOKUP('Données projet'!$B$9,Paramètres!$A$1:$I$89,3,0)*VLOOKUP('Données projet'!$B$9,Paramètres!$A$1:$I$89,5,0)</f>
        <v>193.76448000000011</v>
      </c>
      <c r="P52" s="13">
        <f t="shared" si="33"/>
        <v>48.371273222646494</v>
      </c>
      <c r="Q52" s="20">
        <f t="shared" si="53"/>
        <v>421.71977019610949</v>
      </c>
      <c r="R52" s="59">
        <f t="shared" si="0"/>
        <v>715.05310352944275</v>
      </c>
      <c r="S52" s="59">
        <f ca="1">AVERAGE(OFFSET($R$3,0,0,'Données projet'!$E$9+1,1))-AVERAGE(OFFSET($H$3,0,0,'Données projet'!$E$9+1,1))</f>
        <v>281.82797419088109</v>
      </c>
      <c r="T52" s="59">
        <f t="shared" si="34"/>
        <v>298.98873283425371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19.554870935263548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1.6953775475994719</v>
      </c>
      <c r="AC52" s="22">
        <f t="shared" si="3"/>
        <v>21.250248482863018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5.6</v>
      </c>
      <c r="AI52" s="13">
        <f>IF('Données projet'!$A$62&gt;35,AI51+AH52-AQ51,IF(A52&lt;'Données projet'!$A$62,$AF$205^A52,IF(A52='Données projet'!$A$62,'Données projet'!$B$62,AI51+AH52-AQ51)))</f>
        <v>129.39999999999998</v>
      </c>
      <c r="AJ52" s="13">
        <f>AI52*VLOOKUP('Données projet'!$B$10,Paramètres!$A$1:$I$89,3,0)*VLOOKUP('Données projet'!$B$10,Paramètres!$A$1:$I$89,5,0)</f>
        <v>129.19296</v>
      </c>
      <c r="AK52" s="13">
        <f t="shared" si="35"/>
        <v>33.809808550016378</v>
      </c>
      <c r="AL52" s="20">
        <f t="shared" si="4"/>
        <v>283.89648855794519</v>
      </c>
      <c r="AM52" s="59">
        <f t="shared" si="5"/>
        <v>577.22982189127856</v>
      </c>
      <c r="AN52" s="59">
        <f ca="1">AVERAGE(OFFSET($AM$3,0,0,'Données projet'!$E$10+1,1))-AVERAGE(OFFSET($H$3,0,0,'Données projet'!$E$10+1,1))</f>
        <v>206.53345322763442</v>
      </c>
      <c r="AO52" s="59">
        <f t="shared" si="36"/>
        <v>96.700732426680929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1.1240552261849821</v>
      </c>
      <c r="AX52" s="21">
        <f t="shared" si="6"/>
        <v>1.1240552261849821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11.2</v>
      </c>
      <c r="BD52" s="12">
        <f>IF('Données projet'!$A$88&gt;35,BD51+BC52-BL51,IF(A52&lt;'Données projet'!$A$88,$BA$205^A52,IF(A52='Données projet'!$A$88,'Données projet'!$B$88,BD51+BC52-BL51)))</f>
        <v>247.7999999999999</v>
      </c>
      <c r="BE52" s="13">
        <f>BD52*VLOOKUP('Données projet'!$B$11,Paramètres!$A$1:$I$89,3,0)*VLOOKUP('Données projet'!$B$11,Paramètres!$A$1:$I$89,5,0)</f>
        <v>208.74671999999993</v>
      </c>
      <c r="BF52" s="13">
        <f t="shared" si="37"/>
        <v>51.661617147836218</v>
      </c>
      <c r="BG52" s="20">
        <f t="shared" si="7"/>
        <v>453.54452053248133</v>
      </c>
      <c r="BH52" s="59">
        <f t="shared" si="8"/>
        <v>746.87785386581459</v>
      </c>
      <c r="BI52" s="59">
        <f ca="1">AVERAGE(OFFSET($BH$3,0,0,'Données projet'!$E$11+1,1))-AVERAGE(OFFSET($H$3,0,0,'Données projet'!$E$11+1,1))</f>
        <v>328.34986205643321</v>
      </c>
      <c r="BJ52" s="59">
        <f t="shared" si="38"/>
        <v>251.60894449147008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2.0287742366648009</v>
      </c>
      <c r="BS52" s="22">
        <f t="shared" si="9"/>
        <v>2.0287742366648009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11.2</v>
      </c>
      <c r="BY52" s="12">
        <f>IF('Données projet'!$A$114&gt;35,BY51+BX52-CG51,IF(A52&lt;'Données projet'!$A$114,$BV$205^A52,IF(A52='Données projet'!$A$114,'Données projet'!$B$114,BY51+BX52-CG51)))</f>
        <v>247.7999999999999</v>
      </c>
      <c r="BZ52" s="13">
        <f>BY52*VLOOKUP('Données projet'!$B$12,Paramètres!$A$1:$I$89,3,0)*VLOOKUP('Données projet'!$B$12,Paramètres!$A$1:$I$89,5,0)</f>
        <v>224.20943999999992</v>
      </c>
      <c r="CA52" s="13">
        <f t="shared" si="39"/>
        <v>55.028775065392324</v>
      </c>
      <c r="CB52" s="20">
        <f t="shared" si="10"/>
        <v>486.33989123889143</v>
      </c>
      <c r="CC52" s="59">
        <f t="shared" si="11"/>
        <v>779.67322457222474</v>
      </c>
      <c r="CD52" s="59">
        <f ca="1">AVERAGE(OFFSET($CC$3,0,0,'Données projet'!$E$12+1,1))-AVERAGE(OFFSET($H$3,0,0,'Données projet'!$E$12+1,1))</f>
        <v>360.44607552967267</v>
      </c>
      <c r="CE52" s="59">
        <f t="shared" si="40"/>
        <v>271.54361159160169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2.1790538097510836</v>
      </c>
      <c r="CN52" s="22">
        <f t="shared" si="12"/>
        <v>2.1790538097510836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>
        <f>CT52*VLOOKUP('Données projet'!$B$13,Paramètres!$A$1:$I$89,3,0)*VLOOKUP('Données projet'!$B$13,Paramètres!$A$1:$I$89,5,0)</f>
        <v>0</v>
      </c>
      <c r="CV52" s="13" t="e">
        <f t="shared" si="41"/>
        <v>#NUM!</v>
      </c>
      <c r="CW52" s="20" t="e">
        <f t="shared" si="13"/>
        <v>#NUM!</v>
      </c>
      <c r="CX52" s="59" t="e">
        <f t="shared" si="14"/>
        <v>#NUM!</v>
      </c>
      <c r="CY52" s="59">
        <f ca="1">AVERAGE(OFFSET($CX$3,0,0,'Données projet'!$E$13+1,1))-AVERAGE(OFFSET($H$3,0,0,'Données projet'!$E$13+1,1))</f>
        <v>309.89554000341082</v>
      </c>
      <c r="CZ52" s="59">
        <f t="shared" si="42"/>
        <v>465.9235824539021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174.13333042681444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11.829151902703478</v>
      </c>
      <c r="DI52" s="22">
        <f t="shared" si="15"/>
        <v>185.96248232951791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230</v>
      </c>
      <c r="L53" s="12">
        <f>VLOOKUP(A53,'Données projet'!$A$35:$I$55,9,0)</f>
        <v>8.1999999999999993</v>
      </c>
      <c r="M53" s="12">
        <f t="array" ref="M53">INDEX(L:L,MIN(IF(ISNUMBER(L53:L249),ROW(L53:L249),"")))</f>
        <v>8.1999999999999993</v>
      </c>
      <c r="N53" s="13">
        <f>IF('Données projet'!$A$36&gt;35,N52+M53-V52,IF(A53&lt;'Données projet'!$A$36,$K$205^A53,IF(A53='Données projet'!$A$36,'Données projet'!$B$36,N52+M53-V52)))</f>
        <v>230.00000000000009</v>
      </c>
      <c r="O53" s="13">
        <f>N53*VLOOKUP('Données projet'!$B$9,Paramètres!$A$1:$I$89,3,0)*VLOOKUP('Données projet'!$B$9,Paramètres!$A$1:$I$89,5,0)</f>
        <v>200.92800000000011</v>
      </c>
      <c r="P53" s="13">
        <f t="shared" si="33"/>
        <v>49.948059057189084</v>
      </c>
      <c r="Q53" s="20">
        <f t="shared" si="53"/>
        <v>436.94246952460452</v>
      </c>
      <c r="R53" s="59">
        <f t="shared" si="0"/>
        <v>730.27580285793783</v>
      </c>
      <c r="S53" s="59">
        <f ca="1">AVERAGE(OFFSET($R$3,0,0,'Données projet'!$E$9+1,1))-AVERAGE(OFFSET($H$3,0,0,'Données projet'!$E$9+1,1))</f>
        <v>281.82797419088109</v>
      </c>
      <c r="T53" s="59">
        <f t="shared" si="34"/>
        <v>298.98873283425371</v>
      </c>
      <c r="U53" s="15">
        <f>IF(ISNA(VLOOKUP(A53,'Données projet'!$A$35:$I$55,3,0)),0,VLOOKUP(A53,'Données projet'!$A$35:$I$55,3,0))</f>
        <v>9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0.34400000000000003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0.1</v>
      </c>
      <c r="Z53" s="21">
        <f>EXP(-LN(2)/35)*Z52+(1-EXP(-LN(2)/35))/(LN(2)/35)*V53*W53*VLOOKUP('Données projet'!$B$9,Paramètres!$A$1:$I$89,3,0)*0.475*44/12</f>
        <v>28.473409155246358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3.5067552758569533</v>
      </c>
      <c r="AC53" s="22">
        <f t="shared" si="3"/>
        <v>31.980164431103312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135</v>
      </c>
      <c r="AG53" s="12">
        <f>VLOOKUP(A53,'Données projet'!$A$61:$I$81,9,0)</f>
        <v>5.6</v>
      </c>
      <c r="AH53" s="12">
        <f t="array" ref="AH53">INDEX(AG:AG,MIN(IF(ISNUMBER(AG53:AG249),ROW(AG53:AG249),"")))</f>
        <v>5.6</v>
      </c>
      <c r="AI53" s="13">
        <f>IF('Données projet'!$A$62&gt;35,AI52+AH53-AQ52,IF(A53&lt;'Données projet'!$A$62,$AF$205^A53,IF(A53='Données projet'!$A$62,'Données projet'!$B$62,AI52+AH53-AQ52)))</f>
        <v>134.99999999999997</v>
      </c>
      <c r="AJ53" s="13">
        <f>AI53*VLOOKUP('Données projet'!$B$10,Paramètres!$A$1:$I$89,3,0)*VLOOKUP('Données projet'!$B$10,Paramètres!$A$1:$I$89,5,0)</f>
        <v>134.78399999999996</v>
      </c>
      <c r="AK53" s="13">
        <f t="shared" si="35"/>
        <v>35.099465485142126</v>
      </c>
      <c r="AL53" s="20">
        <f t="shared" si="4"/>
        <v>295.88036905328914</v>
      </c>
      <c r="AM53" s="59">
        <f t="shared" si="5"/>
        <v>589.21370238662246</v>
      </c>
      <c r="AN53" s="59">
        <f ca="1">AVERAGE(OFFSET($AM$3,0,0,'Données projet'!$E$10+1,1))-AVERAGE(OFFSET($H$3,0,0,'Données projet'!$E$10+1,1))</f>
        <v>206.53345322763442</v>
      </c>
      <c r="AO53" s="59">
        <f t="shared" si="36"/>
        <v>96.700732426680929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1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27.171310676040132</v>
      </c>
      <c r="AX53" s="21">
        <f t="shared" si="6"/>
        <v>27.171310676040132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259</v>
      </c>
      <c r="BB53" s="12">
        <f>VLOOKUP(A53,'Données projet'!$A$87:$I$107,9,0)</f>
        <v>11.2</v>
      </c>
      <c r="BC53" s="12">
        <f t="array" ref="BC53">INDEX(BB:BB,MIN(IF(ISNUMBER(BB53:BB249),ROW(BB53:BB249),"")))</f>
        <v>11.2</v>
      </c>
      <c r="BD53" s="12">
        <f>IF('Données projet'!$A$88&gt;35,BD52+BC53-BL52,IF(A53&lt;'Données projet'!$A$88,$BA$205^A53,IF(A53='Données projet'!$A$88,'Données projet'!$B$88,BD52+BC53-BL52)))</f>
        <v>258.99999999999989</v>
      </c>
      <c r="BE53" s="13">
        <f>BD53*VLOOKUP('Données projet'!$B$11,Paramètres!$A$1:$I$89,3,0)*VLOOKUP('Données projet'!$B$11,Paramètres!$A$1:$I$89,5,0)</f>
        <v>218.18159999999995</v>
      </c>
      <c r="BF53" s="13">
        <f t="shared" si="37"/>
        <v>53.719474757115933</v>
      </c>
      <c r="BG53" s="20">
        <f t="shared" si="7"/>
        <v>473.56103853531016</v>
      </c>
      <c r="BH53" s="59">
        <f t="shared" si="8"/>
        <v>766.89437186864347</v>
      </c>
      <c r="BI53" s="59">
        <f ca="1">AVERAGE(OFFSET($BH$3,0,0,'Données projet'!$E$11+1,1))-AVERAGE(OFFSET($H$3,0,0,'Données projet'!$E$11+1,1))</f>
        <v>328.34986205643321</v>
      </c>
      <c r="BJ53" s="59">
        <f t="shared" si="38"/>
        <v>251.60894449147008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56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22.424457805062858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1.4345600202422424</v>
      </c>
      <c r="BS53" s="22">
        <f t="shared" si="9"/>
        <v>23.859017825305099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259</v>
      </c>
      <c r="BW53" s="12">
        <f>VLOOKUP(A53,'Données projet'!$A$113:$I$133,9,0)</f>
        <v>11.2</v>
      </c>
      <c r="BX53" s="12">
        <f t="array" ref="BX53">INDEX(BW:BW,MIN(IF(ISNUMBER(BW53:BW249),ROW(BW53:BW249),"")))</f>
        <v>11.2</v>
      </c>
      <c r="BY53" s="12">
        <f>IF('Données projet'!$A$114&gt;35,BY52+BX53-CG52,IF(A53&lt;'Données projet'!$A$114,$BV$205^A53,IF(A53='Données projet'!$A$114,'Données projet'!$B$114,BY52+BX53-CG52)))</f>
        <v>258.99999999999989</v>
      </c>
      <c r="BZ53" s="13">
        <f>BY53*VLOOKUP('Données projet'!$B$12,Paramètres!$A$1:$I$89,3,0)*VLOOKUP('Données projet'!$B$12,Paramètres!$A$1:$I$89,5,0)</f>
        <v>234.34319999999988</v>
      </c>
      <c r="CA53" s="13">
        <f t="shared" si="39"/>
        <v>57.220758006491614</v>
      </c>
      <c r="CB53" s="20">
        <f t="shared" si="10"/>
        <v>507.80722686130594</v>
      </c>
      <c r="CC53" s="59">
        <f t="shared" si="11"/>
        <v>801.14056019463919</v>
      </c>
      <c r="CD53" s="59">
        <f ca="1">AVERAGE(OFFSET($CC$3,0,0,'Données projet'!$E$12+1,1))-AVERAGE(OFFSET($H$3,0,0,'Données projet'!$E$12+1,1))</f>
        <v>360.44607552967267</v>
      </c>
      <c r="CE53" s="59">
        <f t="shared" si="40"/>
        <v>271.54361159160169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56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24.085528753586029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1.5408237254453723</v>
      </c>
      <c r="CN53" s="22">
        <f t="shared" si="12"/>
        <v>25.6263524790314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>
        <f>CT53*VLOOKUP('Données projet'!$B$13,Paramètres!$A$1:$I$89,3,0)*VLOOKUP('Données projet'!$B$13,Paramètres!$A$1:$I$89,5,0)</f>
        <v>0</v>
      </c>
      <c r="CV53" s="13" t="e">
        <f t="shared" si="41"/>
        <v>#NUM!</v>
      </c>
      <c r="CW53" s="20" t="e">
        <f t="shared" si="13"/>
        <v>#NUM!</v>
      </c>
      <c r="CX53" s="59" t="e">
        <f t="shared" si="14"/>
        <v>#NUM!</v>
      </c>
      <c r="CY53" s="59">
        <f ca="1">AVERAGE(OFFSET($CX$3,0,0,'Données projet'!$E$13+1,1))-AVERAGE(OFFSET($H$3,0,0,'Données projet'!$E$13+1,1))</f>
        <v>309.89554000341082</v>
      </c>
      <c r="CZ53" s="59">
        <f t="shared" si="42"/>
        <v>465.9235824539021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170.71868202798871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8.3644735260873802</v>
      </c>
      <c r="DI53" s="22">
        <f t="shared" si="15"/>
        <v>179.08315555407609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7.4</v>
      </c>
      <c r="N54" s="13">
        <f>IF('Données projet'!$A$36&gt;35,N53+M54-V53,IF(A54&lt;'Données projet'!$A$36,$K$205^A54,IF(A54='Données projet'!$A$36,'Données projet'!$B$36,N53+M54-V53)))</f>
        <v>209.40000000000009</v>
      </c>
      <c r="O54" s="13">
        <f>N54*VLOOKUP('Données projet'!$B$9,Paramètres!$A$1:$I$89,3,0)*VLOOKUP('Données projet'!$B$9,Paramètres!$A$1:$I$89,5,0)</f>
        <v>182.93184000000011</v>
      </c>
      <c r="P54" s="13">
        <f t="shared" si="33"/>
        <v>45.973851929814685</v>
      </c>
      <c r="Q54" s="20">
        <f t="shared" si="53"/>
        <v>398.67741344442743</v>
      </c>
      <c r="R54" s="59">
        <f t="shared" si="0"/>
        <v>692.01074677776069</v>
      </c>
      <c r="S54" s="59">
        <f ca="1">AVERAGE(OFFSET($R$3,0,0,'Données projet'!$E$9+1,1))-AVERAGE(OFFSET($H$3,0,0,'Données projet'!$E$9+1,1))</f>
        <v>281.82797419088109</v>
      </c>
      <c r="T54" s="59">
        <f t="shared" si="34"/>
        <v>298.98873283425371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27.915062968776706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2.4796504355201541</v>
      </c>
      <c r="AC54" s="22">
        <f t="shared" si="3"/>
        <v>30.394713404296859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5.6</v>
      </c>
      <c r="AI54" s="13">
        <f>IF('Données projet'!$A$62&gt;35,AI53+AH54-AQ53,IF(A54&lt;'Données projet'!$A$62,$AF$205^A54,IF(A54='Données projet'!$A$62,'Données projet'!$B$62,AI53+AH54-AQ53)))</f>
        <v>112.59999999999997</v>
      </c>
      <c r="AJ54" s="13">
        <f>AI54*VLOOKUP('Données projet'!$B$10,Paramètres!$A$1:$I$89,3,0)*VLOOKUP('Données projet'!$B$10,Paramètres!$A$1:$I$89,5,0)</f>
        <v>112.41983999999997</v>
      </c>
      <c r="AK54" s="13">
        <f t="shared" si="35"/>
        <v>29.900393707402358</v>
      </c>
      <c r="AL54" s="20">
        <f t="shared" si="4"/>
        <v>247.87440704039238</v>
      </c>
      <c r="AM54" s="59">
        <f t="shared" si="5"/>
        <v>541.20774037372576</v>
      </c>
      <c r="AN54" s="59">
        <f ca="1">AVERAGE(OFFSET($AM$3,0,0,'Données projet'!$E$10+1,1))-AVERAGE(OFFSET($H$3,0,0,'Données projet'!$E$10+1,1))</f>
        <v>206.53345322763442</v>
      </c>
      <c r="AO54" s="59">
        <f t="shared" si="36"/>
        <v>96.700732426680929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19.213018032754412</v>
      </c>
      <c r="AX54" s="21">
        <f t="shared" si="6"/>
        <v>19.213018032754412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9.8000000000000007</v>
      </c>
      <c r="BD54" s="12">
        <f>IF('Données projet'!$A$88&gt;35,BD53+BC54-BL53,IF(A54&lt;'Données projet'!$A$88,$BA$205^A54,IF(A54='Données projet'!$A$88,'Données projet'!$B$88,BD53+BC54-BL53)))</f>
        <v>212.7999999999999</v>
      </c>
      <c r="BE54" s="13">
        <f>BD54*VLOOKUP('Données projet'!$B$11,Paramètres!$A$1:$I$89,3,0)*VLOOKUP('Données projet'!$B$11,Paramètres!$A$1:$I$89,5,0)</f>
        <v>179.26271999999992</v>
      </c>
      <c r="BF54" s="13">
        <f t="shared" si="37"/>
        <v>45.158115787467111</v>
      </c>
      <c r="BG54" s="20">
        <f t="shared" si="7"/>
        <v>390.86628899650503</v>
      </c>
      <c r="BH54" s="59">
        <f t="shared" si="8"/>
        <v>684.19962232983835</v>
      </c>
      <c r="BI54" s="59">
        <f ca="1">AVERAGE(OFFSET($BH$3,0,0,'Données projet'!$E$11+1,1))-AVERAGE(OFFSET($H$3,0,0,'Données projet'!$E$11+1,1))</f>
        <v>328.34986205643321</v>
      </c>
      <c r="BJ54" s="59">
        <f t="shared" si="38"/>
        <v>251.60894449147008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21.984727865074287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1.0143871183324005</v>
      </c>
      <c r="BS54" s="22">
        <f t="shared" si="9"/>
        <v>22.999114983406688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9.8000000000000007</v>
      </c>
      <c r="BY54" s="12">
        <f>IF('Données projet'!$A$114&gt;35,BY53+BX54-CG53,IF(A54&lt;'Données projet'!$A$114,$BV$205^A54,IF(A54='Données projet'!$A$114,'Données projet'!$B$114,BY53+BX54-CG53)))</f>
        <v>212.7999999999999</v>
      </c>
      <c r="BZ54" s="13">
        <f>BY54*VLOOKUP('Données projet'!$B$12,Paramètres!$A$1:$I$89,3,0)*VLOOKUP('Données projet'!$B$12,Paramètres!$A$1:$I$89,5,0)</f>
        <v>192.54143999999991</v>
      </c>
      <c r="CA54" s="13">
        <f t="shared" si="39"/>
        <v>48.101393902059698</v>
      </c>
      <c r="CB54" s="20">
        <f t="shared" si="10"/>
        <v>419.11960237942048</v>
      </c>
      <c r="CC54" s="59">
        <f t="shared" si="11"/>
        <v>712.45293571275374</v>
      </c>
      <c r="CD54" s="59">
        <f ca="1">AVERAGE(OFFSET($CC$3,0,0,'Données projet'!$E$12+1,1))-AVERAGE(OFFSET($H$3,0,0,'Données projet'!$E$12+1,1))</f>
        <v>360.44607552967267</v>
      </c>
      <c r="CE54" s="59">
        <f t="shared" si="40"/>
        <v>271.54361159160169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23.613226225450159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1.0895269048755418</v>
      </c>
      <c r="CN54" s="22">
        <f t="shared" si="12"/>
        <v>24.7027531303257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>
        <f>CT54*VLOOKUP('Données projet'!$B$13,Paramètres!$A$1:$I$89,3,0)*VLOOKUP('Données projet'!$B$13,Paramètres!$A$1:$I$89,5,0)</f>
        <v>0</v>
      </c>
      <c r="CV54" s="13" t="e">
        <f t="shared" si="41"/>
        <v>#NUM!</v>
      </c>
      <c r="CW54" s="20" t="e">
        <f t="shared" si="13"/>
        <v>#NUM!</v>
      </c>
      <c r="CX54" s="59" t="e">
        <f t="shared" si="14"/>
        <v>#NUM!</v>
      </c>
      <c r="CY54" s="59">
        <f ca="1">AVERAGE(OFFSET($CX$3,0,0,'Données projet'!$E$13+1,1))-AVERAGE(OFFSET($H$3,0,0,'Données projet'!$E$13+1,1))</f>
        <v>309.89554000341082</v>
      </c>
      <c r="CZ54" s="59">
        <f t="shared" si="42"/>
        <v>465.9235824539021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167.3709928015341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5.9145759513517389</v>
      </c>
      <c r="DI54" s="22">
        <f t="shared" si="15"/>
        <v>173.28556875288584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7.4</v>
      </c>
      <c r="N55" s="13">
        <f>IF('Données projet'!$A$36&gt;35,N54+M55-V54,IF(A55&lt;'Données projet'!$A$36,$K$205^A55,IF(A55='Données projet'!$A$36,'Données projet'!$B$36,N54+M55-V54)))</f>
        <v>216.8000000000001</v>
      </c>
      <c r="O55" s="13">
        <f>N55*VLOOKUP('Données projet'!$B$9,Paramètres!$A$1:$I$89,3,0)*VLOOKUP('Données projet'!$B$9,Paramètres!$A$1:$I$89,5,0)</f>
        <v>189.39648000000011</v>
      </c>
      <c r="P55" s="13">
        <f t="shared" si="33"/>
        <v>47.406498452084548</v>
      </c>
      <c r="Q55" s="20">
        <f t="shared" si="53"/>
        <v>412.43185413738075</v>
      </c>
      <c r="R55" s="59">
        <f t="shared" si="0"/>
        <v>705.76518747071407</v>
      </c>
      <c r="S55" s="59">
        <f ca="1">AVERAGE(OFFSET($R$3,0,0,'Données projet'!$E$9+1,1))-AVERAGE(OFFSET($H$3,0,0,'Données projet'!$E$9+1,1))</f>
        <v>281.82797419088109</v>
      </c>
      <c r="T55" s="59">
        <f t="shared" si="34"/>
        <v>298.98873283425371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27.367665610466176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1.7533776379284769</v>
      </c>
      <c r="AC55" s="22">
        <f t="shared" si="3"/>
        <v>29.121043248394653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5.6</v>
      </c>
      <c r="AI55" s="13">
        <f>IF('Données projet'!$A$62&gt;35,AI54+AH55-AQ54,IF(A55&lt;'Données projet'!$A$62,$AF$205^A55,IF(A55='Données projet'!$A$62,'Données projet'!$B$62,AI54+AH55-AQ54)))</f>
        <v>118.19999999999996</v>
      </c>
      <c r="AJ55" s="13">
        <f>AI55*VLOOKUP('Données projet'!$B$10,Paramètres!$A$1:$I$89,3,0)*VLOOKUP('Données projet'!$B$10,Paramètres!$A$1:$I$89,5,0)</f>
        <v>118.01087999999997</v>
      </c>
      <c r="AK55" s="13">
        <f t="shared" si="35"/>
        <v>31.210619370303242</v>
      </c>
      <c r="AL55" s="20">
        <f t="shared" si="4"/>
        <v>259.89411140327809</v>
      </c>
      <c r="AM55" s="59">
        <f t="shared" si="5"/>
        <v>553.22744473661146</v>
      </c>
      <c r="AN55" s="59">
        <f ca="1">AVERAGE(OFFSET($AM$3,0,0,'Données projet'!$E$10+1,1))-AVERAGE(OFFSET($H$3,0,0,'Données projet'!$E$10+1,1))</f>
        <v>206.53345322763442</v>
      </c>
      <c r="AO55" s="59">
        <f t="shared" si="36"/>
        <v>96.700732426680929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13.585655338020066</v>
      </c>
      <c r="AX55" s="21">
        <f t="shared" si="6"/>
        <v>13.585655338020066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9.8000000000000007</v>
      </c>
      <c r="BD55" s="12">
        <f>IF('Données projet'!$A$88&gt;35,BD54+BC55-BL54,IF(A55&lt;'Données projet'!$A$88,$BA$205^A55,IF(A55='Données projet'!$A$88,'Données projet'!$B$88,BD54+BC55-BL54)))</f>
        <v>222.59999999999991</v>
      </c>
      <c r="BE55" s="13">
        <f>BD55*VLOOKUP('Données projet'!$B$11,Paramètres!$A$1:$I$89,3,0)*VLOOKUP('Données projet'!$B$11,Paramètres!$A$1:$I$89,5,0)</f>
        <v>187.51823999999996</v>
      </c>
      <c r="BF55" s="13">
        <f t="shared" si="37"/>
        <v>46.990851800962481</v>
      </c>
      <c r="BG55" s="20">
        <f t="shared" si="7"/>
        <v>408.43666822000955</v>
      </c>
      <c r="BH55" s="59">
        <f t="shared" si="8"/>
        <v>701.77000155334281</v>
      </c>
      <c r="BI55" s="59">
        <f ca="1">AVERAGE(OFFSET($BH$3,0,0,'Données projet'!$E$11+1,1))-AVERAGE(OFFSET($H$3,0,0,'Données projet'!$E$11+1,1))</f>
        <v>328.34986205643321</v>
      </c>
      <c r="BJ55" s="59">
        <f t="shared" si="38"/>
        <v>251.60894449147008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21.553620761000115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0.71728001012112119</v>
      </c>
      <c r="BS55" s="22">
        <f t="shared" si="9"/>
        <v>22.270900771121237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9.8000000000000007</v>
      </c>
      <c r="BY55" s="12">
        <f>IF('Données projet'!$A$114&gt;35,BY54+BX55-CG54,IF(A55&lt;'Données projet'!$A$114,$BV$205^A55,IF(A55='Données projet'!$A$114,'Données projet'!$B$114,BY54+BX55-CG54)))</f>
        <v>222.59999999999991</v>
      </c>
      <c r="BZ55" s="13">
        <f>BY55*VLOOKUP('Données projet'!$B$12,Paramètres!$A$1:$I$89,3,0)*VLOOKUP('Données projet'!$B$12,Paramètres!$A$1:$I$89,5,0)</f>
        <v>201.40847999999991</v>
      </c>
      <c r="CA55" s="13">
        <f t="shared" si="39"/>
        <v>50.053582459229212</v>
      </c>
      <c r="CB55" s="20">
        <f t="shared" si="10"/>
        <v>437.96309211649071</v>
      </c>
      <c r="CC55" s="59">
        <f t="shared" si="11"/>
        <v>731.29642544982403</v>
      </c>
      <c r="CD55" s="59">
        <f ca="1">AVERAGE(OFFSET($CC$3,0,0,'Données projet'!$E$12+1,1))-AVERAGE(OFFSET($H$3,0,0,'Données projet'!$E$12+1,1))</f>
        <v>360.44607552967267</v>
      </c>
      <c r="CE55" s="59">
        <f t="shared" si="40"/>
        <v>271.54361159160169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23.150185261814936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0.77041186272268614</v>
      </c>
      <c r="CN55" s="22">
        <f t="shared" si="12"/>
        <v>23.920597124537622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>
        <f>CT55*VLOOKUP('Données projet'!$B$13,Paramètres!$A$1:$I$89,3,0)*VLOOKUP('Données projet'!$B$13,Paramètres!$A$1:$I$89,5,0)</f>
        <v>0</v>
      </c>
      <c r="CV55" s="13" t="e">
        <f t="shared" si="41"/>
        <v>#NUM!</v>
      </c>
      <c r="CW55" s="20" t="e">
        <f t="shared" si="13"/>
        <v>#NUM!</v>
      </c>
      <c r="CX55" s="59" t="e">
        <f t="shared" si="14"/>
        <v>#NUM!</v>
      </c>
      <c r="CY55" s="59">
        <f ca="1">AVERAGE(OFFSET($CX$3,0,0,'Données projet'!$E$13+1,1))-AVERAGE(OFFSET($H$3,0,0,'Données projet'!$E$13+1,1))</f>
        <v>309.89554000341082</v>
      </c>
      <c r="CZ55" s="59">
        <f t="shared" si="42"/>
        <v>465.9235824539021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164.08894971892144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4.1822367630436901</v>
      </c>
      <c r="DI55" s="22">
        <f t="shared" si="15"/>
        <v>168.27118648196512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7.4</v>
      </c>
      <c r="N56" s="13">
        <f>IF('Données projet'!$A$36&gt;35,N55+M56-V55,IF(A56&lt;'Données projet'!$A$36,$K$205^A56,IF(A56='Données projet'!$A$36,'Données projet'!$B$36,N55+M56-V55)))</f>
        <v>224.2000000000001</v>
      </c>
      <c r="O56" s="13">
        <f>N56*VLOOKUP('Données projet'!$B$9,Paramètres!$A$1:$I$89,3,0)*VLOOKUP('Données projet'!$B$9,Paramètres!$A$1:$I$89,5,0)</f>
        <v>195.86112000000011</v>
      </c>
      <c r="P56" s="13">
        <f t="shared" si="33"/>
        <v>48.833463106716465</v>
      </c>
      <c r="Q56" s="20">
        <f t="shared" si="53"/>
        <v>426.17639891086469</v>
      </c>
      <c r="R56" s="59">
        <f t="shared" si="0"/>
        <v>719.50973224419795</v>
      </c>
      <c r="S56" s="59">
        <f ca="1">AVERAGE(OFFSET($R$3,0,0,'Données projet'!$E$9+1,1))-AVERAGE(OFFSET($H$3,0,0,'Données projet'!$E$9+1,1))</f>
        <v>281.82797419088109</v>
      </c>
      <c r="T56" s="59">
        <f t="shared" si="34"/>
        <v>298.98873283425371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26.831002380472697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1.2398252177600773</v>
      </c>
      <c r="AC56" s="22">
        <f t="shared" si="3"/>
        <v>28.070827598232775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5.6</v>
      </c>
      <c r="AI56" s="13">
        <f>IF('Données projet'!$A$62&gt;35,AI55+AH56-AQ55,IF(A56&lt;'Données projet'!$A$62,$AF$205^A56,IF(A56='Données projet'!$A$62,'Données projet'!$B$62,AI55+AH56-AQ55)))</f>
        <v>123.79999999999995</v>
      </c>
      <c r="AJ56" s="13">
        <f>AI56*VLOOKUP('Données projet'!$B$10,Paramètres!$A$1:$I$89,3,0)*VLOOKUP('Données projet'!$B$10,Paramètres!$A$1:$I$89,5,0)</f>
        <v>123.60191999999996</v>
      </c>
      <c r="AK56" s="13">
        <f t="shared" si="35"/>
        <v>32.513636543939356</v>
      </c>
      <c r="AL56" s="20">
        <f t="shared" si="4"/>
        <v>271.9012609806943</v>
      </c>
      <c r="AM56" s="59">
        <f t="shared" si="5"/>
        <v>565.23459431402762</v>
      </c>
      <c r="AN56" s="59">
        <f ca="1">AVERAGE(OFFSET($AM$3,0,0,'Données projet'!$E$10+1,1))-AVERAGE(OFFSET($H$3,0,0,'Données projet'!$E$10+1,1))</f>
        <v>206.53345322763442</v>
      </c>
      <c r="AO56" s="59">
        <f t="shared" si="36"/>
        <v>96.700732426680929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9.6065090163772062</v>
      </c>
      <c r="AX56" s="21">
        <f t="shared" si="6"/>
        <v>9.6065090163772062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9.8000000000000007</v>
      </c>
      <c r="BD56" s="12">
        <f>IF('Données projet'!$A$88&gt;35,BD55+BC56-BL55,IF(A56&lt;'Données projet'!$A$88,$BA$205^A56,IF(A56='Données projet'!$A$88,'Données projet'!$B$88,BD55+BC56-BL55)))</f>
        <v>232.39999999999992</v>
      </c>
      <c r="BE56" s="13">
        <f>BD56*VLOOKUP('Données projet'!$B$11,Paramètres!$A$1:$I$89,3,0)*VLOOKUP('Données projet'!$B$11,Paramètres!$A$1:$I$89,5,0)</f>
        <v>195.77375999999995</v>
      </c>
      <c r="BF56" s="13">
        <f t="shared" si="37"/>
        <v>48.814216733702644</v>
      </c>
      <c r="BG56" s="20">
        <f t="shared" si="7"/>
        <v>425.99072614453195</v>
      </c>
      <c r="BH56" s="59">
        <f t="shared" si="8"/>
        <v>719.32405947786526</v>
      </c>
      <c r="BI56" s="59">
        <f ca="1">AVERAGE(OFFSET($BH$3,0,0,'Données projet'!$E$11+1,1))-AVERAGE(OFFSET($H$3,0,0,'Données projet'!$E$11+1,1))</f>
        <v>328.34986205643321</v>
      </c>
      <c r="BJ56" s="59">
        <f t="shared" si="38"/>
        <v>251.60894449147008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21.130967404287468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0.50719355916620024</v>
      </c>
      <c r="BS56" s="22">
        <f t="shared" si="9"/>
        <v>21.638160963453668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9.8000000000000007</v>
      </c>
      <c r="BY56" s="12">
        <f>IF('Données projet'!$A$114&gt;35,BY55+BX56-CG55,IF(A56&lt;'Données projet'!$A$114,$BV$205^A56,IF(A56='Données projet'!$A$114,'Données projet'!$B$114,BY55+BX56-CG55)))</f>
        <v>232.39999999999992</v>
      </c>
      <c r="BZ56" s="13">
        <f>BY56*VLOOKUP('Données projet'!$B$12,Paramètres!$A$1:$I$89,3,0)*VLOOKUP('Données projet'!$B$12,Paramètres!$A$1:$I$89,5,0)</f>
        <v>210.27551999999991</v>
      </c>
      <c r="CA56" s="13">
        <f t="shared" si="39"/>
        <v>51.995789155135654</v>
      </c>
      <c r="CB56" s="20">
        <f t="shared" si="10"/>
        <v>456.78919677852781</v>
      </c>
      <c r="CC56" s="59">
        <f t="shared" si="11"/>
        <v>750.12253011186112</v>
      </c>
      <c r="CD56" s="59">
        <f ca="1">AVERAGE(OFFSET($CC$3,0,0,'Données projet'!$E$12+1,1))-AVERAGE(OFFSET($H$3,0,0,'Données projet'!$E$12+1,1))</f>
        <v>360.44607552967267</v>
      </c>
      <c r="CE56" s="59">
        <f t="shared" si="40"/>
        <v>271.54361159160169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22.6962242490495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0.54476345243777091</v>
      </c>
      <c r="CN56" s="22">
        <f t="shared" si="12"/>
        <v>23.240987701487271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>
        <f>CT56*VLOOKUP('Données projet'!$B$13,Paramètres!$A$1:$I$89,3,0)*VLOOKUP('Données projet'!$B$13,Paramètres!$A$1:$I$89,5,0)</f>
        <v>0</v>
      </c>
      <c r="CV56" s="13" t="e">
        <f t="shared" si="41"/>
        <v>#NUM!</v>
      </c>
      <c r="CW56" s="20" t="e">
        <f t="shared" si="13"/>
        <v>#NUM!</v>
      </c>
      <c r="CX56" s="59" t="e">
        <f t="shared" si="14"/>
        <v>#NUM!</v>
      </c>
      <c r="CY56" s="59">
        <f ca="1">AVERAGE(OFFSET($CX$3,0,0,'Données projet'!$E$13+1,1))-AVERAGE(OFFSET($H$3,0,0,'Données projet'!$E$13+1,1))</f>
        <v>309.89554000341082</v>
      </c>
      <c r="CZ56" s="59">
        <f t="shared" si="42"/>
        <v>465.9235824539021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160.8712654993102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2.9572879756758694</v>
      </c>
      <c r="DI56" s="22">
        <f t="shared" si="15"/>
        <v>163.82855347498608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7.4</v>
      </c>
      <c r="N57" s="13">
        <f>IF('Données projet'!$A$36&gt;35,N56+M57-V56,IF(A57&lt;'Données projet'!$A$36,$K$205^A57,IF(A57='Données projet'!$A$36,'Données projet'!$B$36,N56+M57-V56)))</f>
        <v>231.60000000000011</v>
      </c>
      <c r="O57" s="13">
        <f>N57*VLOOKUP('Données projet'!$B$9,Paramètres!$A$1:$I$89,3,0)*VLOOKUP('Données projet'!$B$9,Paramètres!$A$1:$I$89,5,0)</f>
        <v>202.32576000000014</v>
      </c>
      <c r="P57" s="13">
        <f t="shared" si="33"/>
        <v>50.254954935552938</v>
      </c>
      <c r="Q57" s="20">
        <f t="shared" si="53"/>
        <v>439.91141184608824</v>
      </c>
      <c r="R57" s="59">
        <f t="shared" si="0"/>
        <v>733.24474517942156</v>
      </c>
      <c r="S57" s="59">
        <f ca="1">AVERAGE(OFFSET($R$3,0,0,'Données projet'!$E$9+1,1))-AVERAGE(OFFSET($H$3,0,0,'Données projet'!$E$9+1,1))</f>
        <v>281.82797419088109</v>
      </c>
      <c r="T57" s="59">
        <f t="shared" si="34"/>
        <v>298.98873283425371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26.304862789087142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0.87668881896423867</v>
      </c>
      <c r="AC57" s="22">
        <f t="shared" si="3"/>
        <v>27.181551608051382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5.6</v>
      </c>
      <c r="AI57" s="13">
        <f>IF('Données projet'!$A$62&gt;35,AI56+AH57-AQ56,IF(A57&lt;'Données projet'!$A$62,$AF$205^A57,IF(A57='Données projet'!$A$62,'Données projet'!$B$62,AI56+AH57-AQ56)))</f>
        <v>129.39999999999995</v>
      </c>
      <c r="AJ57" s="13">
        <f>AI57*VLOOKUP('Données projet'!$B$10,Paramètres!$A$1:$I$89,3,0)*VLOOKUP('Données projet'!$B$10,Paramètres!$A$1:$I$89,5,0)</f>
        <v>129.19295999999997</v>
      </c>
      <c r="AK57" s="13">
        <f t="shared" si="35"/>
        <v>33.809808550016378</v>
      </c>
      <c r="AL57" s="20">
        <f t="shared" si="4"/>
        <v>283.89648855794513</v>
      </c>
      <c r="AM57" s="59">
        <f t="shared" si="5"/>
        <v>577.22982189127845</v>
      </c>
      <c r="AN57" s="59">
        <f ca="1">AVERAGE(OFFSET($AM$3,0,0,'Données projet'!$E$10+1,1))-AVERAGE(OFFSET($H$3,0,0,'Données projet'!$E$10+1,1))</f>
        <v>206.53345322763442</v>
      </c>
      <c r="AO57" s="59">
        <f t="shared" si="36"/>
        <v>96.700732426680929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6.7928276690100331</v>
      </c>
      <c r="AX57" s="21">
        <f t="shared" si="6"/>
        <v>6.7928276690100331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9.8000000000000007</v>
      </c>
      <c r="BD57" s="12">
        <f>IF('Données projet'!$A$88&gt;35,BD56+BC57-BL56,IF(A57&lt;'Données projet'!$A$88,$BA$205^A57,IF(A57='Données projet'!$A$88,'Données projet'!$B$88,BD56+BC57-BL56)))</f>
        <v>242.19999999999993</v>
      </c>
      <c r="BE57" s="13">
        <f>BD57*VLOOKUP('Données projet'!$B$11,Paramètres!$A$1:$I$89,3,0)*VLOOKUP('Données projet'!$B$11,Paramètres!$A$1:$I$89,5,0)</f>
        <v>204.02927999999997</v>
      </c>
      <c r="BF57" s="13">
        <f t="shared" si="37"/>
        <v>50.628650934368238</v>
      </c>
      <c r="BG57" s="20">
        <f t="shared" si="7"/>
        <v>443.52922971069125</v>
      </c>
      <c r="BH57" s="59">
        <f t="shared" si="8"/>
        <v>736.86256304402457</v>
      </c>
      <c r="BI57" s="59">
        <f ca="1">AVERAGE(OFFSET($BH$3,0,0,'Données projet'!$E$11+1,1))-AVERAGE(OFFSET($H$3,0,0,'Données projet'!$E$11+1,1))</f>
        <v>328.34986205643321</v>
      </c>
      <c r="BJ57" s="59">
        <f t="shared" si="38"/>
        <v>251.60894449147008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20.716602022106862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0.3586400050605606</v>
      </c>
      <c r="BS57" s="22">
        <f t="shared" si="9"/>
        <v>21.075242027167423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9.8000000000000007</v>
      </c>
      <c r="BY57" s="12">
        <f>IF('Données projet'!$A$114&gt;35,BY56+BX57-CG56,IF(A57&lt;'Données projet'!$A$114,$BV$205^A57,IF(A57='Données projet'!$A$114,'Données projet'!$B$114,BY56+BX57-CG56)))</f>
        <v>242.19999999999993</v>
      </c>
      <c r="BZ57" s="13">
        <f>BY57*VLOOKUP('Données projet'!$B$12,Paramètres!$A$1:$I$89,3,0)*VLOOKUP('Données projet'!$B$12,Paramètres!$A$1:$I$89,5,0)</f>
        <v>219.14255999999992</v>
      </c>
      <c r="CA57" s="13">
        <f t="shared" si="39"/>
        <v>53.928483039139707</v>
      </c>
      <c r="CB57" s="20">
        <f t="shared" si="10"/>
        <v>475.59873329316815</v>
      </c>
      <c r="CC57" s="59">
        <f t="shared" si="11"/>
        <v>768.93206662650141</v>
      </c>
      <c r="CD57" s="59">
        <f ca="1">AVERAGE(OFFSET($CC$3,0,0,'Données projet'!$E$12+1,1))-AVERAGE(OFFSET($H$3,0,0,'Données projet'!$E$12+1,1))</f>
        <v>360.44607552967267</v>
      </c>
      <c r="CE57" s="59">
        <f t="shared" si="40"/>
        <v>271.54361159160169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22.251165134855516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0.38520593136134307</v>
      </c>
      <c r="CN57" s="22">
        <f t="shared" si="12"/>
        <v>22.63637106621686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>
        <f>CT57*VLOOKUP('Données projet'!$B$13,Paramètres!$A$1:$I$89,3,0)*VLOOKUP('Données projet'!$B$13,Paramètres!$A$1:$I$89,5,0)</f>
        <v>0</v>
      </c>
      <c r="CV57" s="13" t="e">
        <f t="shared" si="41"/>
        <v>#NUM!</v>
      </c>
      <c r="CW57" s="20" t="e">
        <f t="shared" si="13"/>
        <v>#NUM!</v>
      </c>
      <c r="CX57" s="59" t="e">
        <f t="shared" si="14"/>
        <v>#NUM!</v>
      </c>
      <c r="CY57" s="59">
        <f ca="1">AVERAGE(OFFSET($CX$3,0,0,'Données projet'!$E$13+1,1))-AVERAGE(OFFSET($H$3,0,0,'Données projet'!$E$13+1,1))</f>
        <v>309.89554000341082</v>
      </c>
      <c r="CZ57" s="59">
        <f t="shared" si="42"/>
        <v>465.9235824539021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157.71667810465195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2.091118381521845</v>
      </c>
      <c r="DI57" s="22">
        <f t="shared" si="15"/>
        <v>159.8077964861738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239</v>
      </c>
      <c r="L58" s="12">
        <f>VLOOKUP(A58,'Données projet'!$A$35:$I$55,9,0)</f>
        <v>7.4</v>
      </c>
      <c r="M58" s="12">
        <f t="array" ref="M58">INDEX(L:L,MIN(IF(ISNUMBER(L58:L254),ROW(L58:L254),"")))</f>
        <v>7.4</v>
      </c>
      <c r="N58" s="13">
        <f>IF('Données projet'!$A$36&gt;35,N57+M58-V57,IF(A58&lt;'Données projet'!$A$36,$K$205^A58,IF(A58='Données projet'!$A$36,'Données projet'!$B$36,N57+M58-V57)))</f>
        <v>239.00000000000011</v>
      </c>
      <c r="O58" s="13">
        <f>N58*VLOOKUP('Données projet'!$B$9,Paramètres!$A$1:$I$89,3,0)*VLOOKUP('Données projet'!$B$9,Paramètres!$A$1:$I$89,5,0)</f>
        <v>208.79040000000015</v>
      </c>
      <c r="P58" s="13">
        <f t="shared" si="33"/>
        <v>51.671168863475195</v>
      </c>
      <c r="Q58" s="20">
        <f t="shared" si="53"/>
        <v>453.63723243721955</v>
      </c>
      <c r="R58" s="59">
        <f t="shared" si="0"/>
        <v>746.97056577055287</v>
      </c>
      <c r="S58" s="59">
        <f ca="1">AVERAGE(OFFSET($R$3,0,0,'Données projet'!$E$9+1,1))-AVERAGE(OFFSET($H$3,0,0,'Données projet'!$E$9+1,1))</f>
        <v>281.82797419088109</v>
      </c>
      <c r="T58" s="59">
        <f t="shared" si="34"/>
        <v>298.98873283425371</v>
      </c>
      <c r="U58" s="15">
        <f>IF(ISNA(VLOOKUP(A58,'Données projet'!$A$35:$I$55,3,0)),0,VLOOKUP(A58,'Données projet'!$A$35:$I$55,3,0))</f>
        <v>10</v>
      </c>
      <c r="V58" s="15">
        <f>IF(ISNA(VLOOKUP(A58,'Données projet'!$A$35:$I$55,4,0)),0,VLOOKUP(A58,'Données projet'!$A$35:$I$55,4,0))</f>
        <v>26</v>
      </c>
      <c r="W58" s="16">
        <f>IF(ISNA(VLOOKUP(A58,'Données projet'!$A$35:$I$55,5,0)),0%,VLOOKUP(A58,'Données projet'!$A$35:$I$55,5,0)*VLOOKUP('Données projet'!$B$9,Paramètres!$A$1:$I$89,7,0))</f>
        <v>0.38700000000000001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35.50630552303577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0.61991260888003874</v>
      </c>
      <c r="AC58" s="22">
        <f t="shared" si="3"/>
        <v>36.126218131915806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5.6</v>
      </c>
      <c r="AI58" s="13">
        <f>IF('Données projet'!$A$62&gt;35,AI57+AH58-AQ57,IF(A58&lt;'Données projet'!$A$62,$AF$205^A58,IF(A58='Données projet'!$A$62,'Données projet'!$B$62,AI57+AH58-AQ57)))</f>
        <v>134.99999999999994</v>
      </c>
      <c r="AJ58" s="13">
        <f>AI58*VLOOKUP('Données projet'!$B$10,Paramètres!$A$1:$I$89,3,0)*VLOOKUP('Données projet'!$B$10,Paramètres!$A$1:$I$89,5,0)</f>
        <v>134.78399999999993</v>
      </c>
      <c r="AK58" s="13">
        <f t="shared" si="35"/>
        <v>35.099465485142126</v>
      </c>
      <c r="AL58" s="20">
        <f t="shared" si="4"/>
        <v>295.88036905328909</v>
      </c>
      <c r="AM58" s="59">
        <f t="shared" si="5"/>
        <v>589.21370238662234</v>
      </c>
      <c r="AN58" s="59">
        <f ca="1">AVERAGE(OFFSET($AM$3,0,0,'Données projet'!$E$10+1,1))-AVERAGE(OFFSET($H$3,0,0,'Données projet'!$E$10+1,1))</f>
        <v>206.53345322763442</v>
      </c>
      <c r="AO58" s="59">
        <f t="shared" si="36"/>
        <v>96.700732426680929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4.8032545081886031</v>
      </c>
      <c r="AX58" s="21">
        <f t="shared" si="6"/>
        <v>4.8032545081886031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9.8000000000000007</v>
      </c>
      <c r="BD58" s="12">
        <f>IF('Données projet'!$A$88&gt;35,BD57+BC58-BL57,IF(A58&lt;'Données projet'!$A$88,$BA$205^A58,IF(A58='Données projet'!$A$88,'Données projet'!$B$88,BD57+BC58-BL57)))</f>
        <v>251.99999999999994</v>
      </c>
      <c r="BE58" s="13">
        <f>BD58*VLOOKUP('Données projet'!$B$11,Paramètres!$A$1:$I$89,3,0)*VLOOKUP('Données projet'!$B$11,Paramètres!$A$1:$I$89,5,0)</f>
        <v>212.28479999999999</v>
      </c>
      <c r="BF58" s="13">
        <f t="shared" si="37"/>
        <v>52.434557099704193</v>
      </c>
      <c r="BG58" s="20">
        <f t="shared" si="7"/>
        <v>461.05288028198476</v>
      </c>
      <c r="BH58" s="59">
        <f t="shared" si="8"/>
        <v>754.38621361531807</v>
      </c>
      <c r="BI58" s="59">
        <f ca="1">AVERAGE(OFFSET($BH$3,0,0,'Données projet'!$E$11+1,1))-AVERAGE(OFFSET($H$3,0,0,'Données projet'!$E$11+1,1))</f>
        <v>328.34986205643321</v>
      </c>
      <c r="BJ58" s="59">
        <f t="shared" si="38"/>
        <v>251.60894449147008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20.310362092332891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0.25359677958310012</v>
      </c>
      <c r="BS58" s="22">
        <f t="shared" si="9"/>
        <v>20.56395887191599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9.8000000000000007</v>
      </c>
      <c r="BY58" s="12">
        <f>IF('Données projet'!$A$114&gt;35,BY57+BX58-CG57,IF(A58&lt;'Données projet'!$A$114,$BV$205^A58,IF(A58='Données projet'!$A$114,'Données projet'!$B$114,BY57+BX58-CG57)))</f>
        <v>251.99999999999994</v>
      </c>
      <c r="BZ58" s="13">
        <f>BY58*VLOOKUP('Données projet'!$B$12,Paramètres!$A$1:$I$89,3,0)*VLOOKUP('Données projet'!$B$12,Paramètres!$A$1:$I$89,5,0)</f>
        <v>228.00959999999995</v>
      </c>
      <c r="CA58" s="13">
        <f t="shared" si="39"/>
        <v>55.852093054619829</v>
      </c>
      <c r="CB58" s="20">
        <f t="shared" si="10"/>
        <v>494.3924487367961</v>
      </c>
      <c r="CC58" s="59">
        <f t="shared" si="11"/>
        <v>787.72578207012941</v>
      </c>
      <c r="CD58" s="59">
        <f ca="1">AVERAGE(OFFSET($CC$3,0,0,'Données projet'!$E$12+1,1))-AVERAGE(OFFSET($H$3,0,0,'Données projet'!$E$12+1,1))</f>
        <v>360.44607552967267</v>
      </c>
      <c r="CE58" s="59">
        <f t="shared" si="40"/>
        <v>271.54361159160169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21.814833358431621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0.27238172621888546</v>
      </c>
      <c r="CN58" s="22">
        <f t="shared" si="12"/>
        <v>22.087215084650506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>
        <f>CT58*VLOOKUP('Données projet'!$B$13,Paramètres!$A$1:$I$89,3,0)*VLOOKUP('Données projet'!$B$13,Paramètres!$A$1:$I$89,5,0)</f>
        <v>0</v>
      </c>
      <c r="CV58" s="13" t="e">
        <f t="shared" si="41"/>
        <v>#NUM!</v>
      </c>
      <c r="CW58" s="20" t="e">
        <f t="shared" si="13"/>
        <v>#NUM!</v>
      </c>
      <c r="CX58" s="59" t="e">
        <f t="shared" si="14"/>
        <v>#NUM!</v>
      </c>
      <c r="CY58" s="59">
        <f ca="1">AVERAGE(OFFSET($CX$3,0,0,'Données projet'!$E$13+1,1))-AVERAGE(OFFSET($H$3,0,0,'Données projet'!$E$13+1,1))</f>
        <v>309.89554000341082</v>
      </c>
      <c r="CZ58" s="59">
        <f t="shared" si="42"/>
        <v>465.9235824539021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154.62395024469464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1.4786439878379347</v>
      </c>
      <c r="DI58" s="22">
        <f t="shared" si="15"/>
        <v>156.10259423253257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6.6</v>
      </c>
      <c r="N59" s="13">
        <f>IF('Données projet'!$A$36&gt;35,N58+M59-V58,IF(A59&lt;'Données projet'!$A$36,$K$205^A59,IF(A59='Données projet'!$A$36,'Données projet'!$B$36,N58+M59-V58)))</f>
        <v>219.60000000000011</v>
      </c>
      <c r="O59" s="13">
        <f>N59*VLOOKUP('Données projet'!$B$9,Paramètres!$A$1:$I$89,3,0)*VLOOKUP('Données projet'!$B$9,Paramètres!$A$1:$I$89,5,0)</f>
        <v>191.84256000000011</v>
      </c>
      <c r="P59" s="13">
        <f t="shared" si="33"/>
        <v>47.947087613384845</v>
      </c>
      <c r="Q59" s="20">
        <f t="shared" si="53"/>
        <v>417.6336362599788</v>
      </c>
      <c r="R59" s="59">
        <f t="shared" si="0"/>
        <v>710.96696959331211</v>
      </c>
      <c r="S59" s="59">
        <f ca="1">AVERAGE(OFFSET($R$3,0,0,'Données projet'!$E$9+1,1))-AVERAGE(OFFSET($H$3,0,0,'Données projet'!$E$9+1,1))</f>
        <v>281.82797419088109</v>
      </c>
      <c r="T59" s="59">
        <f t="shared" si="34"/>
        <v>298.98873283425371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34.810048528436987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0.43834440948211939</v>
      </c>
      <c r="AC59" s="22">
        <f t="shared" si="3"/>
        <v>35.248392937919107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5.6</v>
      </c>
      <c r="AI59" s="13">
        <f>IF('Données projet'!$A$62&gt;35,AI58+AH59-AQ58,IF(A59&lt;'Données projet'!$A$62,$AF$205^A59,IF(A59='Données projet'!$A$62,'Données projet'!$B$62,AI58+AH59-AQ58)))</f>
        <v>140.59999999999994</v>
      </c>
      <c r="AJ59" s="13">
        <f>AI59*VLOOKUP('Données projet'!$B$10,Paramètres!$A$1:$I$89,3,0)*VLOOKUP('Données projet'!$B$10,Paramètres!$A$1:$I$89,5,0)</f>
        <v>140.37503999999996</v>
      </c>
      <c r="AK59" s="13">
        <f t="shared" si="35"/>
        <v>36.382908510676536</v>
      </c>
      <c r="AL59" s="20">
        <f t="shared" si="4"/>
        <v>307.85342698942821</v>
      </c>
      <c r="AM59" s="59">
        <f t="shared" si="5"/>
        <v>601.18676032276153</v>
      </c>
      <c r="AN59" s="59">
        <f ca="1">AVERAGE(OFFSET($AM$3,0,0,'Données projet'!$E$10+1,1))-AVERAGE(OFFSET($H$3,0,0,'Données projet'!$E$10+1,1))</f>
        <v>206.53345322763442</v>
      </c>
      <c r="AO59" s="59">
        <f t="shared" si="36"/>
        <v>96.700732426680929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3.3964138345050165</v>
      </c>
      <c r="AX59" s="21">
        <f t="shared" si="6"/>
        <v>3.3964138345050165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9.8000000000000007</v>
      </c>
      <c r="BD59" s="12">
        <f>IF('Données projet'!$A$88&gt;35,BD58+BC59-BL58,IF(A59&lt;'Données projet'!$A$88,$BA$205^A59,IF(A59='Données projet'!$A$88,'Données projet'!$B$88,BD58+BC59-BL58)))</f>
        <v>261.79999999999995</v>
      </c>
      <c r="BE59" s="13">
        <f>BD59*VLOOKUP('Données projet'!$B$11,Paramètres!$A$1:$I$89,3,0)*VLOOKUP('Données projet'!$B$11,Paramètres!$A$1:$I$89,5,0)</f>
        <v>220.54031999999998</v>
      </c>
      <c r="BF59" s="13">
        <f t="shared" si="37"/>
        <v>54.232304832110685</v>
      </c>
      <c r="BG59" s="20">
        <f t="shared" si="7"/>
        <v>478.56232158259263</v>
      </c>
      <c r="BH59" s="59">
        <f t="shared" si="8"/>
        <v>771.89565491592589</v>
      </c>
      <c r="BI59" s="59">
        <f ca="1">AVERAGE(OFFSET($BH$3,0,0,'Données projet'!$E$11+1,1))-AVERAGE(OFFSET($H$3,0,0,'Données projet'!$E$11+1,1))</f>
        <v>328.34986205643321</v>
      </c>
      <c r="BJ59" s="59">
        <f t="shared" si="38"/>
        <v>251.60894449147008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19.912088279799896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0.1793200025302803</v>
      </c>
      <c r="BS59" s="22">
        <f t="shared" si="9"/>
        <v>20.091408282330175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9.8000000000000007</v>
      </c>
      <c r="BY59" s="12">
        <f>IF('Données projet'!$A$114&gt;35,BY58+BX59-CG58,IF(A59&lt;'Données projet'!$A$114,$BV$205^A59,IF(A59='Données projet'!$A$114,'Données projet'!$B$114,BY58+BX59-CG58)))</f>
        <v>261.79999999999995</v>
      </c>
      <c r="BZ59" s="13">
        <f>BY59*VLOOKUP('Données projet'!$B$12,Paramètres!$A$1:$I$89,3,0)*VLOOKUP('Données projet'!$B$12,Paramètres!$A$1:$I$89,5,0)</f>
        <v>236.87663999999995</v>
      </c>
      <c r="CA59" s="13">
        <f t="shared" si="39"/>
        <v>57.767012893614115</v>
      </c>
      <c r="CB59" s="20">
        <f t="shared" si="10"/>
        <v>513.17102878971104</v>
      </c>
      <c r="CC59" s="59">
        <f t="shared" si="11"/>
        <v>806.5043621230443</v>
      </c>
      <c r="CD59" s="59">
        <f ca="1">AVERAGE(OFFSET($CC$3,0,0,'Données projet'!$E$12+1,1))-AVERAGE(OFFSET($H$3,0,0,'Données projet'!$E$12+1,1))</f>
        <v>360.44607552967267</v>
      </c>
      <c r="CE59" s="59">
        <f t="shared" si="40"/>
        <v>271.54361159160169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21.387057782007293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0.19260296568067153</v>
      </c>
      <c r="CN59" s="22">
        <f t="shared" si="12"/>
        <v>21.579660747687964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>
        <f>CT59*VLOOKUP('Données projet'!$B$13,Paramètres!$A$1:$I$89,3,0)*VLOOKUP('Données projet'!$B$13,Paramètres!$A$1:$I$89,5,0)</f>
        <v>0</v>
      </c>
      <c r="CV59" s="13" t="e">
        <f t="shared" si="41"/>
        <v>#NUM!</v>
      </c>
      <c r="CW59" s="20" t="e">
        <f t="shared" si="13"/>
        <v>#NUM!</v>
      </c>
      <c r="CX59" s="59" t="e">
        <f t="shared" si="14"/>
        <v>#NUM!</v>
      </c>
      <c r="CY59" s="59">
        <f ca="1">AVERAGE(OFFSET($CX$3,0,0,'Données projet'!$E$13+1,1))-AVERAGE(OFFSET($H$3,0,0,'Données projet'!$E$13+1,1))</f>
        <v>309.89554000341082</v>
      </c>
      <c r="CZ59" s="59">
        <f t="shared" si="42"/>
        <v>465.9235824539021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151.59186889169337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1.0455591907609225</v>
      </c>
      <c r="DI59" s="22">
        <f t="shared" si="15"/>
        <v>152.63742808245428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6.6</v>
      </c>
      <c r="N60" s="13">
        <f>IF('Données projet'!$A$36&gt;35,N59+M60-V59,IF(A60&lt;'Données projet'!$A$36,$K$205^A60,IF(A60='Données projet'!$A$36,'Données projet'!$B$36,N59+M60-V59)))</f>
        <v>226.2000000000001</v>
      </c>
      <c r="O60" s="13">
        <f>N60*VLOOKUP('Données projet'!$B$9,Paramètres!$A$1:$I$89,3,0)*VLOOKUP('Données projet'!$B$9,Paramètres!$A$1:$I$89,5,0)</f>
        <v>197.60832000000011</v>
      </c>
      <c r="P60" s="13">
        <f t="shared" si="33"/>
        <v>49.218181392381403</v>
      </c>
      <c r="Q60" s="20">
        <f t="shared" si="53"/>
        <v>429.88948992506448</v>
      </c>
      <c r="R60" s="59">
        <f t="shared" si="0"/>
        <v>723.22282325839774</v>
      </c>
      <c r="S60" s="59">
        <f ca="1">AVERAGE(OFFSET($R$3,0,0,'Données projet'!$E$9+1,1))-AVERAGE(OFFSET($H$3,0,0,'Données projet'!$E$9+1,1))</f>
        <v>281.82797419088109</v>
      </c>
      <c r="T60" s="59">
        <f t="shared" si="34"/>
        <v>298.98873283425371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34.127444708827447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0.30995630444001943</v>
      </c>
      <c r="AC60" s="22">
        <f t="shared" si="3"/>
        <v>34.437401013267468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5.6</v>
      </c>
      <c r="AI60" s="13">
        <f>IF('Données projet'!$A$62&gt;35,AI59+AH60-AQ59,IF(A60&lt;'Données projet'!$A$62,$AF$205^A60,IF(A60='Données projet'!$A$62,'Données projet'!$B$62,AI59+AH60-AQ59)))</f>
        <v>146.19999999999993</v>
      </c>
      <c r="AJ60" s="13">
        <f>AI60*VLOOKUP('Données projet'!$B$10,Paramètres!$A$1:$I$89,3,0)*VLOOKUP('Données projet'!$B$10,Paramètres!$A$1:$I$89,5,0)</f>
        <v>145.96607999999995</v>
      </c>
      <c r="AK60" s="13">
        <f t="shared" si="35"/>
        <v>37.660413439898107</v>
      </c>
      <c r="AL60" s="20">
        <f t="shared" si="4"/>
        <v>319.81614274115583</v>
      </c>
      <c r="AM60" s="59">
        <f t="shared" si="5"/>
        <v>613.14947607448914</v>
      </c>
      <c r="AN60" s="59">
        <f ca="1">AVERAGE(OFFSET($AM$3,0,0,'Données projet'!$E$10+1,1))-AVERAGE(OFFSET($H$3,0,0,'Données projet'!$E$10+1,1))</f>
        <v>206.53345322763442</v>
      </c>
      <c r="AO60" s="59">
        <f t="shared" si="36"/>
        <v>96.700732426680929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2.4016272540943016</v>
      </c>
      <c r="AX60" s="21">
        <f t="shared" si="6"/>
        <v>2.4016272540943016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9.8000000000000007</v>
      </c>
      <c r="BD60" s="12">
        <f>IF('Données projet'!$A$88&gt;35,BD59+BC60-BL59,IF(A60&lt;'Données projet'!$A$88,$BA$205^A60,IF(A60='Données projet'!$A$88,'Données projet'!$B$88,BD59+BC60-BL59)))</f>
        <v>271.59999999999997</v>
      </c>
      <c r="BE60" s="13">
        <f>BD60*VLOOKUP('Données projet'!$B$11,Paramètres!$A$1:$I$89,3,0)*VLOOKUP('Données projet'!$B$11,Paramètres!$A$1:$I$89,5,0)</f>
        <v>228.79584</v>
      </c>
      <c r="BF60" s="13">
        <f t="shared" si="37"/>
        <v>56.022234495627458</v>
      </c>
      <c r="BG60" s="20">
        <f t="shared" si="7"/>
        <v>496.0581464132178</v>
      </c>
      <c r="BH60" s="59">
        <f t="shared" si="8"/>
        <v>789.39147974655111</v>
      </c>
      <c r="BI60" s="59">
        <f ca="1">AVERAGE(OFFSET($BH$3,0,0,'Données projet'!$E$11+1,1))-AVERAGE(OFFSET($H$3,0,0,'Données projet'!$E$11+1,1))</f>
        <v>328.34986205643321</v>
      </c>
      <c r="BJ60" s="59">
        <f t="shared" si="38"/>
        <v>251.60894449147008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19.521624373807633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0.12679838979155006</v>
      </c>
      <c r="BS60" s="22">
        <f t="shared" si="9"/>
        <v>19.648422763599182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9.8000000000000007</v>
      </c>
      <c r="BY60" s="12">
        <f>IF('Données projet'!$A$114&gt;35,BY59+BX60-CG59,IF(A60&lt;'Données projet'!$A$114,$BV$205^A60,IF(A60='Données projet'!$A$114,'Données projet'!$B$114,BY59+BX60-CG59)))</f>
        <v>271.59999999999997</v>
      </c>
      <c r="BZ60" s="13">
        <f>BY60*VLOOKUP('Données projet'!$B$12,Paramètres!$A$1:$I$89,3,0)*VLOOKUP('Données projet'!$B$12,Paramètres!$A$1:$I$89,5,0)</f>
        <v>245.74367999999996</v>
      </c>
      <c r="CA60" s="13">
        <f t="shared" si="39"/>
        <v>59.673605104126452</v>
      </c>
      <c r="CB60" s="20">
        <f t="shared" si="10"/>
        <v>531.93510488968684</v>
      </c>
      <c r="CC60" s="59">
        <f t="shared" si="11"/>
        <v>825.26843822302021</v>
      </c>
      <c r="CD60" s="59">
        <f ca="1">AVERAGE(OFFSET($CC$3,0,0,'Données projet'!$E$12+1,1))-AVERAGE(OFFSET($H$3,0,0,'Données projet'!$E$12+1,1))</f>
        <v>360.44607552967267</v>
      </c>
      <c r="CE60" s="59">
        <f t="shared" si="40"/>
        <v>271.54361159160169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20.967670623719307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0.13619086310944273</v>
      </c>
      <c r="CN60" s="22">
        <f t="shared" si="12"/>
        <v>21.103861486828752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>
        <f>CT60*VLOOKUP('Données projet'!$B$13,Paramètres!$A$1:$I$89,3,0)*VLOOKUP('Données projet'!$B$13,Paramètres!$A$1:$I$89,5,0)</f>
        <v>0</v>
      </c>
      <c r="CV60" s="13" t="e">
        <f t="shared" si="41"/>
        <v>#NUM!</v>
      </c>
      <c r="CW60" s="20" t="e">
        <f t="shared" si="13"/>
        <v>#NUM!</v>
      </c>
      <c r="CX60" s="59" t="e">
        <f t="shared" si="14"/>
        <v>#NUM!</v>
      </c>
      <c r="CY60" s="59">
        <f ca="1">AVERAGE(OFFSET($CX$3,0,0,'Données projet'!$E$13+1,1))-AVERAGE(OFFSET($H$3,0,0,'Données projet'!$E$13+1,1))</f>
        <v>309.89554000341082</v>
      </c>
      <c r="CZ60" s="59">
        <f t="shared" si="42"/>
        <v>465.9235824539021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148.61924480463742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0.73932199391896736</v>
      </c>
      <c r="DI60" s="22">
        <f t="shared" si="15"/>
        <v>149.35856679855638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6.6</v>
      </c>
      <c r="N61" s="13">
        <f>IF('Données projet'!$A$36&gt;35,N60+M61-V60,IF(A61&lt;'Données projet'!$A$36,$K$205^A61,IF(A61='Données projet'!$A$36,'Données projet'!$B$36,N60+M61-V60)))</f>
        <v>232.8000000000001</v>
      </c>
      <c r="O61" s="13">
        <f>N61*VLOOKUP('Données projet'!$B$9,Paramètres!$A$1:$I$89,3,0)*VLOOKUP('Données projet'!$B$9,Paramètres!$A$1:$I$89,5,0)</f>
        <v>203.37408000000013</v>
      </c>
      <c r="P61" s="13">
        <f t="shared" si="33"/>
        <v>50.484964849140624</v>
      </c>
      <c r="Q61" s="20">
        <f t="shared" si="53"/>
        <v>442.1378364455868</v>
      </c>
      <c r="R61" s="59">
        <f t="shared" si="0"/>
        <v>735.47116977892006</v>
      </c>
      <c r="S61" s="59">
        <f ca="1">AVERAGE(OFFSET($R$3,0,0,'Données projet'!$E$9+1,1))-AVERAGE(OFFSET($H$3,0,0,'Données projet'!$E$9+1,1))</f>
        <v>281.82797419088109</v>
      </c>
      <c r="T61" s="59">
        <f t="shared" si="34"/>
        <v>298.98873283425371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33.458226333773233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0.21917220474105975</v>
      </c>
      <c r="AC61" s="22">
        <f t="shared" si="3"/>
        <v>33.677398538514289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5.6</v>
      </c>
      <c r="AI61" s="13">
        <f>IF('Données projet'!$A$62&gt;35,AI60+AH61-AQ60,IF(A61&lt;'Données projet'!$A$62,$AF$205^A61,IF(A61='Données projet'!$A$62,'Données projet'!$B$62,AI60+AH61-AQ60)))</f>
        <v>151.79999999999993</v>
      </c>
      <c r="AJ61" s="13">
        <f>AI61*VLOOKUP('Données projet'!$B$10,Paramètres!$A$1:$I$89,3,0)*VLOOKUP('Données projet'!$B$10,Paramètres!$A$1:$I$89,5,0)</f>
        <v>151.55711999999994</v>
      </c>
      <c r="AK61" s="13">
        <f t="shared" si="35"/>
        <v>38.932233760105582</v>
      </c>
      <c r="AL61" s="20">
        <f t="shared" si="4"/>
        <v>331.76895779885047</v>
      </c>
      <c r="AM61" s="59">
        <f t="shared" si="5"/>
        <v>625.10229113218384</v>
      </c>
      <c r="AN61" s="59">
        <f ca="1">AVERAGE(OFFSET($AM$3,0,0,'Données projet'!$E$10+1,1))-AVERAGE(OFFSET($H$3,0,0,'Données projet'!$E$10+1,1))</f>
        <v>206.53345322763442</v>
      </c>
      <c r="AO61" s="59">
        <f t="shared" si="36"/>
        <v>96.700732426680929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1.6982069172525083</v>
      </c>
      <c r="AX61" s="21">
        <f t="shared" si="6"/>
        <v>1.6982069172525083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9.8000000000000007</v>
      </c>
      <c r="BD61" s="12">
        <f>IF('Données projet'!$A$88&gt;35,BD60+BC61-BL60,IF(A61&lt;'Données projet'!$A$88,$BA$205^A61,IF(A61='Données projet'!$A$88,'Données projet'!$B$88,BD60+BC61-BL60)))</f>
        <v>281.39999999999998</v>
      </c>
      <c r="BE61" s="13">
        <f>BD61*VLOOKUP('Données projet'!$B$11,Paramètres!$A$1:$I$89,3,0)*VLOOKUP('Données projet'!$B$11,Paramètres!$A$1:$I$89,5,0)</f>
        <v>237.05135999999999</v>
      </c>
      <c r="BF61" s="13">
        <f t="shared" si="37"/>
        <v>57.804660499743029</v>
      </c>
      <c r="BG61" s="20">
        <f t="shared" si="7"/>
        <v>513.54090237038565</v>
      </c>
      <c r="BH61" s="59">
        <f t="shared" si="8"/>
        <v>806.87423570371902</v>
      </c>
      <c r="BI61" s="59">
        <f ca="1">AVERAGE(OFFSET($BH$3,0,0,'Données projet'!$E$11+1,1))-AVERAGE(OFFSET($H$3,0,0,'Données projet'!$E$11+1,1))</f>
        <v>328.34986205643321</v>
      </c>
      <c r="BJ61" s="59">
        <f t="shared" si="38"/>
        <v>251.60894449147008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19.138817226852414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8.9660001265140149E-2</v>
      </c>
      <c r="BS61" s="22">
        <f t="shared" si="9"/>
        <v>19.228477228117555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9.8000000000000007</v>
      </c>
      <c r="BY61" s="12">
        <f>IF('Données projet'!$A$114&gt;35,BY60+BX61-CG60,IF(A61&lt;'Données projet'!$A$114,$BV$205^A61,IF(A61='Données projet'!$A$114,'Données projet'!$B$114,BY60+BX61-CG60)))</f>
        <v>281.39999999999998</v>
      </c>
      <c r="BZ61" s="13">
        <f>BY61*VLOOKUP('Données projet'!$B$12,Paramètres!$A$1:$I$89,3,0)*VLOOKUP('Données projet'!$B$12,Paramètres!$A$1:$I$89,5,0)</f>
        <v>254.61071999999999</v>
      </c>
      <c r="CA61" s="13">
        <f t="shared" si="39"/>
        <v>61.572204587965679</v>
      </c>
      <c r="CB61" s="20">
        <f t="shared" si="10"/>
        <v>550.68526032404009</v>
      </c>
      <c r="CC61" s="59">
        <f t="shared" si="11"/>
        <v>844.01859365737346</v>
      </c>
      <c r="CD61" s="59">
        <f ca="1">AVERAGE(OFFSET($CC$3,0,0,'Données projet'!$E$12+1,1))-AVERAGE(OFFSET($H$3,0,0,'Données projet'!$E$12+1,1))</f>
        <v>360.44607552967267</v>
      </c>
      <c r="CE61" s="59">
        <f t="shared" si="40"/>
        <v>271.54361159160169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20.556507391804441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9.6301482840335767E-2</v>
      </c>
      <c r="CN61" s="22">
        <f t="shared" si="12"/>
        <v>20.652808874644776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>
        <f>CT61*VLOOKUP('Données projet'!$B$13,Paramètres!$A$1:$I$89,3,0)*VLOOKUP('Données projet'!$B$13,Paramètres!$A$1:$I$89,5,0)</f>
        <v>0</v>
      </c>
      <c r="CV61" s="13" t="e">
        <f t="shared" si="41"/>
        <v>#NUM!</v>
      </c>
      <c r="CW61" s="20" t="e">
        <f t="shared" si="13"/>
        <v>#NUM!</v>
      </c>
      <c r="CX61" s="59" t="e">
        <f t="shared" si="14"/>
        <v>#NUM!</v>
      </c>
      <c r="CY61" s="59">
        <f ca="1">AVERAGE(OFFSET($CX$3,0,0,'Données projet'!$E$13+1,1))-AVERAGE(OFFSET($H$3,0,0,'Données projet'!$E$13+1,1))</f>
        <v>309.89554000341082</v>
      </c>
      <c r="CZ61" s="59">
        <f t="shared" si="42"/>
        <v>465.9235824539021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145.70491206280698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0.52277959538046126</v>
      </c>
      <c r="DI61" s="22">
        <f t="shared" si="15"/>
        <v>146.22769165818744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6.6</v>
      </c>
      <c r="N62" s="13">
        <f>IF('Données projet'!$A$36&gt;35,N61+M62-V61,IF(A62&lt;'Données projet'!$A$36,$K$205^A62,IF(A62='Données projet'!$A$36,'Données projet'!$B$36,N61+M62-V61)))</f>
        <v>239.40000000000009</v>
      </c>
      <c r="O62" s="13">
        <f>N62*VLOOKUP('Données projet'!$B$9,Paramètres!$A$1:$I$89,3,0)*VLOOKUP('Données projet'!$B$9,Paramètres!$A$1:$I$89,5,0)</f>
        <v>209.13984000000008</v>
      </c>
      <c r="P62" s="13">
        <f t="shared" si="33"/>
        <v>51.747574219710266</v>
      </c>
      <c r="Q62" s="20">
        <f t="shared" si="53"/>
        <v>454.37891309932888</v>
      </c>
      <c r="R62" s="59">
        <f t="shared" si="0"/>
        <v>747.71224643266214</v>
      </c>
      <c r="S62" s="59">
        <f ca="1">AVERAGE(OFFSET($R$3,0,0,'Données projet'!$E$9+1,1))-AVERAGE(OFFSET($H$3,0,0,'Données projet'!$E$9+1,1))</f>
        <v>281.82797419088109</v>
      </c>
      <c r="T62" s="59">
        <f t="shared" si="34"/>
        <v>298.98873283425371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32.80213092287093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0.15497815222000974</v>
      </c>
      <c r="AC62" s="22">
        <f t="shared" si="3"/>
        <v>32.957109075090941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5.6</v>
      </c>
      <c r="AI62" s="13">
        <f>IF('Données projet'!$A$62&gt;35,AI61+AH62-AQ61,IF(A62&lt;'Données projet'!$A$62,$AF$205^A62,IF(A62='Données projet'!$A$62,'Données projet'!$B$62,AI61+AH62-AQ61)))</f>
        <v>157.39999999999992</v>
      </c>
      <c r="AJ62" s="13">
        <f>AI62*VLOOKUP('Données projet'!$B$10,Paramètres!$A$1:$I$89,3,0)*VLOOKUP('Données projet'!$B$10,Paramètres!$A$1:$I$89,5,0)</f>
        <v>157.14815999999993</v>
      </c>
      <c r="AK62" s="13">
        <f t="shared" si="35"/>
        <v>40.198603196234799</v>
      </c>
      <c r="AL62" s="20">
        <f t="shared" si="4"/>
        <v>343.71227923344219</v>
      </c>
      <c r="AM62" s="59">
        <f t="shared" si="5"/>
        <v>637.0456125667755</v>
      </c>
      <c r="AN62" s="59">
        <f ca="1">AVERAGE(OFFSET($AM$3,0,0,'Données projet'!$E$10+1,1))-AVERAGE(OFFSET($H$3,0,0,'Données projet'!$E$10+1,1))</f>
        <v>206.53345322763442</v>
      </c>
      <c r="AO62" s="59">
        <f t="shared" si="36"/>
        <v>96.700732426680929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1.2008136270471508</v>
      </c>
      <c r="AX62" s="21">
        <f t="shared" si="6"/>
        <v>1.2008136270471508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9.8000000000000007</v>
      </c>
      <c r="BD62" s="12">
        <f>IF('Données projet'!$A$88&gt;35,BD61+BC62-BL61,IF(A62&lt;'Données projet'!$A$88,$BA$205^A62,IF(A62='Données projet'!$A$88,'Données projet'!$B$88,BD61+BC62-BL61)))</f>
        <v>291.2</v>
      </c>
      <c r="BE62" s="13">
        <f>BD62*VLOOKUP('Données projet'!$B$11,Paramètres!$A$1:$I$89,3,0)*VLOOKUP('Données projet'!$B$11,Paramètres!$A$1:$I$89,5,0)</f>
        <v>245.30688000000001</v>
      </c>
      <c r="BF62" s="13">
        <f t="shared" si="37"/>
        <v>59.579874112906374</v>
      </c>
      <c r="BG62" s="20">
        <f t="shared" si="7"/>
        <v>531.01109674664531</v>
      </c>
      <c r="BH62" s="59">
        <f t="shared" si="8"/>
        <v>824.34443007997857</v>
      </c>
      <c r="BI62" s="59">
        <f ca="1">AVERAGE(OFFSET($BH$3,0,0,'Données projet'!$E$11+1,1))-AVERAGE(OFFSET($H$3,0,0,'Données projet'!$E$11+1,1))</f>
        <v>328.34986205643321</v>
      </c>
      <c r="BJ62" s="59">
        <f t="shared" si="38"/>
        <v>251.60894449147008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18.76351669455968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6.339919489577503E-2</v>
      </c>
      <c r="BS62" s="22">
        <f t="shared" si="9"/>
        <v>18.826915889455456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9.8000000000000007</v>
      </c>
      <c r="BY62" s="12">
        <f>IF('Données projet'!$A$114&gt;35,BY61+BX62-CG61,IF(A62&lt;'Données projet'!$A$114,$BV$205^A62,IF(A62='Données projet'!$A$114,'Données projet'!$B$114,BY61+BX62-CG61)))</f>
        <v>291.2</v>
      </c>
      <c r="BZ62" s="13">
        <f>BY62*VLOOKUP('Données projet'!$B$12,Paramètres!$A$1:$I$89,3,0)*VLOOKUP('Données projet'!$B$12,Paramètres!$A$1:$I$89,5,0)</f>
        <v>263.47775999999999</v>
      </c>
      <c r="CA62" s="13">
        <f t="shared" si="39"/>
        <v>63.46312159763346</v>
      </c>
      <c r="CB62" s="20">
        <f t="shared" si="10"/>
        <v>569.42203544921153</v>
      </c>
      <c r="CC62" s="59">
        <f t="shared" si="11"/>
        <v>862.75536878254479</v>
      </c>
      <c r="CD62" s="59">
        <f ca="1">AVERAGE(OFFSET($CC$3,0,0,'Données projet'!$E$12+1,1))-AVERAGE(OFFSET($H$3,0,0,'Données projet'!$E$12+1,1))</f>
        <v>360.44607552967267</v>
      </c>
      <c r="CE62" s="59">
        <f t="shared" si="40"/>
        <v>271.54361159160169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20.153406820082619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6.8095431554721364E-2</v>
      </c>
      <c r="CN62" s="22">
        <f t="shared" si="12"/>
        <v>20.221502251637339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>
        <f>CT62*VLOOKUP('Données projet'!$B$13,Paramètres!$A$1:$I$89,3,0)*VLOOKUP('Données projet'!$B$13,Paramètres!$A$1:$I$89,5,0)</f>
        <v>0</v>
      </c>
      <c r="CV62" s="13" t="e">
        <f t="shared" si="41"/>
        <v>#NUM!</v>
      </c>
      <c r="CW62" s="20" t="e">
        <f t="shared" si="13"/>
        <v>#NUM!</v>
      </c>
      <c r="CX62" s="59" t="e">
        <f t="shared" si="14"/>
        <v>#NUM!</v>
      </c>
      <c r="CY62" s="59">
        <f ca="1">AVERAGE(OFFSET($CX$3,0,0,'Données projet'!$E$13+1,1))-AVERAGE(OFFSET($H$3,0,0,'Données projet'!$E$13+1,1))</f>
        <v>309.89554000341082</v>
      </c>
      <c r="CZ62" s="59">
        <f t="shared" si="42"/>
        <v>465.9235824539021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142.84772760847639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0.36966099695948368</v>
      </c>
      <c r="DI62" s="22">
        <f t="shared" si="15"/>
        <v>143.21738860543587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246</v>
      </c>
      <c r="L63" s="12">
        <f>VLOOKUP(A63,'Données projet'!$A$35:$I$55,9,0)</f>
        <v>6.6</v>
      </c>
      <c r="M63" s="12">
        <f t="array" ref="M63">INDEX(L:L,MIN(IF(ISNUMBER(L63:L259),ROW(L63:L259),"")))</f>
        <v>6.6</v>
      </c>
      <c r="N63" s="13">
        <f>IF('Données projet'!$A$36&gt;35,N62+M63-V62,IF(A63&lt;'Données projet'!$A$36,$K$205^A63,IF(A63='Données projet'!$A$36,'Données projet'!$B$36,N62+M63-V62)))</f>
        <v>246.00000000000009</v>
      </c>
      <c r="O63" s="13">
        <f>N63*VLOOKUP('Données projet'!$B$9,Paramètres!$A$1:$I$89,3,0)*VLOOKUP('Données projet'!$B$9,Paramètres!$A$1:$I$89,5,0)</f>
        <v>214.90560000000008</v>
      </c>
      <c r="P63" s="13">
        <f t="shared" si="33"/>
        <v>53.006137800892326</v>
      </c>
      <c r="Q63" s="20">
        <f t="shared" si="53"/>
        <v>466.61294333655428</v>
      </c>
      <c r="R63" s="59">
        <f t="shared" si="0"/>
        <v>759.94627666988754</v>
      </c>
      <c r="S63" s="59">
        <f ca="1">AVERAGE(OFFSET($R$3,0,0,'Données projet'!$E$9+1,1))-AVERAGE(OFFSET($H$3,0,0,'Données projet'!$E$9+1,1))</f>
        <v>281.82797419088109</v>
      </c>
      <c r="T63" s="59">
        <f t="shared" si="34"/>
        <v>298.98873283425371</v>
      </c>
      <c r="U63" s="15">
        <f>IF(ISNA(VLOOKUP(A63,'Données projet'!$A$35:$I$55,3,0)),0,VLOOKUP(A63,'Données projet'!$A$35:$I$55,3,0))</f>
        <v>11</v>
      </c>
      <c r="V63" s="15">
        <f>IF(ISNA(VLOOKUP(A63,'Données projet'!$A$35:$I$55,4,0)),0,VLOOKUP(A63,'Données projet'!$A$35:$I$55,4,0))</f>
        <v>24</v>
      </c>
      <c r="W63" s="16">
        <f>IF(ISNA(VLOOKUP(A63,'Données projet'!$A$35:$I$55,5,0)),0%,VLOOKUP(A63,'Données projet'!$A$35:$I$55,5,0)*VLOOKUP('Données projet'!$B$9,Paramètres!$A$1:$I$89,7,0))</f>
        <v>0.38700000000000001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41.12868426482288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0.10958610237052989</v>
      </c>
      <c r="AC63" s="22">
        <f t="shared" si="3"/>
        <v>41.238270367193408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163</v>
      </c>
      <c r="AG63" s="12">
        <f>VLOOKUP(A63,'Données projet'!$A$61:$I$81,9,0)</f>
        <v>5.6</v>
      </c>
      <c r="AH63" s="12">
        <f t="array" ref="AH63">INDEX(AG:AG,MIN(IF(ISNUMBER(AG63:AG259),ROW(AG63:AG259),"")))</f>
        <v>5.6</v>
      </c>
      <c r="AI63" s="13">
        <f>IF('Données projet'!$A$62&gt;35,AI62+AH63-AQ62,IF(A63&lt;'Données projet'!$A$62,$AF$205^A63,IF(A63='Données projet'!$A$62,'Données projet'!$B$62,AI62+AH63-AQ62)))</f>
        <v>162.99999999999991</v>
      </c>
      <c r="AJ63" s="13">
        <f>AI63*VLOOKUP('Données projet'!$B$10,Paramètres!$A$1:$I$89,3,0)*VLOOKUP('Données projet'!$B$10,Paramètres!$A$1:$I$89,5,0)</f>
        <v>162.73919999999993</v>
      </c>
      <c r="AK63" s="13">
        <f t="shared" si="35"/>
        <v>41.459737899388685</v>
      </c>
      <c r="AL63" s="20">
        <f t="shared" si="4"/>
        <v>355.64648350810177</v>
      </c>
      <c r="AM63" s="59">
        <f t="shared" si="5"/>
        <v>648.97981684143508</v>
      </c>
      <c r="AN63" s="59">
        <f ca="1">AVERAGE(OFFSET($AM$3,0,0,'Données projet'!$E$10+1,1))-AVERAGE(OFFSET($H$3,0,0,'Données projet'!$E$10+1,1))</f>
        <v>206.53345322763442</v>
      </c>
      <c r="AO63" s="59">
        <f t="shared" si="36"/>
        <v>96.700732426680929</v>
      </c>
      <c r="AP63" s="15">
        <f>IF(ISNA(VLOOKUP(A63,'Données projet'!$A$61:$I$81,3,0)),0,VLOOKUP(A63,'Données projet'!$A$61:$I$81,3,0))</f>
        <v>4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13.288567588185396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0.84910345862625414</v>
      </c>
      <c r="AX63" s="21">
        <f t="shared" si="6"/>
        <v>14.137671046811651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301</v>
      </c>
      <c r="BB63" s="12">
        <f>VLOOKUP(A63,'Données projet'!$A$87:$I$107,9,0)</f>
        <v>9.8000000000000007</v>
      </c>
      <c r="BC63" s="12">
        <f t="array" ref="BC63">INDEX(BB:BB,MIN(IF(ISNUMBER(BB63:BB259),ROW(BB63:BB259),"")))</f>
        <v>9.8000000000000007</v>
      </c>
      <c r="BD63" s="12">
        <f>IF('Données projet'!$A$88&gt;35,BD62+BC63-BL62,IF(A63&lt;'Données projet'!$A$88,$BA$205^A63,IF(A63='Données projet'!$A$88,'Données projet'!$B$88,BD62+BC63-BL62)))</f>
        <v>301</v>
      </c>
      <c r="BE63" s="13">
        <f>BD63*VLOOKUP('Données projet'!$B$11,Paramètres!$A$1:$I$89,3,0)*VLOOKUP('Données projet'!$B$11,Paramètres!$A$1:$I$89,5,0)</f>
        <v>253.56240000000005</v>
      </c>
      <c r="BF63" s="13">
        <f t="shared" si="37"/>
        <v>61.348145886656177</v>
      </c>
      <c r="BG63" s="20">
        <f t="shared" si="7"/>
        <v>548.46920075259288</v>
      </c>
      <c r="BH63" s="59">
        <f t="shared" si="8"/>
        <v>841.80253408592625</v>
      </c>
      <c r="BI63" s="59">
        <f ca="1">AVERAGE(OFFSET($BH$3,0,0,'Données projet'!$E$11+1,1))-AVERAGE(OFFSET($H$3,0,0,'Données projet'!$E$11+1,1))</f>
        <v>328.34986205643321</v>
      </c>
      <c r="BJ63" s="59">
        <f t="shared" si="38"/>
        <v>251.60894449147008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56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18.395575576794485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4.4830000632570075E-2</v>
      </c>
      <c r="BS63" s="22">
        <f t="shared" si="9"/>
        <v>18.440405577427054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301</v>
      </c>
      <c r="BW63" s="12">
        <f>VLOOKUP(A63,'Données projet'!$A$113:$I$133,9,0)</f>
        <v>9.8000000000000007</v>
      </c>
      <c r="BX63" s="12">
        <f t="array" ref="BX63">INDEX(BW:BW,MIN(IF(ISNUMBER(BW63:BW259),ROW(BW63:BW259),"")))</f>
        <v>9.8000000000000007</v>
      </c>
      <c r="BY63" s="12">
        <f>IF('Données projet'!$A$114&gt;35,BY62+BX63-CG62,IF(A63&lt;'Données projet'!$A$114,$BV$205^A63,IF(A63='Données projet'!$A$114,'Données projet'!$B$114,BY62+BX63-CG62)))</f>
        <v>301</v>
      </c>
      <c r="BZ63" s="13">
        <f>BY63*VLOOKUP('Données projet'!$B$12,Paramètres!$A$1:$I$89,3,0)*VLOOKUP('Données projet'!$B$12,Paramètres!$A$1:$I$89,5,0)</f>
        <v>272.34479999999996</v>
      </c>
      <c r="CA63" s="13">
        <f t="shared" si="39"/>
        <v>65.346644318451652</v>
      </c>
      <c r="CB63" s="20">
        <f t="shared" si="10"/>
        <v>588.14593218796983</v>
      </c>
      <c r="CC63" s="59">
        <f t="shared" si="11"/>
        <v>881.4792655213032</v>
      </c>
      <c r="CD63" s="59">
        <f ca="1">AVERAGE(OFFSET($CC$3,0,0,'Données projet'!$E$12+1,1))-AVERAGE(OFFSET($H$3,0,0,'Données projet'!$E$12+1,1))</f>
        <v>360.44607552967267</v>
      </c>
      <c r="CE63" s="59">
        <f t="shared" si="40"/>
        <v>271.54361159160169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56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19.75821080470519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4.8150741420167883E-2</v>
      </c>
      <c r="CN63" s="22">
        <f t="shared" si="12"/>
        <v>19.806361546125359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>
        <f>CT63*VLOOKUP('Données projet'!$B$13,Paramètres!$A$1:$I$89,3,0)*VLOOKUP('Données projet'!$B$13,Paramètres!$A$1:$I$89,5,0)</f>
        <v>0</v>
      </c>
      <c r="CV63" s="13" t="e">
        <f t="shared" si="41"/>
        <v>#NUM!</v>
      </c>
      <c r="CW63" s="20" t="e">
        <f t="shared" si="13"/>
        <v>#NUM!</v>
      </c>
      <c r="CX63" s="59" t="e">
        <f t="shared" si="14"/>
        <v>#NUM!</v>
      </c>
      <c r="CY63" s="59">
        <f ca="1">AVERAGE(OFFSET($CX$3,0,0,'Données projet'!$E$13+1,1))-AVERAGE(OFFSET($H$3,0,0,'Données projet'!$E$13+1,1))</f>
        <v>309.89554000341082</v>
      </c>
      <c r="CZ63" s="59">
        <f t="shared" si="42"/>
        <v>465.9235824539021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140.04657079858478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0.26138979769023063</v>
      </c>
      <c r="DI63" s="22">
        <f t="shared" si="15"/>
        <v>140.30796059627502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6</v>
      </c>
      <c r="N64" s="13">
        <f>IF('Données projet'!$A$36&gt;35,N63+M64-V63,IF(A64&lt;'Données projet'!$A$36,$K$205^A64,IF(A64='Données projet'!$A$36,'Données projet'!$B$36,N63+M64-V63)))</f>
        <v>228.00000000000009</v>
      </c>
      <c r="O64" s="13">
        <f>N64*VLOOKUP('Données projet'!$B$9,Paramètres!$A$1:$I$89,3,0)*VLOOKUP('Données projet'!$B$9,Paramètres!$A$1:$I$89,5,0)</f>
        <v>199.18080000000012</v>
      </c>
      <c r="P64" s="13">
        <f t="shared" si="33"/>
        <v>49.564089376413726</v>
      </c>
      <c r="Q64" s="20">
        <f t="shared" si="53"/>
        <v>433.2306823305874</v>
      </c>
      <c r="R64" s="59">
        <f t="shared" si="0"/>
        <v>726.56401566392071</v>
      </c>
      <c r="S64" s="59">
        <f ca="1">AVERAGE(OFFSET($R$3,0,0,'Données projet'!$E$9+1,1))-AVERAGE(OFFSET($H$3,0,0,'Données projet'!$E$9+1,1))</f>
        <v>281.82797419088109</v>
      </c>
      <c r="T64" s="59">
        <f t="shared" si="34"/>
        <v>298.98873283425371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40.322175852410069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7.7489076110004884E-2</v>
      </c>
      <c r="AC64" s="22">
        <f t="shared" si="3"/>
        <v>40.399664928520075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5.2</v>
      </c>
      <c r="AI64" s="13">
        <f>IF('Données projet'!$A$62&gt;35,AI63+AH64-AQ63,IF(A64&lt;'Données projet'!$A$62,$AF$205^A64,IF(A64='Données projet'!$A$62,'Données projet'!$B$62,AI63+AH64-AQ63)))</f>
        <v>140.1999999999999</v>
      </c>
      <c r="AJ64" s="13">
        <f>AI64*VLOOKUP('Données projet'!$B$10,Paramètres!$A$1:$I$89,3,0)*VLOOKUP('Données projet'!$B$10,Paramètres!$A$1:$I$89,5,0)</f>
        <v>139.9756799999999</v>
      </c>
      <c r="AK64" s="13">
        <f t="shared" si="35"/>
        <v>36.291434068189503</v>
      </c>
      <c r="AL64" s="20">
        <f t="shared" si="4"/>
        <v>306.99855700209656</v>
      </c>
      <c r="AM64" s="59">
        <f t="shared" si="5"/>
        <v>600.33189033542988</v>
      </c>
      <c r="AN64" s="59">
        <f ca="1">AVERAGE(OFFSET($AM$3,0,0,'Données projet'!$E$10+1,1))-AVERAGE(OFFSET($H$3,0,0,'Données projet'!$E$10+1,1))</f>
        <v>206.53345322763442</v>
      </c>
      <c r="AO64" s="59">
        <f t="shared" si="36"/>
        <v>96.700732426680929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13.027986883006985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0.60040681352357539</v>
      </c>
      <c r="AX64" s="21">
        <f t="shared" si="6"/>
        <v>13.62839369653056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8.5</v>
      </c>
      <c r="BD64" s="12">
        <f>IF('Données projet'!$A$88&gt;35,BD63+BC64-BL63,IF(A64&lt;'Données projet'!$A$88,$BA$205^A64,IF(A64='Données projet'!$A$88,'Données projet'!$B$88,BD63+BC64-BL63)))</f>
        <v>253.5</v>
      </c>
      <c r="BE64" s="13">
        <f>BD64*VLOOKUP('Données projet'!$B$11,Paramètres!$A$1:$I$89,3,0)*VLOOKUP('Données projet'!$B$11,Paramètres!$A$1:$I$89,5,0)</f>
        <v>213.54840000000004</v>
      </c>
      <c r="BF64" s="13">
        <f t="shared" si="37"/>
        <v>52.710242573823848</v>
      </c>
      <c r="BG64" s="20">
        <f t="shared" si="7"/>
        <v>463.73380248274316</v>
      </c>
      <c r="BH64" s="59">
        <f t="shared" si="8"/>
        <v>757.06713581607642</v>
      </c>
      <c r="BI64" s="59">
        <f ca="1">AVERAGE(OFFSET($BH$3,0,0,'Données projet'!$E$11+1,1))-AVERAGE(OFFSET($H$3,0,0,'Données projet'!$E$11+1,1))</f>
        <v>328.34986205643321</v>
      </c>
      <c r="BJ64" s="59">
        <f t="shared" si="38"/>
        <v>251.60894449147008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18.034849559926744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3.1699597447887515E-2</v>
      </c>
      <c r="BS64" s="22">
        <f t="shared" si="9"/>
        <v>18.066549157374631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8.5</v>
      </c>
      <c r="BY64" s="12">
        <f>IF('Données projet'!$A$114&gt;35,BY63+BX64-CG63,IF(A64&lt;'Données projet'!$A$114,$BV$205^A64,IF(A64='Données projet'!$A$114,'Données projet'!$B$114,BY63+BX64-CG63)))</f>
        <v>253.5</v>
      </c>
      <c r="BZ64" s="13">
        <f>BY64*VLOOKUP('Données projet'!$B$12,Paramètres!$A$1:$I$89,3,0)*VLOOKUP('Données projet'!$B$12,Paramètres!$A$1:$I$89,5,0)</f>
        <v>229.36680000000001</v>
      </c>
      <c r="CA64" s="13">
        <f t="shared" si="39"/>
        <v>56.14574692729505</v>
      </c>
      <c r="CB64" s="20">
        <f t="shared" si="10"/>
        <v>497.26768589837212</v>
      </c>
      <c r="CC64" s="59">
        <f t="shared" si="11"/>
        <v>790.60101923170544</v>
      </c>
      <c r="CD64" s="59">
        <f ca="1">AVERAGE(OFFSET($CC$3,0,0,'Données projet'!$E$12+1,1))-AVERAGE(OFFSET($H$3,0,0,'Données projet'!$E$12+1,1))</f>
        <v>360.44607552967267</v>
      </c>
      <c r="CE64" s="59">
        <f t="shared" si="40"/>
        <v>271.54361159160169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19.370764342143541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3.4047715777360682E-2</v>
      </c>
      <c r="CN64" s="22">
        <f t="shared" si="12"/>
        <v>19.404812057920903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>
        <f>CT64*VLOOKUP('Données projet'!$B$13,Paramètres!$A$1:$I$89,3,0)*VLOOKUP('Données projet'!$B$13,Paramètres!$A$1:$I$89,5,0)</f>
        <v>0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309.89554000341082</v>
      </c>
      <c r="CZ64" s="59">
        <f t="shared" si="42"/>
        <v>465.9235824539021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137.30034296519821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0.18483049847974184</v>
      </c>
      <c r="DI64" s="22">
        <f t="shared" si="15"/>
        <v>137.48517346367797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6</v>
      </c>
      <c r="N65" s="13">
        <f>IF('Données projet'!$A$36&gt;35,N64+M65-V64,IF(A65&lt;'Données projet'!$A$36,$K$205^A65,IF(A65='Données projet'!$A$36,'Données projet'!$B$36,N64+M65-V64)))</f>
        <v>234.00000000000009</v>
      </c>
      <c r="O65" s="13">
        <f>N65*VLOOKUP('Données projet'!$B$9,Paramètres!$A$1:$I$89,3,0)*VLOOKUP('Données projet'!$B$9,Paramètres!$A$1:$I$89,5,0)</f>
        <v>204.4224000000001</v>
      </c>
      <c r="P65" s="13">
        <f t="shared" si="33"/>
        <v>50.714836797527312</v>
      </c>
      <c r="Q65" s="20">
        <f t="shared" si="53"/>
        <v>444.3640207556935</v>
      </c>
      <c r="R65" s="59">
        <f t="shared" si="0"/>
        <v>737.69735408902682</v>
      </c>
      <c r="S65" s="59">
        <f ca="1">AVERAGE(OFFSET($R$3,0,0,'Données projet'!$E$9+1,1))-AVERAGE(OFFSET($H$3,0,0,'Données projet'!$E$9+1,1))</f>
        <v>281.82797419088109</v>
      </c>
      <c r="T65" s="59">
        <f t="shared" si="34"/>
        <v>298.98873283425371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39.531482578043111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5.4793051185264952E-2</v>
      </c>
      <c r="AC65" s="22">
        <f t="shared" si="3"/>
        <v>39.586275629228375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5.2</v>
      </c>
      <c r="AI65" s="13">
        <f>IF('Données projet'!$A$62&gt;35,AI64+AH65-AQ64,IF(A65&lt;'Données projet'!$A$62,$AF$205^A65,IF(A65='Données projet'!$A$62,'Données projet'!$B$62,AI64+AH65-AQ64)))</f>
        <v>145.39999999999989</v>
      </c>
      <c r="AJ65" s="13">
        <f>AI65*VLOOKUP('Données projet'!$B$10,Paramètres!$A$1:$I$89,3,0)*VLOOKUP('Données projet'!$B$10,Paramètres!$A$1:$I$89,5,0)</f>
        <v>145.16735999999989</v>
      </c>
      <c r="AK65" s="13">
        <f t="shared" si="35"/>
        <v>37.478266460251952</v>
      </c>
      <c r="AL65" s="20">
        <f t="shared" si="4"/>
        <v>318.10779941827195</v>
      </c>
      <c r="AM65" s="59">
        <f t="shared" si="5"/>
        <v>611.44113275160521</v>
      </c>
      <c r="AN65" s="59">
        <f ca="1">AVERAGE(OFFSET($AM$3,0,0,'Données projet'!$E$10+1,1))-AVERAGE(OFFSET($H$3,0,0,'Données projet'!$E$10+1,1))</f>
        <v>206.53345322763442</v>
      </c>
      <c r="AO65" s="59">
        <f t="shared" si="36"/>
        <v>96.700732426680929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12.772516006518586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0.42455172931312707</v>
      </c>
      <c r="AX65" s="21">
        <f t="shared" si="6"/>
        <v>13.197067735831713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8.5</v>
      </c>
      <c r="BD65" s="12">
        <f>IF('Données projet'!$A$88&gt;35,BD64+BC65-BL64,IF(A65&lt;'Données projet'!$A$88,$BA$205^A65,IF(A65='Données projet'!$A$88,'Données projet'!$B$88,BD64+BC65-BL64)))</f>
        <v>262</v>
      </c>
      <c r="BE65" s="13">
        <f>BD65*VLOOKUP('Données projet'!$B$11,Paramètres!$A$1:$I$89,3,0)*VLOOKUP('Données projet'!$B$11,Paramètres!$A$1:$I$89,5,0)</f>
        <v>220.70880000000002</v>
      </c>
      <c r="BF65" s="13">
        <f t="shared" si="37"/>
        <v>54.268911046456566</v>
      </c>
      <c r="BG65" s="20">
        <f t="shared" si="7"/>
        <v>478.91951340591186</v>
      </c>
      <c r="BH65" s="59">
        <f t="shared" si="8"/>
        <v>772.25284673924511</v>
      </c>
      <c r="BI65" s="59">
        <f ca="1">AVERAGE(OFFSET($BH$3,0,0,'Données projet'!$E$11+1,1))-AVERAGE(OFFSET($H$3,0,0,'Données projet'!$E$11+1,1))</f>
        <v>328.34986205643321</v>
      </c>
      <c r="BJ65" s="59">
        <f t="shared" si="38"/>
        <v>251.60894449147008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17.681197160228635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2.2415000316285037E-2</v>
      </c>
      <c r="BS65" s="22">
        <f t="shared" si="9"/>
        <v>17.703612160544921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8.5</v>
      </c>
      <c r="BY65" s="12">
        <f>IF('Données projet'!$A$114&gt;35,BY64+BX65-CG64,IF(A65&lt;'Données projet'!$A$114,$BV$205^A65,IF(A65='Données projet'!$A$114,'Données projet'!$B$114,BY64+BX65-CG64)))</f>
        <v>262</v>
      </c>
      <c r="BZ65" s="13">
        <f>BY65*VLOOKUP('Données projet'!$B$12,Paramètres!$A$1:$I$89,3,0)*VLOOKUP('Données projet'!$B$12,Paramètres!$A$1:$I$89,5,0)</f>
        <v>237.05759999999998</v>
      </c>
      <c r="CA65" s="13">
        <f t="shared" si="39"/>
        <v>57.806004997354641</v>
      </c>
      <c r="CB65" s="20">
        <f t="shared" si="10"/>
        <v>513.55411203705933</v>
      </c>
      <c r="CC65" s="59">
        <f t="shared" si="11"/>
        <v>806.8874453703927</v>
      </c>
      <c r="CD65" s="59">
        <f ca="1">AVERAGE(OFFSET($CC$3,0,0,'Données projet'!$E$12+1,1))-AVERAGE(OFFSET($H$3,0,0,'Données projet'!$E$12+1,1))</f>
        <v>360.44607552967267</v>
      </c>
      <c r="CE65" s="59">
        <f t="shared" si="40"/>
        <v>271.54361159160169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18.99091546839372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2.4075370710083942E-2</v>
      </c>
      <c r="CN65" s="22">
        <f t="shared" si="12"/>
        <v>19.014990839103803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>
        <f>CT65*VLOOKUP('Données projet'!$B$13,Paramètres!$A$1:$I$89,3,0)*VLOOKUP('Données projet'!$B$13,Paramètres!$A$1:$I$89,5,0)</f>
        <v>0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309.89554000341082</v>
      </c>
      <c r="CZ65" s="59">
        <f t="shared" si="42"/>
        <v>465.9235824539021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134.60796698459075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0.13069489884511531</v>
      </c>
      <c r="DI65" s="22">
        <f t="shared" si="15"/>
        <v>134.73866188343587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6</v>
      </c>
      <c r="N66" s="13">
        <f>IF('Données projet'!$A$36&gt;35,N65+M66-V65,IF(A66&lt;'Données projet'!$A$36,$K$205^A66,IF(A66='Données projet'!$A$36,'Données projet'!$B$36,N65+M66-V65)))</f>
        <v>240.00000000000009</v>
      </c>
      <c r="O66" s="13">
        <f>N66*VLOOKUP('Données projet'!$B$9,Paramètres!$A$1:$I$89,3,0)*VLOOKUP('Données projet'!$B$9,Paramètres!$A$1:$I$89,5,0)</f>
        <v>209.6640000000001</v>
      </c>
      <c r="P66" s="13">
        <f t="shared" si="33"/>
        <v>51.862154403304537</v>
      </c>
      <c r="Q66" s="20">
        <f t="shared" si="53"/>
        <v>455.49138558575561</v>
      </c>
      <c r="R66" s="59">
        <f t="shared" si="0"/>
        <v>748.82471891908892</v>
      </c>
      <c r="S66" s="59">
        <f ca="1">AVERAGE(OFFSET($R$3,0,0,'Données projet'!$E$9+1,1))-AVERAGE(OFFSET($H$3,0,0,'Données projet'!$E$9+1,1))</f>
        <v>281.82797419088109</v>
      </c>
      <c r="T66" s="59">
        <f t="shared" si="34"/>
        <v>298.98873283425371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38.756294316511216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3.8744538055002442E-2</v>
      </c>
      <c r="AC66" s="22">
        <f t="shared" si="3"/>
        <v>38.795038854566215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5.2</v>
      </c>
      <c r="AI66" s="13">
        <f>IF('Données projet'!$A$62&gt;35,AI65+AH66-AQ65,IF(A66&lt;'Données projet'!$A$62,$AF$205^A66,IF(A66='Données projet'!$A$62,'Données projet'!$B$62,AI65+AH66-AQ65)))</f>
        <v>150.59999999999988</v>
      </c>
      <c r="AJ66" s="13">
        <f>AI66*VLOOKUP('Données projet'!$B$10,Paramètres!$A$1:$I$89,3,0)*VLOOKUP('Données projet'!$B$10,Paramètres!$A$1:$I$89,5,0)</f>
        <v>150.35903999999991</v>
      </c>
      <c r="AK66" s="13">
        <f t="shared" si="35"/>
        <v>38.66016739279528</v>
      </c>
      <c r="AL66" s="20">
        <f t="shared" si="4"/>
        <v>329.20845287578493</v>
      </c>
      <c r="AM66" s="59">
        <f t="shared" si="5"/>
        <v>622.5417862091183</v>
      </c>
      <c r="AN66" s="59">
        <f ca="1">AVERAGE(OFFSET($AM$3,0,0,'Données projet'!$E$10+1,1))-AVERAGE(OFFSET($H$3,0,0,'Données projet'!$E$10+1,1))</f>
        <v>206.53345322763442</v>
      </c>
      <c r="AO66" s="59">
        <f t="shared" si="36"/>
        <v>96.700732426680929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12.522054758096276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0.30020340676178769</v>
      </c>
      <c r="AX66" s="21">
        <f t="shared" si="6"/>
        <v>12.822258164858065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8.5</v>
      </c>
      <c r="BD66" s="12">
        <f>IF('Données projet'!$A$88&gt;35,BD65+BC66-BL65,IF(A66&lt;'Données projet'!$A$88,$BA$205^A66,IF(A66='Données projet'!$A$88,'Données projet'!$B$88,BD65+BC66-BL65)))</f>
        <v>270.5</v>
      </c>
      <c r="BE66" s="13">
        <f>BD66*VLOOKUP('Données projet'!$B$11,Paramètres!$A$1:$I$89,3,0)*VLOOKUP('Données projet'!$B$11,Paramètres!$A$1:$I$89,5,0)</f>
        <v>227.86920000000003</v>
      </c>
      <c r="BF66" s="13">
        <f t="shared" si="37"/>
        <v>55.82170347430052</v>
      </c>
      <c r="BG66" s="20">
        <f t="shared" si="7"/>
        <v>494.09499021774013</v>
      </c>
      <c r="BH66" s="59">
        <f t="shared" si="8"/>
        <v>787.42832355107339</v>
      </c>
      <c r="BI66" s="59">
        <f ca="1">AVERAGE(OFFSET($BH$3,0,0,'Données projet'!$E$11+1,1))-AVERAGE(OFFSET($H$3,0,0,'Données projet'!$E$11+1,1))</f>
        <v>328.34986205643321</v>
      </c>
      <c r="BJ66" s="59">
        <f t="shared" si="38"/>
        <v>251.60894449147008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17.334479668381942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1.5849798723943757E-2</v>
      </c>
      <c r="BS66" s="22">
        <f t="shared" si="9"/>
        <v>17.350329467105887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8.5</v>
      </c>
      <c r="BY66" s="12">
        <f>IF('Données projet'!$A$114&gt;35,BY65+BX66-CG65,IF(A66&lt;'Données projet'!$A$114,$BV$205^A66,IF(A66='Données projet'!$A$114,'Données projet'!$B$114,BY65+BX66-CG65)))</f>
        <v>270.5</v>
      </c>
      <c r="BZ66" s="13">
        <f>BY66*VLOOKUP('Données projet'!$B$12,Paramètres!$A$1:$I$89,3,0)*VLOOKUP('Données projet'!$B$12,Paramètres!$A$1:$I$89,5,0)</f>
        <v>244.74839999999998</v>
      </c>
      <c r="CA66" s="13">
        <f t="shared" si="39"/>
        <v>59.460004038665112</v>
      </c>
      <c r="CB66" s="20">
        <f t="shared" si="10"/>
        <v>529.82963703400833</v>
      </c>
      <c r="CC66" s="59">
        <f t="shared" si="11"/>
        <v>823.16297036734159</v>
      </c>
      <c r="CD66" s="59">
        <f ca="1">AVERAGE(OFFSET($CC$3,0,0,'Données projet'!$E$12+1,1))-AVERAGE(OFFSET($H$3,0,0,'Données projet'!$E$12+1,1))</f>
        <v>360.44607552967267</v>
      </c>
      <c r="CE66" s="59">
        <f t="shared" si="40"/>
        <v>271.54361159160169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18.618515199373196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1.7023857888680341E-2</v>
      </c>
      <c r="CN66" s="22">
        <f t="shared" si="12"/>
        <v>18.635539057261877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>
        <f>CT66*VLOOKUP('Données projet'!$B$13,Paramètres!$A$1:$I$89,3,0)*VLOOKUP('Données projet'!$B$13,Paramètres!$A$1:$I$89,5,0)</f>
        <v>0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309.89554000341082</v>
      </c>
      <c r="CZ66" s="59">
        <f t="shared" si="42"/>
        <v>465.9235824539021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131.96838685477582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9.241524923987092E-2</v>
      </c>
      <c r="DI66" s="22">
        <f t="shared" si="15"/>
        <v>132.06080210401569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6</v>
      </c>
      <c r="N67" s="13">
        <f>IF('Données projet'!$A$36&gt;35,N66+M67-V66,IF(A67&lt;'Données projet'!$A$36,$K$205^A67,IF(A67='Données projet'!$A$36,'Données projet'!$B$36,N66+M67-V66)))</f>
        <v>246.00000000000009</v>
      </c>
      <c r="O67" s="13">
        <f>N67*VLOOKUP('Données projet'!$B$9,Paramètres!$A$1:$I$89,3,0)*VLOOKUP('Données projet'!$B$9,Paramètres!$A$1:$I$89,5,0)</f>
        <v>214.90560000000008</v>
      </c>
      <c r="P67" s="13">
        <f t="shared" si="33"/>
        <v>53.006137800892326</v>
      </c>
      <c r="Q67" s="20">
        <f t="shared" ref="Q67:Q98" si="54">(O67+P67)*0.475*44/12</f>
        <v>466.61294333655428</v>
      </c>
      <c r="R67" s="59">
        <f t="shared" ref="R67:R130" si="55">Q67+(I67+J67)*44/12</f>
        <v>759.94627666988754</v>
      </c>
      <c r="S67" s="59">
        <f ca="1">AVERAGE(OFFSET($R$3,0,0,'Données projet'!$E$9+1,1))-AVERAGE(OFFSET($H$3,0,0,'Données projet'!$E$9+1,1))</f>
        <v>281.82797419088109</v>
      </c>
      <c r="T67" s="59">
        <f t="shared" si="34"/>
        <v>298.98873283425371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37.996307023969806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2.7396525592632476E-2</v>
      </c>
      <c r="AC67" s="22">
        <f t="shared" si="3"/>
        <v>38.023703549562441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5.2</v>
      </c>
      <c r="AI67" s="13">
        <f>IF('Données projet'!$A$62&gt;35,AI66+AH67-AQ66,IF(A67&lt;'Données projet'!$A$62,$AF$205^A67,IF(A67='Données projet'!$A$62,'Données projet'!$B$62,AI66+AH67-AQ66)))</f>
        <v>155.79999999999987</v>
      </c>
      <c r="AJ67" s="13">
        <f>AI67*VLOOKUP('Données projet'!$B$10,Paramètres!$A$1:$I$89,3,0)*VLOOKUP('Données projet'!$B$10,Paramètres!$A$1:$I$89,5,0)</f>
        <v>155.55071999999987</v>
      </c>
      <c r="AK67" s="13">
        <f t="shared" si="35"/>
        <v>39.837326657268385</v>
      </c>
      <c r="AL67" s="20">
        <f t="shared" si="4"/>
        <v>340.30084792807554</v>
      </c>
      <c r="AM67" s="59">
        <f t="shared" si="5"/>
        <v>633.63418126140891</v>
      </c>
      <c r="AN67" s="59">
        <f ca="1">AVERAGE(OFFSET($AM$3,0,0,'Données projet'!$E$10+1,1))-AVERAGE(OFFSET($H$3,0,0,'Données projet'!$E$10+1,1))</f>
        <v>206.53345322763442</v>
      </c>
      <c r="AO67" s="59">
        <f t="shared" si="36"/>
        <v>96.700732426680929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12.27650490198925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0.21227586465656353</v>
      </c>
      <c r="AX67" s="21">
        <f t="shared" si="6"/>
        <v>12.488780766645814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8.5</v>
      </c>
      <c r="BD67" s="12">
        <f>IF('Données projet'!$A$88&gt;35,BD66+BC67-BL66,IF(A67&lt;'Données projet'!$A$88,$BA$205^A67,IF(A67='Données projet'!$A$88,'Données projet'!$B$88,BD66+BC67-BL66)))</f>
        <v>279</v>
      </c>
      <c r="BE67" s="13">
        <f>BD67*VLOOKUP('Données projet'!$B$11,Paramètres!$A$1:$I$89,3,0)*VLOOKUP('Données projet'!$B$11,Paramètres!$A$1:$I$89,5,0)</f>
        <v>235.02960000000002</v>
      </c>
      <c r="BF67" s="13">
        <f t="shared" si="37"/>
        <v>57.368825686861157</v>
      </c>
      <c r="BG67" s="20">
        <f t="shared" si="7"/>
        <v>509.26059140461649</v>
      </c>
      <c r="BH67" s="59">
        <f t="shared" si="8"/>
        <v>802.59392473794981</v>
      </c>
      <c r="BI67" s="59">
        <f ca="1">AVERAGE(OFFSET($BH$3,0,0,'Données projet'!$E$11+1,1))-AVERAGE(OFFSET($H$3,0,0,'Données projet'!$E$11+1,1))</f>
        <v>328.34986205643321</v>
      </c>
      <c r="BJ67" s="59">
        <f t="shared" si="38"/>
        <v>251.60894449147008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16.994561095073575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1.1207500158142519E-2</v>
      </c>
      <c r="BS67" s="22">
        <f t="shared" si="9"/>
        <v>17.005768595231718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8.5</v>
      </c>
      <c r="BY67" s="12">
        <f>IF('Données projet'!$A$114&gt;35,BY66+BX67-CG66,IF(A67&lt;'Données projet'!$A$114,$BV$205^A67,IF(A67='Données projet'!$A$114,'Données projet'!$B$114,BY66+BX67-CG66)))</f>
        <v>279</v>
      </c>
      <c r="BZ67" s="13">
        <f>BY67*VLOOKUP('Données projet'!$B$12,Paramètres!$A$1:$I$89,3,0)*VLOOKUP('Données projet'!$B$12,Paramètres!$A$1:$I$89,5,0)</f>
        <v>252.4392</v>
      </c>
      <c r="CA67" s="13">
        <f t="shared" si="39"/>
        <v>61.107963296116218</v>
      </c>
      <c r="CB67" s="20">
        <f t="shared" si="10"/>
        <v>546.09464274073571</v>
      </c>
      <c r="CC67" s="59">
        <f t="shared" si="11"/>
        <v>839.42797607406897</v>
      </c>
      <c r="CD67" s="59">
        <f ca="1">AVERAGE(OFFSET($CC$3,0,0,'Données projet'!$E$12+1,1))-AVERAGE(OFFSET($H$3,0,0,'Données projet'!$E$12+1,1))</f>
        <v>360.44607552967267</v>
      </c>
      <c r="CE67" s="59">
        <f t="shared" si="40"/>
        <v>271.54361159160169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18.253417472486429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1.2037685355041971E-2</v>
      </c>
      <c r="CN67" s="22">
        <f t="shared" si="12"/>
        <v>18.265455157841473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>
        <f>CT67*VLOOKUP('Données projet'!$B$13,Paramètres!$A$1:$I$89,3,0)*VLOOKUP('Données projet'!$B$13,Paramètres!$A$1:$I$89,5,0)</f>
        <v>0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309.89554000341082</v>
      </c>
      <c r="CZ67" s="59">
        <f t="shared" si="42"/>
        <v>465.9235824539021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129.38056728132165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6.5347449422557657E-2</v>
      </c>
      <c r="DI67" s="22">
        <f t="shared" si="15"/>
        <v>129.44591473074419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252</v>
      </c>
      <c r="L68" s="12">
        <f>VLOOKUP(A68,'Données projet'!$A$35:$I$55,9,0)</f>
        <v>6</v>
      </c>
      <c r="M68" s="12">
        <f t="array" ref="M68">INDEX(L:L,MIN(IF(ISNUMBER(L68:L264),ROW(L68:L264),"")))</f>
        <v>6</v>
      </c>
      <c r="N68" s="13">
        <f>IF('Données projet'!$A$36&gt;35,N67+M68-V67,IF(A68&lt;'Données projet'!$A$36,$K$205^A68,IF(A68='Données projet'!$A$36,'Données projet'!$B$36,N67+M68-V67)))</f>
        <v>252.00000000000009</v>
      </c>
      <c r="O68" s="13">
        <f>N68*VLOOKUP('Données projet'!$B$9,Paramètres!$A$1:$I$89,3,0)*VLOOKUP('Données projet'!$B$9,Paramètres!$A$1:$I$89,5,0)</f>
        <v>220.14720000000011</v>
      </c>
      <c r="P68" s="13">
        <f t="shared" si="33"/>
        <v>54.146877667769687</v>
      </c>
      <c r="Q68" s="20">
        <f t="shared" si="54"/>
        <v>477.72885193803239</v>
      </c>
      <c r="R68" s="59">
        <f t="shared" si="55"/>
        <v>771.06218527136571</v>
      </c>
      <c r="S68" s="59">
        <f ca="1">AVERAGE(OFFSET($R$3,0,0,'Données projet'!$E$9+1,1))-AVERAGE(OFFSET($H$3,0,0,'Données projet'!$E$9+1,1))</f>
        <v>281.82797419088109</v>
      </c>
      <c r="T68" s="59">
        <f t="shared" si="34"/>
        <v>298.98873283425371</v>
      </c>
      <c r="U68" s="15">
        <f>IF(ISNA(VLOOKUP(A68,'Données projet'!$A$35:$I$55,3,0)),0,VLOOKUP(A68,'Données projet'!$A$35:$I$55,3,0))</f>
        <v>12</v>
      </c>
      <c r="V68" s="15">
        <f>IF(ISNA(VLOOKUP(A68,'Données projet'!$A$35:$I$55,4,0)),0,VLOOKUP(A68,'Données projet'!$A$35:$I$55,4,0))</f>
        <v>22</v>
      </c>
      <c r="W68" s="16">
        <f>IF(ISNA(VLOOKUP(A68,'Données projet'!$A$35:$I$55,5,0)),0%,VLOOKUP(A68,'Données projet'!$A$35:$I$55,5,0)*VLOOKUP('Données projet'!$B$9,Paramètres!$A$1:$I$89,7,0))</f>
        <v>0.38700000000000001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45.473523813878373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1.9372269027501221E-2</v>
      </c>
      <c r="AC68" s="22">
        <f t="shared" ref="AC68:AC131" si="57">SUM(Z68:AB68)</f>
        <v>45.492896082905872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5.2</v>
      </c>
      <c r="AI68" s="13">
        <f>IF('Données projet'!$A$62&gt;35,AI67+AH68-AQ67,IF(A68&lt;'Données projet'!$A$62,$AF$205^A68,IF(A68='Données projet'!$A$62,'Données projet'!$B$62,AI67+AH68-AQ67)))</f>
        <v>160.99999999999986</v>
      </c>
      <c r="AJ68" s="13">
        <f>AI68*VLOOKUP('Données projet'!$B$10,Paramètres!$A$1:$I$89,3,0)*VLOOKUP('Données projet'!$B$10,Paramètres!$A$1:$I$89,5,0)</f>
        <v>160.74239999999986</v>
      </c>
      <c r="AK68" s="13">
        <f t="shared" si="35"/>
        <v>41.009920657227809</v>
      </c>
      <c r="AL68" s="20">
        <f t="shared" ref="AL68:AL131" si="58">(AJ68+AK68)*0.475*44/12</f>
        <v>351.38529181133816</v>
      </c>
      <c r="AM68" s="59">
        <f t="shared" ref="AM68:AM131" si="59">AL68+(AD68+AE68)*44/12</f>
        <v>644.71862514467148</v>
      </c>
      <c r="AN68" s="59">
        <f ca="1">AVERAGE(OFFSET($AM$3,0,0,'Données projet'!$E$10+1,1))-AVERAGE(OFFSET($H$3,0,0,'Données projet'!$E$10+1,1))</f>
        <v>206.53345322763442</v>
      </c>
      <c r="AO68" s="59">
        <f t="shared" si="36"/>
        <v>96.700732426680929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12.03577012878986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0.15010170338089385</v>
      </c>
      <c r="AX68" s="21">
        <f t="shared" ref="AX68:AX131" si="60">SUM(AU68:AW68)</f>
        <v>12.185871832170754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8.5</v>
      </c>
      <c r="BD68" s="12">
        <f>IF('Données projet'!$A$88&gt;35,BD67+BC68-BL67,IF(A68&lt;'Données projet'!$A$88,$BA$205^A68,IF(A68='Données projet'!$A$88,'Données projet'!$B$88,BD67+BC68-BL67)))</f>
        <v>287.5</v>
      </c>
      <c r="BE68" s="13">
        <f>BD68*VLOOKUP('Données projet'!$B$11,Paramètres!$A$1:$I$89,3,0)*VLOOKUP('Données projet'!$B$11,Paramètres!$A$1:$I$89,5,0)</f>
        <v>242.19</v>
      </c>
      <c r="BF68" s="13">
        <f t="shared" si="37"/>
        <v>58.910470259429353</v>
      </c>
      <c r="BG68" s="20">
        <f t="shared" ref="BG68:BG131" si="61">(BE68+BF68)*0.475*44/12</f>
        <v>524.41665236850611</v>
      </c>
      <c r="BH68" s="59">
        <f t="shared" ref="BH68:BH131" si="62">BG68+(AY68+AZ68)*44/12</f>
        <v>817.74998570183948</v>
      </c>
      <c r="BI68" s="59">
        <f ca="1">AVERAGE(OFFSET($BH$3,0,0,'Données projet'!$E$11+1,1))-AVERAGE(OFFSET($H$3,0,0,'Données projet'!$E$11+1,1))</f>
        <v>328.34986205643321</v>
      </c>
      <c r="BJ68" s="59">
        <f t="shared" si="38"/>
        <v>251.60894449147008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16.661308117657928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7.9248993619718787E-3</v>
      </c>
      <c r="BS68" s="22">
        <f t="shared" ref="BS68:BS131" si="63">SUM(BP68:BR68)</f>
        <v>16.669233017019899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8.5</v>
      </c>
      <c r="BY68" s="12">
        <f>IF('Données projet'!$A$114&gt;35,BY67+BX68-CG67,IF(A68&lt;'Données projet'!$A$114,$BV$205^A68,IF(A68='Données projet'!$A$114,'Données projet'!$B$114,BY67+BX68-CG67)))</f>
        <v>287.5</v>
      </c>
      <c r="BZ68" s="13">
        <f>BY68*VLOOKUP('Données projet'!$B$12,Paramètres!$A$1:$I$89,3,0)*VLOOKUP('Données projet'!$B$12,Paramètres!$A$1:$I$89,5,0)</f>
        <v>260.13</v>
      </c>
      <c r="CA68" s="13">
        <f t="shared" si="39"/>
        <v>62.750087896510983</v>
      </c>
      <c r="CB68" s="20">
        <f t="shared" ref="CB68:CB131" si="64">(BZ68+CA68)*0.475*44/12</f>
        <v>562.34948641975654</v>
      </c>
      <c r="CC68" s="59">
        <f t="shared" ref="CC68:CC131" si="65">CB68+(BT68+BU68)*44/12</f>
        <v>855.68281975308992</v>
      </c>
      <c r="CD68" s="59">
        <f ca="1">AVERAGE(OFFSET($CC$3,0,0,'Données projet'!$E$12+1,1))-AVERAGE(OFFSET($H$3,0,0,'Données projet'!$E$12+1,1))</f>
        <v>360.44607552967267</v>
      </c>
      <c r="CE68" s="59">
        <f t="shared" si="40"/>
        <v>271.54361159160169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17.895479089336288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8.5119289443401705E-3</v>
      </c>
      <c r="CN68" s="22">
        <f t="shared" ref="CN68:CN131" si="66">SUM(CK68:CM68)</f>
        <v>17.903991018280628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>
        <f>CT68*VLOOKUP('Données projet'!$B$13,Paramètres!$A$1:$I$89,3,0)*VLOOKUP('Données projet'!$B$13,Paramètres!$A$1:$I$89,5,0)</f>
        <v>0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309.89554000341082</v>
      </c>
      <c r="CZ68" s="59">
        <f t="shared" si="42"/>
        <v>465.9235824539021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126.84349327128882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4.620762461993546E-2</v>
      </c>
      <c r="DI68" s="22">
        <f t="shared" ref="DI68:DI131" si="69">SUM(DF68:DH68)</f>
        <v>126.88970089590876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5.4</v>
      </c>
      <c r="N69" s="13">
        <f>IF('Données projet'!$A$36&gt;35,N68+M69-V68,IF(A69&lt;'Données projet'!$A$36,$K$205^A69,IF(A69='Données projet'!$A$36,'Données projet'!$B$36,N68+M69-V68)))</f>
        <v>235.40000000000009</v>
      </c>
      <c r="O69" s="13">
        <f>N69*VLOOKUP('Données projet'!$B$9,Paramètres!$A$1:$I$89,3,0)*VLOOKUP('Données projet'!$B$9,Paramètres!$A$1:$I$89,5,0)</f>
        <v>205.64544000000012</v>
      </c>
      <c r="P69" s="13">
        <f t="shared" ref="P69:P132" si="87">EXP(-1.0587+0.8836*LN(O69)+0.284)</f>
        <v>50.982847417614401</v>
      </c>
      <c r="Q69" s="20">
        <f t="shared" si="54"/>
        <v>446.96093391901189</v>
      </c>
      <c r="R69" s="59">
        <f t="shared" si="55"/>
        <v>740.29426725234521</v>
      </c>
      <c r="S69" s="59">
        <f ca="1">AVERAGE(OFFSET($R$3,0,0,'Données projet'!$E$9+1,1))-AVERAGE(OFFSET($H$3,0,0,'Données projet'!$E$9+1,1))</f>
        <v>281.82797419088109</v>
      </c>
      <c r="T69" s="59">
        <f t="shared" ref="T69:T132" si="88">$T$3</f>
        <v>298.98873283425371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44.58181574799903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1.3698262796316238E-2</v>
      </c>
      <c r="AC69" s="22">
        <f t="shared" si="57"/>
        <v>44.595514010795348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5.2</v>
      </c>
      <c r="AI69" s="13">
        <f>IF('Données projet'!$A$62&gt;35,AI68+AH69-AQ68,IF(A69&lt;'Données projet'!$A$62,$AF$205^A69,IF(A69='Données projet'!$A$62,'Données projet'!$B$62,AI68+AH69-AQ68)))</f>
        <v>166.19999999999985</v>
      </c>
      <c r="AJ69" s="13">
        <f>AI69*VLOOKUP('Données projet'!$B$10,Paramètres!$A$1:$I$89,3,0)*VLOOKUP('Données projet'!$B$10,Paramètres!$A$1:$I$89,5,0)</f>
        <v>165.93407999999985</v>
      </c>
      <c r="AK69" s="13">
        <f t="shared" ref="AK69:AK132" si="89">EXP(-1.0587+0.8836*LN(AJ69)+0.284)</f>
        <v>42.178113754306757</v>
      </c>
      <c r="AL69" s="20">
        <f t="shared" si="58"/>
        <v>362.46207078875068</v>
      </c>
      <c r="AM69" s="59">
        <f t="shared" si="59"/>
        <v>655.79540412208394</v>
      </c>
      <c r="AN69" s="59">
        <f ca="1">AVERAGE(OFFSET($AM$3,0,0,'Données projet'!$E$10+1,1))-AVERAGE(OFFSET($H$3,0,0,'Données projet'!$E$10+1,1))</f>
        <v>206.53345322763442</v>
      </c>
      <c r="AO69" s="59">
        <f t="shared" ref="AO69:AO132" si="90">$AO$3</f>
        <v>96.700732426680929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11.799756017659197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0.10613793232828177</v>
      </c>
      <c r="AX69" s="21">
        <f t="shared" si="60"/>
        <v>11.90589394998748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8.5</v>
      </c>
      <c r="BD69" s="12">
        <f>IF('Données projet'!$A$88&gt;35,BD68+BC69-BL68,IF(A69&lt;'Données projet'!$A$88,$BA$205^A69,IF(A69='Données projet'!$A$88,'Données projet'!$B$88,BD68+BC69-BL68)))</f>
        <v>296</v>
      </c>
      <c r="BE69" s="13">
        <f>BD69*VLOOKUP('Données projet'!$B$11,Paramètres!$A$1:$I$89,3,0)*VLOOKUP('Données projet'!$B$11,Paramètres!$A$1:$I$89,5,0)</f>
        <v>249.35040000000001</v>
      </c>
      <c r="BF69" s="13">
        <f t="shared" ref="BF69:BF132" si="91">EXP(-1.0587+0.8836*LN(BE69)+0.284)</f>
        <v>60.446817732908166</v>
      </c>
      <c r="BG69" s="20">
        <f t="shared" si="61"/>
        <v>539.56348755148167</v>
      </c>
      <c r="BH69" s="59">
        <f t="shared" si="62"/>
        <v>832.89682088481504</v>
      </c>
      <c r="BI69" s="59">
        <f ca="1">AVERAGE(OFFSET($BH$3,0,0,'Données projet'!$E$11+1,1))-AVERAGE(OFFSET($H$3,0,0,'Données projet'!$E$11+1,1))</f>
        <v>328.34986205643321</v>
      </c>
      <c r="BJ69" s="59">
        <f t="shared" ref="BJ69:BJ132" si="92">$BJ$3</f>
        <v>251.60894449147008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16.334590027865154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5.6037500790712593E-3</v>
      </c>
      <c r="BS69" s="22">
        <f t="shared" si="63"/>
        <v>16.340193777944226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8.5</v>
      </c>
      <c r="BY69" s="12">
        <f>IF('Données projet'!$A$114&gt;35,BY68+BX69-CG68,IF(A69&lt;'Données projet'!$A$114,$BV$205^A69,IF(A69='Données projet'!$A$114,'Données projet'!$B$114,BY68+BX69-CG68)))</f>
        <v>296</v>
      </c>
      <c r="BZ69" s="13">
        <f>BY69*VLOOKUP('Données projet'!$B$12,Paramètres!$A$1:$I$89,3,0)*VLOOKUP('Données projet'!$B$12,Paramètres!$A$1:$I$89,5,0)</f>
        <v>267.82079999999996</v>
      </c>
      <c r="CA69" s="13">
        <f t="shared" ref="CA69:CA132" si="93">EXP(-1.0587+0.8836*LN(BZ69)+0.284)</f>
        <v>64.386570147897302</v>
      </c>
      <c r="CB69" s="20">
        <f t="shared" si="64"/>
        <v>578.59450300758772</v>
      </c>
      <c r="CC69" s="59">
        <f t="shared" si="65"/>
        <v>871.92783634092098</v>
      </c>
      <c r="CD69" s="59">
        <f ca="1">AVERAGE(OFFSET($CC$3,0,0,'Données projet'!$E$12+1,1))-AVERAGE(OFFSET($H$3,0,0,'Données projet'!$E$12+1,1))</f>
        <v>360.44607552967267</v>
      </c>
      <c r="CE69" s="59">
        <f t="shared" ref="CE69:CE132" si="94">$CE$3</f>
        <v>271.54361159160169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17.544559659558864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6.0188426775209854E-3</v>
      </c>
      <c r="CN69" s="22">
        <f t="shared" si="66"/>
        <v>17.550578502236384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>
        <f>CT69*VLOOKUP('Données projet'!$B$13,Paramètres!$A$1:$I$89,3,0)*VLOOKUP('Données projet'!$B$13,Paramètres!$A$1:$I$89,5,0)</f>
        <v>0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309.89554000341082</v>
      </c>
      <c r="CZ69" s="59">
        <f t="shared" ref="CZ69:CZ132" si="96">$CZ$3</f>
        <v>465.9235824539021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124.35616973513039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3.2673724711278829E-2</v>
      </c>
      <c r="DI69" s="22">
        <f t="shared" si="69"/>
        <v>124.38884345984167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5.4</v>
      </c>
      <c r="N70" s="13">
        <f>IF('Données projet'!$A$36&gt;35,N69+M70-V69,IF(A70&lt;'Données projet'!$A$36,$K$205^A70,IF(A70='Données projet'!$A$36,'Données projet'!$B$36,N69+M70-V69)))</f>
        <v>240.8000000000001</v>
      </c>
      <c r="O70" s="13">
        <f>N70*VLOOKUP('Données projet'!$B$9,Paramètres!$A$1:$I$89,3,0)*VLOOKUP('Données projet'!$B$9,Paramètres!$A$1:$I$89,5,0)</f>
        <v>210.3628800000001</v>
      </c>
      <c r="P70" s="13">
        <f t="shared" si="87"/>
        <v>52.014876138342963</v>
      </c>
      <c r="Q70" s="20">
        <f t="shared" si="54"/>
        <v>456.97459194094745</v>
      </c>
      <c r="R70" s="59">
        <f t="shared" si="55"/>
        <v>750.30792527428071</v>
      </c>
      <c r="S70" s="59">
        <f ca="1">AVERAGE(OFFSET($R$3,0,0,'Données projet'!$E$9+1,1))-AVERAGE(OFFSET($H$3,0,0,'Données projet'!$E$9+1,1))</f>
        <v>281.82797419088109</v>
      </c>
      <c r="T70" s="59">
        <f t="shared" si="88"/>
        <v>298.98873283425371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43.707593533403369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9.6861345137506105E-3</v>
      </c>
      <c r="AC70" s="22">
        <f t="shared" si="57"/>
        <v>43.717279667917119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5.2</v>
      </c>
      <c r="AI70" s="13">
        <f>IF('Données projet'!$A$62&gt;35,AI69+AH70-AQ69,IF(A70&lt;'Données projet'!$A$62,$AF$205^A70,IF(A70='Données projet'!$A$62,'Données projet'!$B$62,AI69+AH70-AQ69)))</f>
        <v>171.39999999999984</v>
      </c>
      <c r="AJ70" s="13">
        <f>AI70*VLOOKUP('Données projet'!$B$10,Paramètres!$A$1:$I$89,3,0)*VLOOKUP('Données projet'!$B$10,Paramètres!$A$1:$I$89,5,0)</f>
        <v>171.12575999999984</v>
      </c>
      <c r="AK70" s="13">
        <f t="shared" si="89"/>
        <v>43.342059441003165</v>
      </c>
      <c r="AL70" s="20">
        <f t="shared" si="58"/>
        <v>373.53145219308021</v>
      </c>
      <c r="AM70" s="59">
        <f t="shared" si="59"/>
        <v>666.86478552641347</v>
      </c>
      <c r="AN70" s="59">
        <f ca="1">AVERAGE(OFFSET($AM$3,0,0,'Données projet'!$E$10+1,1))-AVERAGE(OFFSET($H$3,0,0,'Données projet'!$E$10+1,1))</f>
        <v>206.53345322763442</v>
      </c>
      <c r="AO70" s="59">
        <f t="shared" si="90"/>
        <v>96.700732426680929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11.568369999293413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7.5050851690446924E-2</v>
      </c>
      <c r="AX70" s="21">
        <f t="shared" si="60"/>
        <v>11.64342085098386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8.5</v>
      </c>
      <c r="BD70" s="12">
        <f>IF('Données projet'!$A$88&gt;35,BD69+BC70-BL69,IF(A70&lt;'Données projet'!$A$88,$BA$205^A70,IF(A70='Données projet'!$A$88,'Données projet'!$B$88,BD69+BC70-BL69)))</f>
        <v>304.5</v>
      </c>
      <c r="BE70" s="13">
        <f>BD70*VLOOKUP('Données projet'!$B$11,Paramètres!$A$1:$I$89,3,0)*VLOOKUP('Données projet'!$B$11,Paramètres!$A$1:$I$89,5,0)</f>
        <v>256.51080000000002</v>
      </c>
      <c r="BF70" s="13">
        <f t="shared" si="91"/>
        <v>61.978037689587161</v>
      </c>
      <c r="BG70" s="20">
        <f t="shared" si="61"/>
        <v>554.70139230936422</v>
      </c>
      <c r="BH70" s="59">
        <f t="shared" si="62"/>
        <v>848.03472564269759</v>
      </c>
      <c r="BI70" s="59">
        <f ca="1">AVERAGE(OFFSET($BH$3,0,0,'Données projet'!$E$11+1,1))-AVERAGE(OFFSET($H$3,0,0,'Données projet'!$E$11+1,1))</f>
        <v>328.34986205643321</v>
      </c>
      <c r="BJ70" s="59">
        <f t="shared" si="92"/>
        <v>251.60894449147008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16.014278680534858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3.9624496809859393E-3</v>
      </c>
      <c r="BS70" s="22">
        <f t="shared" si="63"/>
        <v>16.018241130215845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8.5</v>
      </c>
      <c r="BY70" s="12">
        <f>IF('Données projet'!$A$114&gt;35,BY69+BX70-CG69,IF(A70&lt;'Données projet'!$A$114,$BV$205^A70,IF(A70='Données projet'!$A$114,'Données projet'!$B$114,BY69+BX70-CG69)))</f>
        <v>304.5</v>
      </c>
      <c r="BZ70" s="13">
        <f>BY70*VLOOKUP('Données projet'!$B$12,Paramètres!$A$1:$I$89,3,0)*VLOOKUP('Données projet'!$B$12,Paramètres!$A$1:$I$89,5,0)</f>
        <v>275.51159999999999</v>
      </c>
      <c r="CA70" s="13">
        <f t="shared" si="93"/>
        <v>66.017590685458188</v>
      </c>
      <c r="CB70" s="20">
        <f t="shared" si="64"/>
        <v>594.83000711050624</v>
      </c>
      <c r="CC70" s="59">
        <f t="shared" si="65"/>
        <v>888.16334044383962</v>
      </c>
      <c r="CD70" s="59">
        <f ca="1">AVERAGE(OFFSET($CC$3,0,0,'Données projet'!$E$12+1,1))-AVERAGE(OFFSET($H$3,0,0,'Données projet'!$E$12+1,1))</f>
        <v>360.44607552967267</v>
      </c>
      <c r="CE70" s="59">
        <f t="shared" si="94"/>
        <v>271.54361159160169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17.20052154575966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4.2559644721700852E-3</v>
      </c>
      <c r="CN70" s="22">
        <f t="shared" si="66"/>
        <v>17.204777510231828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>
        <f>CT70*VLOOKUP('Données projet'!$B$13,Paramètres!$A$1:$I$89,3,0)*VLOOKUP('Données projet'!$B$13,Paramètres!$A$1:$I$89,5,0)</f>
        <v>0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309.89554000341082</v>
      </c>
      <c r="CZ70" s="59">
        <f t="shared" si="96"/>
        <v>465.9235824539021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121.91762109639848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2.310381230996773E-2</v>
      </c>
      <c r="DI70" s="22">
        <f t="shared" si="69"/>
        <v>121.94072490870845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5.4</v>
      </c>
      <c r="N71" s="13">
        <f>IF('Données projet'!$A$36&gt;35,N70+M71-V70,IF(A71&lt;'Données projet'!$A$36,$K$205^A71,IF(A71='Données projet'!$A$36,'Données projet'!$B$36,N70+M71-V70)))</f>
        <v>246.2000000000001</v>
      </c>
      <c r="O71" s="13">
        <f>N71*VLOOKUP('Données projet'!$B$9,Paramètres!$A$1:$I$89,3,0)*VLOOKUP('Données projet'!$B$9,Paramètres!$A$1:$I$89,5,0)</f>
        <v>215.08032000000011</v>
      </c>
      <c r="P71" s="13">
        <f t="shared" si="87"/>
        <v>53.044214230061506</v>
      </c>
      <c r="Q71" s="20">
        <f t="shared" si="54"/>
        <v>466.983563784024</v>
      </c>
      <c r="R71" s="59">
        <f t="shared" si="55"/>
        <v>760.31689711735726</v>
      </c>
      <c r="S71" s="59">
        <f ca="1">AVERAGE(OFFSET($R$3,0,0,'Données projet'!$E$9+1,1))-AVERAGE(OFFSET($H$3,0,0,'Données projet'!$E$9+1,1))</f>
        <v>281.82797419088109</v>
      </c>
      <c r="T71" s="59">
        <f t="shared" si="88"/>
        <v>298.98873283425371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42.850514283213023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6.8491313981581189E-3</v>
      </c>
      <c r="AC71" s="22">
        <f t="shared" si="57"/>
        <v>42.857363414611179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5.2</v>
      </c>
      <c r="AI71" s="13">
        <f>IF('Données projet'!$A$62&gt;35,AI70+AH71-AQ70,IF(A71&lt;'Données projet'!$A$62,$AF$205^A71,IF(A71='Données projet'!$A$62,'Données projet'!$B$62,AI70+AH71-AQ70)))</f>
        <v>176.59999999999982</v>
      </c>
      <c r="AJ71" s="13">
        <f>AI71*VLOOKUP('Données projet'!$B$10,Paramètres!$A$1:$I$89,3,0)*VLOOKUP('Données projet'!$B$10,Paramètres!$A$1:$I$89,5,0)</f>
        <v>176.31743999999983</v>
      </c>
      <c r="AK71" s="13">
        <f t="shared" si="89"/>
        <v>44.501901367147177</v>
      </c>
      <c r="AL71" s="20">
        <f t="shared" si="58"/>
        <v>384.5936862144477</v>
      </c>
      <c r="AM71" s="59">
        <f t="shared" si="59"/>
        <v>677.92701954778101</v>
      </c>
      <c r="AN71" s="59">
        <f ca="1">AVERAGE(OFFSET($AM$3,0,0,'Données projet'!$E$10+1,1))-AVERAGE(OFFSET($H$3,0,0,'Données projet'!$E$10+1,1))</f>
        <v>206.53345322763442</v>
      </c>
      <c r="AO71" s="59">
        <f t="shared" si="90"/>
        <v>96.700732426680929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11.341521319616247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5.3068966164140884E-2</v>
      </c>
      <c r="AX71" s="21">
        <f t="shared" si="60"/>
        <v>11.394590285780387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8.5</v>
      </c>
      <c r="BD71" s="12">
        <f>IF('Données projet'!$A$88&gt;35,BD70+BC71-BL70,IF(A71&lt;'Données projet'!$A$88,$BA$205^A71,IF(A71='Données projet'!$A$88,'Données projet'!$B$88,BD70+BC71-BL70)))</f>
        <v>313</v>
      </c>
      <c r="BE71" s="13">
        <f>BD71*VLOOKUP('Données projet'!$B$11,Paramètres!$A$1:$I$89,3,0)*VLOOKUP('Données projet'!$B$11,Paramètres!$A$1:$I$89,5,0)</f>
        <v>263.6712</v>
      </c>
      <c r="BF71" s="13">
        <f t="shared" si="91"/>
        <v>63.504289705419772</v>
      </c>
      <c r="BG71" s="20">
        <f t="shared" si="61"/>
        <v>569.83064457027274</v>
      </c>
      <c r="BH71" s="59">
        <f t="shared" si="62"/>
        <v>863.16397790360611</v>
      </c>
      <c r="BI71" s="59">
        <f ca="1">AVERAGE(OFFSET($BH$3,0,0,'Données projet'!$E$11+1,1))-AVERAGE(OFFSET($H$3,0,0,'Données projet'!$E$11+1,1))</f>
        <v>328.34986205643321</v>
      </c>
      <c r="BJ71" s="59">
        <f t="shared" si="92"/>
        <v>251.60894449147008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15.700248443355079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2.8018750395356297E-3</v>
      </c>
      <c r="BS71" s="22">
        <f t="shared" si="63"/>
        <v>15.703050318394615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8.5</v>
      </c>
      <c r="BY71" s="12">
        <f>IF('Données projet'!$A$114&gt;35,BY70+BX71-CG70,IF(A71&lt;'Données projet'!$A$114,$BV$205^A71,IF(A71='Données projet'!$A$114,'Données projet'!$B$114,BY70+BX71-CG70)))</f>
        <v>313</v>
      </c>
      <c r="BZ71" s="13">
        <f>BY71*VLOOKUP('Données projet'!$B$12,Paramètres!$A$1:$I$89,3,0)*VLOOKUP('Données projet'!$B$12,Paramètres!$A$1:$I$89,5,0)</f>
        <v>283.20240000000001</v>
      </c>
      <c r="CA71" s="13">
        <f t="shared" si="93"/>
        <v>67.643319485855841</v>
      </c>
      <c r="CB71" s="20">
        <f t="shared" si="64"/>
        <v>611.05629477119896</v>
      </c>
      <c r="CC71" s="59">
        <f t="shared" si="65"/>
        <v>904.38962810453222</v>
      </c>
      <c r="CD71" s="59">
        <f ca="1">AVERAGE(OFFSET($CC$3,0,0,'Données projet'!$E$12+1,1))-AVERAGE(OFFSET($H$3,0,0,'Données projet'!$E$12+1,1))</f>
        <v>360.44607552967267</v>
      </c>
      <c r="CE71" s="59">
        <f t="shared" si="94"/>
        <v>271.54361159160169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16.863229809529528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3.0094213387604927E-3</v>
      </c>
      <c r="CN71" s="22">
        <f t="shared" si="66"/>
        <v>16.866239230868288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>
        <f>CT71*VLOOKUP('Données projet'!$B$13,Paramètres!$A$1:$I$89,3,0)*VLOOKUP('Données projet'!$B$13,Paramètres!$A$1:$I$89,5,0)</f>
        <v>0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309.89554000341082</v>
      </c>
      <c r="CZ71" s="59">
        <f t="shared" si="96"/>
        <v>465.9235824539021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119.5268909091043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1.6336862355639414E-2</v>
      </c>
      <c r="DI71" s="22">
        <f t="shared" si="69"/>
        <v>119.54322777145994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5.4</v>
      </c>
      <c r="N72" s="13">
        <f>IF('Données projet'!$A$36&gt;35,N71+M72-V71,IF(A72&lt;'Données projet'!$A$36,$K$205^A72,IF(A72='Données projet'!$A$36,'Données projet'!$B$36,N71+M72-V71)))</f>
        <v>251.60000000000011</v>
      </c>
      <c r="O72" s="13">
        <f>N72*VLOOKUP('Données projet'!$B$9,Paramètres!$A$1:$I$89,3,0)*VLOOKUP('Données projet'!$B$9,Paramètres!$A$1:$I$89,5,0)</f>
        <v>219.79776000000012</v>
      </c>
      <c r="P72" s="13">
        <f t="shared" si="87"/>
        <v>54.070927503307431</v>
      </c>
      <c r="Q72" s="20">
        <f t="shared" si="54"/>
        <v>476.98796406826068</v>
      </c>
      <c r="R72" s="59">
        <f t="shared" si="55"/>
        <v>770.32129740159394</v>
      </c>
      <c r="S72" s="59">
        <f ca="1">AVERAGE(OFFSET($R$3,0,0,'Données projet'!$E$9+1,1))-AVERAGE(OFFSET($H$3,0,0,'Données projet'!$E$9+1,1))</f>
        <v>281.82797419088109</v>
      </c>
      <c r="T72" s="59">
        <f t="shared" si="88"/>
        <v>298.98873283425371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42.010241834352193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4.8430672568753053E-3</v>
      </c>
      <c r="AC72" s="22">
        <f t="shared" si="57"/>
        <v>42.015084901609072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5.2</v>
      </c>
      <c r="AI72" s="13">
        <f>IF('Données projet'!$A$62&gt;35,AI71+AH72-AQ71,IF(A72&lt;'Données projet'!$A$62,$AF$205^A72,IF(A72='Données projet'!$A$62,'Données projet'!$B$62,AI71+AH72-AQ71)))</f>
        <v>181.79999999999981</v>
      </c>
      <c r="AJ72" s="13">
        <f>AI72*VLOOKUP('Données projet'!$B$10,Paramètres!$A$1:$I$89,3,0)*VLOOKUP('Données projet'!$B$10,Paramètres!$A$1:$I$89,5,0)</f>
        <v>181.50911999999983</v>
      </c>
      <c r="AK72" s="13">
        <f t="shared" si="89"/>
        <v>45.657774242073685</v>
      </c>
      <c r="AL72" s="20">
        <f t="shared" si="58"/>
        <v>395.64900747161136</v>
      </c>
      <c r="AM72" s="59">
        <f t="shared" si="59"/>
        <v>688.98234080494467</v>
      </c>
      <c r="AN72" s="59">
        <f ca="1">AVERAGE(OFFSET($AM$3,0,0,'Données projet'!$E$10+1,1))-AVERAGE(OFFSET($H$3,0,0,'Données projet'!$E$10+1,1))</f>
        <v>206.53345322763442</v>
      </c>
      <c r="AO72" s="59">
        <f t="shared" si="90"/>
        <v>96.700732426680929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11.119121004183516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3.7525425845223462E-2</v>
      </c>
      <c r="AX72" s="21">
        <f t="shared" si="60"/>
        <v>11.156646430028738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8.5</v>
      </c>
      <c r="BD72" s="12">
        <f>IF('Données projet'!$A$88&gt;35,BD71+BC72-BL71,IF(A72&lt;'Données projet'!$A$88,$BA$205^A72,IF(A72='Données projet'!$A$88,'Données projet'!$B$88,BD71+BC72-BL71)))</f>
        <v>321.5</v>
      </c>
      <c r="BE72" s="13">
        <f>BD72*VLOOKUP('Données projet'!$B$11,Paramètres!$A$1:$I$89,3,0)*VLOOKUP('Données projet'!$B$11,Paramètres!$A$1:$I$89,5,0)</f>
        <v>270.83160000000004</v>
      </c>
      <c r="BF72" s="13">
        <f t="shared" si="91"/>
        <v>65.025724195950417</v>
      </c>
      <c r="BG72" s="20">
        <f t="shared" si="61"/>
        <v>584.95150630794706</v>
      </c>
      <c r="BH72" s="59">
        <f t="shared" si="62"/>
        <v>878.28483964128031</v>
      </c>
      <c r="BI72" s="59">
        <f ca="1">AVERAGE(OFFSET($BH$3,0,0,'Données projet'!$E$11+1,1))-AVERAGE(OFFSET($H$3,0,0,'Données projet'!$E$11+1,1))</f>
        <v>328.34986205643321</v>
      </c>
      <c r="BJ72" s="59">
        <f t="shared" si="92"/>
        <v>251.60894449147008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15.392376147586864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1.9812248404929697E-3</v>
      </c>
      <c r="BS72" s="22">
        <f t="shared" si="63"/>
        <v>15.394357372427358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8.5</v>
      </c>
      <c r="BY72" s="12">
        <f>IF('Données projet'!$A$114&gt;35,BY71+BX72-CG71,IF(A72&lt;'Données projet'!$A$114,$BV$205^A72,IF(A72='Données projet'!$A$114,'Données projet'!$B$114,BY71+BX72-CG71)))</f>
        <v>321.5</v>
      </c>
      <c r="BZ72" s="13">
        <f>BY72*VLOOKUP('Données projet'!$B$12,Paramètres!$A$1:$I$89,3,0)*VLOOKUP('Données projet'!$B$12,Paramètres!$A$1:$I$89,5,0)</f>
        <v>290.89320000000004</v>
      </c>
      <c r="CA72" s="13">
        <f t="shared" si="93"/>
        <v>69.263916768293996</v>
      </c>
      <c r="CB72" s="20">
        <f t="shared" si="64"/>
        <v>627.27364503811202</v>
      </c>
      <c r="CC72" s="59">
        <f t="shared" si="65"/>
        <v>920.60697837144539</v>
      </c>
      <c r="CD72" s="59">
        <f ca="1">AVERAGE(OFFSET($CC$3,0,0,'Données projet'!$E$12+1,1))-AVERAGE(OFFSET($H$3,0,0,'Données projet'!$E$12+1,1))</f>
        <v>360.44607552967267</v>
      </c>
      <c r="CE72" s="59">
        <f t="shared" si="94"/>
        <v>271.54361159160169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16.532552158519223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2.1279822360850426E-3</v>
      </c>
      <c r="CN72" s="22">
        <f t="shared" si="66"/>
        <v>16.534680140755309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>
        <f>CT72*VLOOKUP('Données projet'!$B$13,Paramètres!$A$1:$I$89,3,0)*VLOOKUP('Données projet'!$B$13,Paramètres!$A$1:$I$89,5,0)</f>
        <v>0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309.89554000341082</v>
      </c>
      <c r="CZ72" s="59">
        <f t="shared" si="96"/>
        <v>465.9235824539021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117.18304148258153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1.1551906154983865E-2</v>
      </c>
      <c r="DI72" s="22">
        <f t="shared" si="69"/>
        <v>117.19459338873651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257</v>
      </c>
      <c r="L73" s="12">
        <f>VLOOKUP(A73,'Données projet'!$A$35:$I$55,9,0)</f>
        <v>5.4</v>
      </c>
      <c r="M73" s="12">
        <f t="array" ref="M73">INDEX(L:L,MIN(IF(ISNUMBER(L73:L269),ROW(L73:L269),"")))</f>
        <v>5.4</v>
      </c>
      <c r="N73" s="13">
        <f>IF('Données projet'!$A$36&gt;35,N72+M73-V72,IF(A73&lt;'Données projet'!$A$36,$K$205^A73,IF(A73='Données projet'!$A$36,'Données projet'!$B$36,N72+M73-V72)))</f>
        <v>257.00000000000011</v>
      </c>
      <c r="O73" s="13">
        <f>N73*VLOOKUP('Données projet'!$B$9,Paramètres!$A$1:$I$89,3,0)*VLOOKUP('Données projet'!$B$9,Paramètres!$A$1:$I$89,5,0)</f>
        <v>224.51520000000014</v>
      </c>
      <c r="P73" s="13">
        <f t="shared" si="87"/>
        <v>55.095078782313593</v>
      </c>
      <c r="Q73" s="20">
        <f t="shared" si="54"/>
        <v>486.98790221252966</v>
      </c>
      <c r="R73" s="59">
        <f t="shared" si="55"/>
        <v>780.32123554586292</v>
      </c>
      <c r="S73" s="59">
        <f ca="1">AVERAGE(OFFSET($R$3,0,0,'Données projet'!$E$9+1,1))-AVERAGE(OFFSET($H$3,0,0,'Données projet'!$E$9+1,1))</f>
        <v>281.82797419088109</v>
      </c>
      <c r="T73" s="59">
        <f t="shared" si="88"/>
        <v>298.98873283425371</v>
      </c>
      <c r="U73" s="15">
        <f>IF(ISNA(VLOOKUP(A73,'Données projet'!$A$35:$I$55,3,0)),0,VLOOKUP(A73,'Données projet'!$A$35:$I$55,3,0))</f>
        <v>13</v>
      </c>
      <c r="V73" s="15">
        <f>IF(ISNA(VLOOKUP(A73,'Données projet'!$A$35:$I$55,4,0)),0,VLOOKUP(A73,'Données projet'!$A$35:$I$55,4,0))</f>
        <v>21</v>
      </c>
      <c r="W73" s="16">
        <f>IF(ISNA(VLOOKUP(A73,'Données projet'!$A$35:$I$55,5,0)),0%,VLOOKUP(A73,'Données projet'!$A$35:$I$55,5,0)*VLOOKUP('Données projet'!$B$9,Paramètres!$A$1:$I$89,7,0))</f>
        <v>0.38700000000000001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49.03500684746993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3.4245656990790595E-3</v>
      </c>
      <c r="AC73" s="22">
        <f t="shared" si="57"/>
        <v>49.038431413169008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187</v>
      </c>
      <c r="AG73" s="12">
        <f>VLOOKUP(A73,'Données projet'!$A$61:$I$81,9,0)</f>
        <v>5.2</v>
      </c>
      <c r="AH73" s="12">
        <f t="array" ref="AH73">INDEX(AG:AG,MIN(IF(ISNUMBER(AG73:AG269),ROW(AG73:AG269),"")))</f>
        <v>5.2</v>
      </c>
      <c r="AI73" s="13">
        <f>IF('Données projet'!$A$62&gt;35,AI72+AH73-AQ72,IF(A73&lt;'Données projet'!$A$62,$AF$205^A73,IF(A73='Données projet'!$A$62,'Données projet'!$B$62,AI72+AH73-AQ72)))</f>
        <v>186.9999999999998</v>
      </c>
      <c r="AJ73" s="13">
        <f>AI73*VLOOKUP('Données projet'!$B$10,Paramètres!$A$1:$I$89,3,0)*VLOOKUP('Données projet'!$B$10,Paramètres!$A$1:$I$89,5,0)</f>
        <v>186.70079999999982</v>
      </c>
      <c r="AK73" s="13">
        <f t="shared" si="89"/>
        <v>46.809804630675103</v>
      </c>
      <c r="AL73" s="20">
        <f t="shared" si="58"/>
        <v>406.6976363984254</v>
      </c>
      <c r="AM73" s="59">
        <f t="shared" si="59"/>
        <v>700.03096973175866</v>
      </c>
      <c r="AN73" s="59">
        <f ca="1">AVERAGE(OFFSET($AM$3,0,0,'Données projet'!$E$10+1,1))-AVERAGE(OFFSET($H$3,0,0,'Données projet'!$E$10+1,1))</f>
        <v>206.53345322763442</v>
      </c>
      <c r="AO73" s="59">
        <f t="shared" si="90"/>
        <v>96.700732426680929</v>
      </c>
      <c r="AP73" s="15">
        <f>IF(ISNA(VLOOKUP(A73,'Données projet'!$A$61:$I$81,3,0)),0,VLOOKUP(A73,'Données projet'!$A$61:$I$81,3,0))</f>
        <v>5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10.901081823285622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2.6534483082070442E-2</v>
      </c>
      <c r="AX73" s="21">
        <f t="shared" si="60"/>
        <v>10.927616306367693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330</v>
      </c>
      <c r="BB73" s="12">
        <f>VLOOKUP(A73,'Données projet'!$A$87:$I$107,9,0)</f>
        <v>8.5</v>
      </c>
      <c r="BC73" s="12">
        <f t="array" ref="BC73">INDEX(BB:BB,MIN(IF(ISNUMBER(BB73:BB269),ROW(BB73:BB269),"")))</f>
        <v>8.5</v>
      </c>
      <c r="BD73" s="12">
        <f>IF('Données projet'!$A$88&gt;35,BD72+BC73-BL72,IF(A73&lt;'Données projet'!$A$88,$BA$205^A73,IF(A73='Données projet'!$A$88,'Données projet'!$B$88,BD72+BC73-BL72)))</f>
        <v>330</v>
      </c>
      <c r="BE73" s="13">
        <f>BD73*VLOOKUP('Données projet'!$B$11,Paramètres!$A$1:$I$89,3,0)*VLOOKUP('Données projet'!$B$11,Paramètres!$A$1:$I$89,5,0)</f>
        <v>277.99200000000002</v>
      </c>
      <c r="BF73" s="13">
        <f t="shared" si="91"/>
        <v>66.542483170264177</v>
      </c>
      <c r="BG73" s="20">
        <f t="shared" si="61"/>
        <v>600.06422485487678</v>
      </c>
      <c r="BH73" s="59">
        <f t="shared" si="62"/>
        <v>893.39755818821004</v>
      </c>
      <c r="BI73" s="59">
        <f ca="1">AVERAGE(OFFSET($BH$3,0,0,'Données projet'!$E$11+1,1))-AVERAGE(OFFSET($H$3,0,0,'Données projet'!$E$11+1,1))</f>
        <v>328.34986205643321</v>
      </c>
      <c r="BJ73" s="59">
        <f t="shared" si="92"/>
        <v>251.60894449147008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56</v>
      </c>
      <c r="BM73" s="16">
        <f>IF(ISNA(VLOOKUP(A73,'Données projet'!$A$87:$I$107,5,0)),0%,VLOOKUP(A73,'Données projet'!$A$87:$I$107,5,0)*VLOOKUP('Données projet'!$B$11,Paramètres!$A$1:$I$89,7,0))</f>
        <v>0.43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37.514998844817967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1.4009375197678148E-3</v>
      </c>
      <c r="BS73" s="22">
        <f t="shared" si="63"/>
        <v>37.516399782337736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330</v>
      </c>
      <c r="BW73" s="12">
        <f>VLOOKUP(A73,'Données projet'!$A$113:$I$133,9,0)</f>
        <v>8.5</v>
      </c>
      <c r="BX73" s="12">
        <f t="array" ref="BX73">INDEX(BW:BW,MIN(IF(ISNUMBER(BW73:BW269),ROW(BW73:BW269),"")))</f>
        <v>8.5</v>
      </c>
      <c r="BY73" s="12">
        <f>IF('Données projet'!$A$114&gt;35,BY72+BX73-CG72,IF(A73&lt;'Données projet'!$A$114,$BV$205^A73,IF(A73='Données projet'!$A$114,'Données projet'!$B$114,BY72+BX73-CG72)))</f>
        <v>330</v>
      </c>
      <c r="BZ73" s="13">
        <f>BY73*VLOOKUP('Données projet'!$B$12,Paramètres!$A$1:$I$89,3,0)*VLOOKUP('Données projet'!$B$12,Paramètres!$A$1:$I$89,5,0)</f>
        <v>298.58399999999995</v>
      </c>
      <c r="CA73" s="13">
        <f t="shared" si="93"/>
        <v>70.879533797607607</v>
      </c>
      <c r="CB73" s="20">
        <f t="shared" si="64"/>
        <v>643.48232136416652</v>
      </c>
      <c r="CC73" s="59">
        <f t="shared" si="65"/>
        <v>936.81565469749989</v>
      </c>
      <c r="CD73" s="59">
        <f ca="1">AVERAGE(OFFSET($CC$3,0,0,'Données projet'!$E$12+1,1))-AVERAGE(OFFSET($H$3,0,0,'Données projet'!$E$12+1,1))</f>
        <v>360.44607552967267</v>
      </c>
      <c r="CE73" s="59">
        <f t="shared" si="94"/>
        <v>271.54361159160169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56</v>
      </c>
      <c r="CH73" s="16">
        <f>IF(ISNA(VLOOKUP(A73,'Données projet'!$A$113:$I$133,5,0)),0%,VLOOKUP(A73,'Données projet'!$A$113:$I$133,5,0)*VLOOKUP('Données projet'!$B$12,Paramètres!$A$1:$I$89,7,0))</f>
        <v>0.43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40.293887648137812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1.5047106693802464E-3</v>
      </c>
      <c r="CN73" s="22">
        <f t="shared" si="66"/>
        <v>40.295392358807192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>
        <f>CT73*VLOOKUP('Données projet'!$B$13,Paramètres!$A$1:$I$89,3,0)*VLOOKUP('Données projet'!$B$13,Paramètres!$A$1:$I$89,5,0)</f>
        <v>0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309.89554000341082</v>
      </c>
      <c r="CZ73" s="59">
        <f t="shared" si="96"/>
        <v>465.9235824539021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114.88515351370587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8.1684311778197072E-3</v>
      </c>
      <c r="DI73" s="22">
        <f t="shared" si="69"/>
        <v>114.8933219448837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5</v>
      </c>
      <c r="N74" s="13">
        <f>IF('Données projet'!$A$36&gt;35,N73+M74-V73,IF(A74&lt;'Données projet'!$A$36,$K$205^A74,IF(A74='Données projet'!$A$36,'Données projet'!$B$36,N73+M74-V73)))</f>
        <v>241.00000000000011</v>
      </c>
      <c r="O74" s="13">
        <f>N74*VLOOKUP('Données projet'!$B$9,Paramètres!$A$1:$I$89,3,0)*VLOOKUP('Données projet'!$B$9,Paramètres!$A$1:$I$89,5,0)</f>
        <v>210.53760000000011</v>
      </c>
      <c r="P74" s="13">
        <f t="shared" si="87"/>
        <v>52.053047337322276</v>
      </c>
      <c r="Q74" s="20">
        <f t="shared" si="54"/>
        <v>457.34537744583645</v>
      </c>
      <c r="R74" s="59">
        <f t="shared" si="55"/>
        <v>750.67871077916971</v>
      </c>
      <c r="S74" s="59">
        <f ca="1">AVERAGE(OFFSET($R$3,0,0,'Données projet'!$E$9+1,1))-AVERAGE(OFFSET($H$3,0,0,'Données projet'!$E$9+1,1))</f>
        <v>281.82797419088109</v>
      </c>
      <c r="T74" s="59">
        <f t="shared" si="88"/>
        <v>298.98873283425371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48.073460271592012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2.4215336284376526E-3</v>
      </c>
      <c r="AC74" s="22">
        <f t="shared" si="57"/>
        <v>48.075881805220448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4.7</v>
      </c>
      <c r="AI74" s="13">
        <f>IF('Données projet'!$A$62&gt;35,AI73+AH74-AQ73,IF(A74&lt;'Données projet'!$A$62,$AF$205^A74,IF(A74='Données projet'!$A$62,'Données projet'!$B$62,AI73+AH74-AQ73)))</f>
        <v>163.69999999999979</v>
      </c>
      <c r="AJ74" s="13">
        <f>AI74*VLOOKUP('Données projet'!$B$10,Paramètres!$A$1:$I$89,3,0)*VLOOKUP('Données projet'!$B$10,Paramètres!$A$1:$I$89,5,0)</f>
        <v>163.43807999999981</v>
      </c>
      <c r="AK74" s="13">
        <f t="shared" si="89"/>
        <v>41.617021813248584</v>
      </c>
      <c r="AL74" s="20">
        <f t="shared" si="58"/>
        <v>357.13763565807432</v>
      </c>
      <c r="AM74" s="59">
        <f t="shared" si="59"/>
        <v>650.47096899140763</v>
      </c>
      <c r="AN74" s="59">
        <f ca="1">AVERAGE(OFFSET($AM$3,0,0,'Données projet'!$E$10+1,1))-AVERAGE(OFFSET($H$3,0,0,'Données projet'!$E$10+1,1))</f>
        <v>206.53345322763442</v>
      </c>
      <c r="AO74" s="59">
        <f t="shared" si="90"/>
        <v>96.700732426680929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10.687318257734368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1.8762712922611731E-2</v>
      </c>
      <c r="AX74" s="21">
        <f t="shared" si="60"/>
        <v>10.706080970656981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7.4</v>
      </c>
      <c r="BD74" s="12">
        <f>IF('Données projet'!$A$88&gt;35,BD73+BC74-BL73,IF(A74&lt;'Données projet'!$A$88,$BA$205^A74,IF(A74='Données projet'!$A$88,'Données projet'!$B$88,BD73+BC74-BL73)))</f>
        <v>281.39999999999998</v>
      </c>
      <c r="BE74" s="13">
        <f>BD74*VLOOKUP('Données projet'!$B$11,Paramètres!$A$1:$I$89,3,0)*VLOOKUP('Données projet'!$B$11,Paramètres!$A$1:$I$89,5,0)</f>
        <v>237.05135999999999</v>
      </c>
      <c r="BF74" s="13">
        <f t="shared" si="91"/>
        <v>57.804660499743029</v>
      </c>
      <c r="BG74" s="20">
        <f t="shared" si="61"/>
        <v>513.54090237038565</v>
      </c>
      <c r="BH74" s="59">
        <f t="shared" si="62"/>
        <v>806.87423570371902</v>
      </c>
      <c r="BI74" s="59">
        <f ca="1">AVERAGE(OFFSET($BH$3,0,0,'Données projet'!$E$11+1,1))-AVERAGE(OFFSET($H$3,0,0,'Données projet'!$E$11+1,1))</f>
        <v>328.34986205643321</v>
      </c>
      <c r="BJ74" s="59">
        <f t="shared" si="92"/>
        <v>251.60894449147008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36.779352599360983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9.9061242024648484E-4</v>
      </c>
      <c r="BS74" s="22">
        <f t="shared" si="63"/>
        <v>36.780343211781229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7.4</v>
      </c>
      <c r="BY74" s="12">
        <f>IF('Données projet'!$A$114&gt;35,BY73+BX74-CG73,IF(A74&lt;'Données projet'!$A$114,$BV$205^A74,IF(A74='Données projet'!$A$114,'Données projet'!$B$114,BY73+BX74-CG73)))</f>
        <v>281.39999999999998</v>
      </c>
      <c r="BZ74" s="13">
        <f>BY74*VLOOKUP('Données projet'!$B$12,Paramètres!$A$1:$I$89,3,0)*VLOOKUP('Données projet'!$B$12,Paramètres!$A$1:$I$89,5,0)</f>
        <v>254.61071999999999</v>
      </c>
      <c r="CA74" s="13">
        <f t="shared" si="93"/>
        <v>61.572204587965679</v>
      </c>
      <c r="CB74" s="20">
        <f t="shared" si="64"/>
        <v>550.68526032404009</v>
      </c>
      <c r="CC74" s="59">
        <f t="shared" si="65"/>
        <v>844.01859365737346</v>
      </c>
      <c r="CD74" s="59">
        <f ca="1">AVERAGE(OFFSET($CC$3,0,0,'Données projet'!$E$12+1,1))-AVERAGE(OFFSET($H$3,0,0,'Données projet'!$E$12+1,1))</f>
        <v>360.44607552967267</v>
      </c>
      <c r="CE74" s="59">
        <f t="shared" si="94"/>
        <v>271.54361159160169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39.503749088202532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1.0639911180425213E-3</v>
      </c>
      <c r="CN74" s="22">
        <f t="shared" si="66"/>
        <v>39.504813079320577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309.89554000341082</v>
      </c>
      <c r="CZ74" s="59">
        <f t="shared" si="96"/>
        <v>465.9235824539021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112.63232572632661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5.7759530774919325E-3</v>
      </c>
      <c r="DI74" s="22">
        <f t="shared" si="69"/>
        <v>112.6381016794041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5</v>
      </c>
      <c r="N75" s="13">
        <f>IF('Données projet'!$A$36&gt;35,N74+M75-V74,IF(A75&lt;'Données projet'!$A$36,$K$205^A75,IF(A75='Données projet'!$A$36,'Données projet'!$B$36,N74+M75-V74)))</f>
        <v>246.00000000000011</v>
      </c>
      <c r="O75" s="13">
        <f>N75*VLOOKUP('Données projet'!$B$9,Paramètres!$A$1:$I$89,3,0)*VLOOKUP('Données projet'!$B$9,Paramètres!$A$1:$I$89,5,0)</f>
        <v>214.90560000000013</v>
      </c>
      <c r="P75" s="13">
        <f t="shared" si="87"/>
        <v>53.006137800892375</v>
      </c>
      <c r="Q75" s="20">
        <f t="shared" si="54"/>
        <v>466.61294333655451</v>
      </c>
      <c r="R75" s="59">
        <f t="shared" si="55"/>
        <v>759.94627666988777</v>
      </c>
      <c r="S75" s="59">
        <f ca="1">AVERAGE(OFFSET($R$3,0,0,'Données projet'!$E$9+1,1))-AVERAGE(OFFSET($H$3,0,0,'Données projet'!$E$9+1,1))</f>
        <v>281.82797419088109</v>
      </c>
      <c r="T75" s="59">
        <f t="shared" si="88"/>
        <v>298.98873283425371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47.130769037581558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1.7122828495395297E-3</v>
      </c>
      <c r="AC75" s="22">
        <f t="shared" si="57"/>
        <v>47.132481320431097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4.7</v>
      </c>
      <c r="AI75" s="13">
        <f>IF('Données projet'!$A$62&gt;35,AI74+AH75-AQ74,IF(A75&lt;'Données projet'!$A$62,$AF$205^A75,IF(A75='Données projet'!$A$62,'Données projet'!$B$62,AI74+AH75-AQ74)))</f>
        <v>168.39999999999978</v>
      </c>
      <c r="AJ75" s="13">
        <f>AI75*VLOOKUP('Données projet'!$B$10,Paramètres!$A$1:$I$89,3,0)*VLOOKUP('Données projet'!$B$10,Paramètres!$A$1:$I$89,5,0)</f>
        <v>168.13055999999978</v>
      </c>
      <c r="AK75" s="13">
        <f t="shared" si="89"/>
        <v>42.671062143849561</v>
      </c>
      <c r="AL75" s="20">
        <f t="shared" si="58"/>
        <v>367.14615856720428</v>
      </c>
      <c r="AM75" s="59">
        <f t="shared" si="59"/>
        <v>660.4794919005376</v>
      </c>
      <c r="AN75" s="59">
        <f ca="1">AVERAGE(OFFSET($AM$3,0,0,'Données projet'!$E$10+1,1))-AVERAGE(OFFSET($H$3,0,0,'Données projet'!$E$10+1,1))</f>
        <v>206.53345322763442</v>
      </c>
      <c r="AO75" s="59">
        <f t="shared" si="90"/>
        <v>96.700732426680929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10.477746465320674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1.3267241541035221E-2</v>
      </c>
      <c r="AX75" s="21">
        <f t="shared" si="60"/>
        <v>10.491013706861709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7.4</v>
      </c>
      <c r="BD75" s="12">
        <f>IF('Données projet'!$A$88&gt;35,BD74+BC75-BL74,IF(A75&lt;'Données projet'!$A$88,$BA$205^A75,IF(A75='Données projet'!$A$88,'Données projet'!$B$88,BD74+BC75-BL74)))</f>
        <v>288.79999999999995</v>
      </c>
      <c r="BE75" s="13">
        <f>BD75*VLOOKUP('Données projet'!$B$11,Paramètres!$A$1:$I$89,3,0)*VLOOKUP('Données projet'!$B$11,Paramètres!$A$1:$I$89,5,0)</f>
        <v>243.28512000000001</v>
      </c>
      <c r="BF75" s="13">
        <f t="shared" si="91"/>
        <v>59.145779826981617</v>
      </c>
      <c r="BG75" s="20">
        <f t="shared" si="61"/>
        <v>526.73381719865961</v>
      </c>
      <c r="BH75" s="59">
        <f t="shared" si="62"/>
        <v>820.06715053199287</v>
      </c>
      <c r="BI75" s="59">
        <f ca="1">AVERAGE(OFFSET($BH$3,0,0,'Données projet'!$E$11+1,1))-AVERAGE(OFFSET($H$3,0,0,'Données projet'!$E$11+1,1))</f>
        <v>328.34986205643321</v>
      </c>
      <c r="BJ75" s="59">
        <f t="shared" si="92"/>
        <v>251.60894449147008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36.058131928077508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7.0046875988390741E-4</v>
      </c>
      <c r="BS75" s="22">
        <f t="shared" si="63"/>
        <v>36.058832396837389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7.4</v>
      </c>
      <c r="BY75" s="12">
        <f>IF('Données projet'!$A$114&gt;35,BY74+BX75-CG74,IF(A75&lt;'Données projet'!$A$114,$BV$205^A75,IF(A75='Données projet'!$A$114,'Données projet'!$B$114,BY74+BX75-CG74)))</f>
        <v>288.79999999999995</v>
      </c>
      <c r="BZ75" s="13">
        <f>BY75*VLOOKUP('Données projet'!$B$12,Paramètres!$A$1:$I$89,3,0)*VLOOKUP('Données projet'!$B$12,Paramètres!$A$1:$I$89,5,0)</f>
        <v>261.30623999999995</v>
      </c>
      <c r="CA75" s="13">
        <f t="shared" si="93"/>
        <v>63.000734275359598</v>
      </c>
      <c r="CB75" s="20">
        <f t="shared" si="64"/>
        <v>564.83464686291791</v>
      </c>
      <c r="CC75" s="59">
        <f t="shared" si="65"/>
        <v>858.16798019625116</v>
      </c>
      <c r="CD75" s="59">
        <f ca="1">AVERAGE(OFFSET($CC$3,0,0,'Données projet'!$E$12+1,1))-AVERAGE(OFFSET($H$3,0,0,'Données projet'!$E$12+1,1))</f>
        <v>360.44607552967267</v>
      </c>
      <c r="CE75" s="59">
        <f t="shared" si="94"/>
        <v>271.54361159160169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38.729104663490652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7.5235533469012318E-4</v>
      </c>
      <c r="CN75" s="22">
        <f t="shared" si="66"/>
        <v>38.729857018825342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309.89554000341082</v>
      </c>
      <c r="CZ75" s="59">
        <f t="shared" si="96"/>
        <v>465.9235824539021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110.42367451776859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4.0842155889098536E-3</v>
      </c>
      <c r="DI75" s="22">
        <f t="shared" si="69"/>
        <v>110.42775873335749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5</v>
      </c>
      <c r="N76" s="13">
        <f>IF('Données projet'!$A$36&gt;35,N75+M76-V75,IF(A76&lt;'Données projet'!$A$36,$K$205^A76,IF(A76='Données projet'!$A$36,'Données projet'!$B$36,N75+M76-V75)))</f>
        <v>251.00000000000011</v>
      </c>
      <c r="O76" s="13">
        <f>N76*VLOOKUP('Données projet'!$B$9,Paramètres!$A$1:$I$89,3,0)*VLOOKUP('Données projet'!$B$9,Paramètres!$A$1:$I$89,5,0)</f>
        <v>219.27360000000016</v>
      </c>
      <c r="P76" s="13">
        <f t="shared" si="87"/>
        <v>53.956975893220168</v>
      </c>
      <c r="Q76" s="20">
        <f t="shared" si="54"/>
        <v>475.87658634735868</v>
      </c>
      <c r="R76" s="59">
        <f t="shared" si="55"/>
        <v>769.209919680692</v>
      </c>
      <c r="S76" s="59">
        <f ca="1">AVERAGE(OFFSET($R$3,0,0,'Données projet'!$E$9+1,1))-AVERAGE(OFFSET($H$3,0,0,'Données projet'!$E$9+1,1))</f>
        <v>281.82797419088109</v>
      </c>
      <c r="T76" s="59">
        <f t="shared" si="88"/>
        <v>298.98873283425371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46.206563403685173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1.2107668142188263E-3</v>
      </c>
      <c r="AC76" s="22">
        <f t="shared" si="57"/>
        <v>46.207774170499391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4.7</v>
      </c>
      <c r="AI76" s="13">
        <f>IF('Données projet'!$A$62&gt;35,AI75+AH76-AQ75,IF(A76&lt;'Données projet'!$A$62,$AF$205^A76,IF(A76='Données projet'!$A$62,'Données projet'!$B$62,AI75+AH76-AQ75)))</f>
        <v>173.09999999999977</v>
      </c>
      <c r="AJ76" s="13">
        <f>AI76*VLOOKUP('Données projet'!$B$10,Paramètres!$A$1:$I$89,3,0)*VLOOKUP('Données projet'!$B$10,Paramètres!$A$1:$I$89,5,0)</f>
        <v>172.82303999999976</v>
      </c>
      <c r="AK76" s="13">
        <f t="shared" si="89"/>
        <v>43.721683307490082</v>
      </c>
      <c r="AL76" s="20">
        <f t="shared" si="58"/>
        <v>377.14872642721144</v>
      </c>
      <c r="AM76" s="59">
        <f t="shared" si="59"/>
        <v>670.48205976054476</v>
      </c>
      <c r="AN76" s="59">
        <f ca="1">AVERAGE(OFFSET($AM$3,0,0,'Données projet'!$E$10+1,1))-AVERAGE(OFFSET($H$3,0,0,'Données projet'!$E$10+1,1))</f>
        <v>206.53345322763442</v>
      </c>
      <c r="AO76" s="59">
        <f t="shared" si="90"/>
        <v>96.700732426680929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10.272284247930042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9.3813564613058655E-3</v>
      </c>
      <c r="AX76" s="21">
        <f t="shared" si="60"/>
        <v>10.281665604391348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7.4</v>
      </c>
      <c r="BD76" s="12">
        <f>IF('Données projet'!$A$88&gt;35,BD75+BC76-BL75,IF(A76&lt;'Données projet'!$A$88,$BA$205^A76,IF(A76='Données projet'!$A$88,'Données projet'!$B$88,BD75+BC76-BL75)))</f>
        <v>296.19999999999993</v>
      </c>
      <c r="BE76" s="13">
        <f>BD76*VLOOKUP('Données projet'!$B$11,Paramètres!$A$1:$I$89,3,0)*VLOOKUP('Données projet'!$B$11,Paramètres!$A$1:$I$89,5,0)</f>
        <v>249.51887999999997</v>
      </c>
      <c r="BF76" s="13">
        <f t="shared" si="91"/>
        <v>60.482904697997853</v>
      </c>
      <c r="BG76" s="20">
        <f t="shared" si="61"/>
        <v>539.91977501567953</v>
      </c>
      <c r="BH76" s="59">
        <f t="shared" si="62"/>
        <v>833.25310834901279</v>
      </c>
      <c r="BI76" s="59">
        <f ca="1">AVERAGE(OFFSET($BH$3,0,0,'Données projet'!$E$11+1,1))-AVERAGE(OFFSET($H$3,0,0,'Données projet'!$E$11+1,1))</f>
        <v>328.34986205643321</v>
      </c>
      <c r="BJ76" s="59">
        <f t="shared" si="92"/>
        <v>251.60894449147008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35.351053954256727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4.9530621012324242E-4</v>
      </c>
      <c r="BS76" s="22">
        <f t="shared" si="63"/>
        <v>35.351549260466854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7.4</v>
      </c>
      <c r="BY76" s="12">
        <f>IF('Données projet'!$A$114&gt;35,BY75+BX76-CG75,IF(A76&lt;'Données projet'!$A$114,$BV$205^A76,IF(A76='Données projet'!$A$114,'Données projet'!$B$114,BY75+BX76-CG75)))</f>
        <v>296.19999999999993</v>
      </c>
      <c r="BZ76" s="13">
        <f>BY76*VLOOKUP('Données projet'!$B$12,Paramètres!$A$1:$I$89,3,0)*VLOOKUP('Données projet'!$B$12,Paramètres!$A$1:$I$89,5,0)</f>
        <v>268.00175999999993</v>
      </c>
      <c r="CA76" s="13">
        <f t="shared" si="93"/>
        <v>64.425009159185578</v>
      </c>
      <c r="CB76" s="20">
        <f t="shared" si="64"/>
        <v>578.97662295224802</v>
      </c>
      <c r="CC76" s="59">
        <f t="shared" si="65"/>
        <v>872.30995628558139</v>
      </c>
      <c r="CD76" s="59">
        <f ca="1">AVERAGE(OFFSET($CC$3,0,0,'Données projet'!$E$12+1,1))-AVERAGE(OFFSET($H$3,0,0,'Données projet'!$E$12+1,1))</f>
        <v>360.44607552967267</v>
      </c>
      <c r="CE76" s="59">
        <f t="shared" si="94"/>
        <v>271.54361159160169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37.969650543460922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5.3199555902126066E-4</v>
      </c>
      <c r="CN76" s="22">
        <f t="shared" si="66"/>
        <v>37.970182539019945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309.89554000341082</v>
      </c>
      <c r="CZ76" s="59">
        <f t="shared" si="96"/>
        <v>465.9235824539021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108.25833361226617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2.8879765387459662E-3</v>
      </c>
      <c r="DI76" s="22">
        <f t="shared" si="69"/>
        <v>108.26122158880491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5</v>
      </c>
      <c r="N77" s="13">
        <f>IF('Données projet'!$A$36&gt;35,N76+M77-V76,IF(A77&lt;'Données projet'!$A$36,$K$205^A77,IF(A77='Données projet'!$A$36,'Données projet'!$B$36,N76+M77-V76)))</f>
        <v>256.00000000000011</v>
      </c>
      <c r="O77" s="13">
        <f>N77*VLOOKUP('Données projet'!$B$9,Paramètres!$A$1:$I$89,3,0)*VLOOKUP('Données projet'!$B$9,Paramètres!$A$1:$I$89,5,0)</f>
        <v>223.64160000000012</v>
      </c>
      <c r="P77" s="13">
        <f t="shared" si="87"/>
        <v>54.905611653539218</v>
      </c>
      <c r="Q77" s="20">
        <f t="shared" si="54"/>
        <v>485.13639362991444</v>
      </c>
      <c r="R77" s="59">
        <f t="shared" si="55"/>
        <v>778.46972696324769</v>
      </c>
      <c r="S77" s="59">
        <f ca="1">AVERAGE(OFFSET($R$3,0,0,'Données projet'!$E$9+1,1))-AVERAGE(OFFSET($H$3,0,0,'Données projet'!$E$9+1,1))</f>
        <v>281.82797419088109</v>
      </c>
      <c r="T77" s="59">
        <f t="shared" si="88"/>
        <v>298.98873283425371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45.300480878559725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8.5614142476976487E-4</v>
      </c>
      <c r="AC77" s="22">
        <f t="shared" si="57"/>
        <v>45.301337019984494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4.7</v>
      </c>
      <c r="AI77" s="13">
        <f>IF('Données projet'!$A$62&gt;35,AI76+AH77-AQ76,IF(A77&lt;'Données projet'!$A$62,$AF$205^A77,IF(A77='Données projet'!$A$62,'Données projet'!$B$62,AI76+AH77-AQ76)))</f>
        <v>177.79999999999976</v>
      </c>
      <c r="AJ77" s="13">
        <f>AI77*VLOOKUP('Données projet'!$B$10,Paramètres!$A$1:$I$89,3,0)*VLOOKUP('Données projet'!$B$10,Paramètres!$A$1:$I$89,5,0)</f>
        <v>177.51551999999975</v>
      </c>
      <c r="AK77" s="13">
        <f t="shared" si="89"/>
        <v>44.768988809542861</v>
      </c>
      <c r="AL77" s="20">
        <f t="shared" si="58"/>
        <v>387.14551950995337</v>
      </c>
      <c r="AM77" s="59">
        <f t="shared" si="59"/>
        <v>680.47885284328663</v>
      </c>
      <c r="AN77" s="59">
        <f ca="1">AVERAGE(OFFSET($AM$3,0,0,'Données projet'!$E$10+1,1))-AVERAGE(OFFSET($H$3,0,0,'Données projet'!$E$10+1,1))</f>
        <v>206.53345322763442</v>
      </c>
      <c r="AO77" s="59">
        <f t="shared" si="90"/>
        <v>96.700732426680929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10.070851019302861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6.6336207705176104E-3</v>
      </c>
      <c r="AX77" s="21">
        <f t="shared" si="60"/>
        <v>10.077484640073379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7.4</v>
      </c>
      <c r="BD77" s="12">
        <f>IF('Données projet'!$A$88&gt;35,BD76+BC77-BL76,IF(A77&lt;'Données projet'!$A$88,$BA$205^A77,IF(A77='Données projet'!$A$88,'Données projet'!$B$88,BD76+BC77-BL76)))</f>
        <v>303.59999999999991</v>
      </c>
      <c r="BE77" s="13">
        <f>BD77*VLOOKUP('Données projet'!$B$11,Paramètres!$A$1:$I$89,3,0)*VLOOKUP('Données projet'!$B$11,Paramètres!$A$1:$I$89,5,0)</f>
        <v>255.75263999999996</v>
      </c>
      <c r="BF77" s="13">
        <f t="shared" si="91"/>
        <v>61.816146384369418</v>
      </c>
      <c r="BG77" s="20">
        <f t="shared" si="61"/>
        <v>553.09896961944332</v>
      </c>
      <c r="BH77" s="59">
        <f t="shared" si="62"/>
        <v>846.43230295277658</v>
      </c>
      <c r="BI77" s="59">
        <f ca="1">AVERAGE(OFFSET($BH$3,0,0,'Données projet'!$E$11+1,1))-AVERAGE(OFFSET($H$3,0,0,'Données projet'!$E$11+1,1))</f>
        <v>328.34986205643321</v>
      </c>
      <c r="BJ77" s="59">
        <f t="shared" si="92"/>
        <v>251.60894449147008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34.657841348227592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3.5023437994195371E-4</v>
      </c>
      <c r="BS77" s="22">
        <f t="shared" si="63"/>
        <v>34.658191582607536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7.4</v>
      </c>
      <c r="BY77" s="12">
        <f>IF('Données projet'!$A$114&gt;35,BY76+BX77-CG76,IF(A77&lt;'Données projet'!$A$114,$BV$205^A77,IF(A77='Données projet'!$A$114,'Données projet'!$B$114,BY76+BX77-CG76)))</f>
        <v>303.59999999999991</v>
      </c>
      <c r="BZ77" s="13">
        <f>BY77*VLOOKUP('Données projet'!$B$12,Paramètres!$A$1:$I$89,3,0)*VLOOKUP('Données projet'!$B$12,Paramètres!$A$1:$I$89,5,0)</f>
        <v>274.69727999999992</v>
      </c>
      <c r="CA77" s="13">
        <f t="shared" si="93"/>
        <v>65.845147763387502</v>
      </c>
      <c r="CB77" s="20">
        <f t="shared" si="64"/>
        <v>593.11139502123308</v>
      </c>
      <c r="CC77" s="59">
        <f t="shared" si="65"/>
        <v>886.44472835456645</v>
      </c>
      <c r="CD77" s="59">
        <f ca="1">AVERAGE(OFFSET($CC$3,0,0,'Données projet'!$E$12+1,1))-AVERAGE(OFFSET($H$3,0,0,'Données projet'!$E$12+1,1))</f>
        <v>360.44607552967267</v>
      </c>
      <c r="CE77" s="59">
        <f t="shared" si="94"/>
        <v>271.54361159160169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37.225088855503706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3.7617766734506159E-4</v>
      </c>
      <c r="CN77" s="22">
        <f t="shared" si="66"/>
        <v>37.225465033171055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309.89554000341082</v>
      </c>
      <c r="CZ77" s="59">
        <f t="shared" si="96"/>
        <v>465.9235824539021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106.1354537211931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2.0421077944549268E-3</v>
      </c>
      <c r="DI77" s="22">
        <f t="shared" si="69"/>
        <v>106.13749582898755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261</v>
      </c>
      <c r="L78" s="12">
        <f>VLOOKUP(A78,'Données projet'!$A$35:$I$55,9,0)</f>
        <v>5</v>
      </c>
      <c r="M78" s="12">
        <f t="array" ref="M78">INDEX(L:L,MIN(IF(ISNUMBER(L78:L274),ROW(L78:L274),"")))</f>
        <v>5</v>
      </c>
      <c r="N78" s="13">
        <f>IF('Données projet'!$A$36&gt;35,N77+M78-V77,IF(A78&lt;'Données projet'!$A$36,$K$205^A78,IF(A78='Données projet'!$A$36,'Données projet'!$B$36,N77+M78-V77)))</f>
        <v>261.00000000000011</v>
      </c>
      <c r="O78" s="13">
        <f>N78*VLOOKUP('Données projet'!$B$9,Paramètres!$A$1:$I$89,3,0)*VLOOKUP('Données projet'!$B$9,Paramètres!$A$1:$I$89,5,0)</f>
        <v>228.00960000000015</v>
      </c>
      <c r="P78" s="13">
        <f t="shared" si="87"/>
        <v>55.852093054619878</v>
      </c>
      <c r="Q78" s="20">
        <f t="shared" si="54"/>
        <v>494.39244873679655</v>
      </c>
      <c r="R78" s="59">
        <f t="shared" si="55"/>
        <v>787.72578207012987</v>
      </c>
      <c r="S78" s="59">
        <f ca="1">AVERAGE(OFFSET($R$3,0,0,'Données projet'!$E$9+1,1))-AVERAGE(OFFSET($H$3,0,0,'Données projet'!$E$9+1,1))</f>
        <v>281.82797419088109</v>
      </c>
      <c r="T78" s="59">
        <f t="shared" si="88"/>
        <v>298.98873283425371</v>
      </c>
      <c r="U78" s="15">
        <f>IF(ISNA(VLOOKUP(A78,'Données projet'!$A$35:$I$55,3,0)),0,VLOOKUP(A78,'Données projet'!$A$35:$I$55,3,0))</f>
        <v>14</v>
      </c>
      <c r="V78" s="15">
        <f>IF(ISNA(VLOOKUP(A78,'Données projet'!$A$35:$I$55,4,0)),0,VLOOKUP(A78,'Données projet'!$A$35:$I$55,4,0))</f>
        <v>19</v>
      </c>
      <c r="W78" s="16">
        <f>IF(ISNA(VLOOKUP(A78,'Données projet'!$A$35:$I$55,5,0)),0%,VLOOKUP(A78,'Données projet'!$A$35:$I$55,5,0)*VLOOKUP('Données projet'!$B$9,Paramètres!$A$1:$I$89,7,0))</f>
        <v>0.38700000000000001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51.513244384032781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6.0538340710941316E-4</v>
      </c>
      <c r="AC78" s="22">
        <f t="shared" si="57"/>
        <v>51.513849767439893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4.7</v>
      </c>
      <c r="AI78" s="13">
        <f>IF('Données projet'!$A$62&gt;35,AI77+AH78-AQ77,IF(A78&lt;'Données projet'!$A$62,$AF$205^A78,IF(A78='Données projet'!$A$62,'Données projet'!$B$62,AI77+AH78-AQ77)))</f>
        <v>182.49999999999974</v>
      </c>
      <c r="AJ78" s="13">
        <f>AI78*VLOOKUP('Données projet'!$B$10,Paramètres!$A$1:$I$89,3,0)*VLOOKUP('Données projet'!$B$10,Paramètres!$A$1:$I$89,5,0)</f>
        <v>182.20799999999977</v>
      </c>
      <c r="AK78" s="13">
        <f t="shared" si="89"/>
        <v>45.813076371604062</v>
      </c>
      <c r="AL78" s="20">
        <f t="shared" si="58"/>
        <v>397.13670801387667</v>
      </c>
      <c r="AM78" s="59">
        <f t="shared" si="59"/>
        <v>690.47004134720999</v>
      </c>
      <c r="AN78" s="59">
        <f ca="1">AVERAGE(OFFSET($AM$3,0,0,'Données projet'!$E$10+1,1))-AVERAGE(OFFSET($H$3,0,0,'Données projet'!$E$10+1,1))</f>
        <v>206.53345322763442</v>
      </c>
      <c r="AO78" s="59">
        <f t="shared" si="90"/>
        <v>96.700732426680929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9.8733677734269207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4.6906782306529327E-3</v>
      </c>
      <c r="AX78" s="21">
        <f t="shared" si="60"/>
        <v>9.8780584516575729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7.4</v>
      </c>
      <c r="BD78" s="12">
        <f>IF('Données projet'!$A$88&gt;35,BD77+BC78-BL77,IF(A78&lt;'Données projet'!$A$88,$BA$205^A78,IF(A78='Données projet'!$A$88,'Données projet'!$B$88,BD77+BC78-BL77)))</f>
        <v>310.99999999999989</v>
      </c>
      <c r="BE78" s="13">
        <f>BD78*VLOOKUP('Données projet'!$B$11,Paramètres!$A$1:$I$89,3,0)*VLOOKUP('Données projet'!$B$11,Paramètres!$A$1:$I$89,5,0)</f>
        <v>261.98639999999989</v>
      </c>
      <c r="BF78" s="13">
        <f t="shared" si="91"/>
        <v>63.14561042409737</v>
      </c>
      <c r="BG78" s="20">
        <f t="shared" si="61"/>
        <v>566.27158482196944</v>
      </c>
      <c r="BH78" s="59">
        <f t="shared" si="62"/>
        <v>859.60491815530281</v>
      </c>
      <c r="BI78" s="59">
        <f ca="1">AVERAGE(OFFSET($BH$3,0,0,'Données projet'!$E$11+1,1))-AVERAGE(OFFSET($H$3,0,0,'Données projet'!$E$11+1,1))</f>
        <v>328.34986205643321</v>
      </c>
      <c r="BJ78" s="59">
        <f t="shared" si="92"/>
        <v>251.60894449147008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33.978222218584747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2.4765310506162121E-4</v>
      </c>
      <c r="BS78" s="22">
        <f t="shared" si="63"/>
        <v>33.978469871689811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7.4</v>
      </c>
      <c r="BY78" s="12">
        <f>IF('Données projet'!$A$114&gt;35,BY77+BX78-CG77,IF(A78&lt;'Données projet'!$A$114,$BV$205^A78,IF(A78='Données projet'!$A$114,'Données projet'!$B$114,BY77+BX78-CG77)))</f>
        <v>310.99999999999989</v>
      </c>
      <c r="BZ78" s="13">
        <f>BY78*VLOOKUP('Données projet'!$B$12,Paramètres!$A$1:$I$89,3,0)*VLOOKUP('Données projet'!$B$12,Paramètres!$A$1:$I$89,5,0)</f>
        <v>281.39279999999985</v>
      </c>
      <c r="CA78" s="13">
        <f t="shared" si="93"/>
        <v>67.261262504634658</v>
      </c>
      <c r="CB78" s="20">
        <f t="shared" si="64"/>
        <v>607.23915886223847</v>
      </c>
      <c r="CC78" s="59">
        <f t="shared" si="65"/>
        <v>900.57249219557184</v>
      </c>
      <c r="CD78" s="59">
        <f ca="1">AVERAGE(OFFSET($CC$3,0,0,'Données projet'!$E$12+1,1))-AVERAGE(OFFSET($H$3,0,0,'Données projet'!$E$12+1,1))</f>
        <v>360.44607552967267</v>
      </c>
      <c r="CE78" s="59">
        <f t="shared" si="94"/>
        <v>271.54361159160169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36.495127568109545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2.6599777951063033E-4</v>
      </c>
      <c r="CN78" s="22">
        <f t="shared" si="66"/>
        <v>36.495393565889053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309.89554000341082</v>
      </c>
      <c r="CZ78" s="59">
        <f t="shared" si="96"/>
        <v>465.9235824539021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104.05420220995511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1.4439882693729831E-3</v>
      </c>
      <c r="DI78" s="22">
        <f t="shared" si="69"/>
        <v>104.05564619822448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4.4000000000000004</v>
      </c>
      <c r="N79" s="13">
        <f>IF('Données projet'!$A$36&gt;35,N78+M79-V78,IF(A79&lt;'Données projet'!$A$36,$K$205^A79,IF(A79='Données projet'!$A$36,'Données projet'!$B$36,N78+M79-V78)))</f>
        <v>246.40000000000009</v>
      </c>
      <c r="O79" s="13">
        <f>N79*VLOOKUP('Données projet'!$B$9,Paramètres!$A$1:$I$89,3,0)*VLOOKUP('Données projet'!$B$9,Paramètres!$A$1:$I$89,5,0)</f>
        <v>215.25504000000012</v>
      </c>
      <c r="P79" s="13">
        <f t="shared" si="87"/>
        <v>53.082287058997267</v>
      </c>
      <c r="Q79" s="20">
        <f t="shared" si="54"/>
        <v>467.35417796108709</v>
      </c>
      <c r="R79" s="59">
        <f t="shared" si="55"/>
        <v>760.68751129442035</v>
      </c>
      <c r="S79" s="59">
        <f ca="1">AVERAGE(OFFSET($R$3,0,0,'Données projet'!$E$9+1,1))-AVERAGE(OFFSET($H$3,0,0,'Données projet'!$E$9+1,1))</f>
        <v>281.82797419088109</v>
      </c>
      <c r="T79" s="59">
        <f t="shared" si="88"/>
        <v>298.98873283425371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50.503101081638505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4.2807071238488243E-4</v>
      </c>
      <c r="AC79" s="22">
        <f t="shared" si="57"/>
        <v>50.503529152350893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4.7</v>
      </c>
      <c r="AI79" s="13">
        <f>IF('Données projet'!$A$62&gt;35,AI78+AH79-AQ78,IF(A79&lt;'Données projet'!$A$62,$AF$205^A79,IF(A79='Données projet'!$A$62,'Données projet'!$B$62,AI78+AH79-AQ78)))</f>
        <v>187.19999999999973</v>
      </c>
      <c r="AJ79" s="13">
        <f>AI79*VLOOKUP('Données projet'!$B$10,Paramètres!$A$1:$I$89,3,0)*VLOOKUP('Données projet'!$B$10,Paramètres!$A$1:$I$89,5,0)</f>
        <v>186.90047999999976</v>
      </c>
      <c r="AK79" s="13">
        <f t="shared" si="89"/>
        <v>46.854038395199666</v>
      </c>
      <c r="AL79" s="20">
        <f t="shared" si="58"/>
        <v>407.12245287163904</v>
      </c>
      <c r="AM79" s="59">
        <f t="shared" si="59"/>
        <v>700.45578620497236</v>
      </c>
      <c r="AN79" s="59">
        <f ca="1">AVERAGE(OFFSET($AM$3,0,0,'Données projet'!$E$10+1,1))-AVERAGE(OFFSET($H$3,0,0,'Données projet'!$E$10+1,1))</f>
        <v>206.53345322763442</v>
      </c>
      <c r="AO79" s="59">
        <f t="shared" si="90"/>
        <v>96.700732426680929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9.6797570535497215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3.3168103852588052E-3</v>
      </c>
      <c r="AX79" s="21">
        <f t="shared" si="60"/>
        <v>9.6830738639349807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7.4</v>
      </c>
      <c r="BD79" s="12">
        <f>IF('Données projet'!$A$88&gt;35,BD78+BC79-BL78,IF(A79&lt;'Données projet'!$A$88,$BA$205^A79,IF(A79='Données projet'!$A$88,'Données projet'!$B$88,BD78+BC79-BL78)))</f>
        <v>318.39999999999986</v>
      </c>
      <c r="BE79" s="13">
        <f>BD79*VLOOKUP('Données projet'!$B$11,Paramètres!$A$1:$I$89,3,0)*VLOOKUP('Données projet'!$B$11,Paramètres!$A$1:$I$89,5,0)</f>
        <v>268.22015999999991</v>
      </c>
      <c r="BF79" s="13">
        <f t="shared" si="91"/>
        <v>64.471397046337671</v>
      </c>
      <c r="BG79" s="20">
        <f t="shared" si="61"/>
        <v>579.43779518903796</v>
      </c>
      <c r="BH79" s="59">
        <f t="shared" si="62"/>
        <v>872.77112852237133</v>
      </c>
      <c r="BI79" s="59">
        <f ca="1">AVERAGE(OFFSET($BH$3,0,0,'Données projet'!$E$11+1,1))-AVERAGE(OFFSET($H$3,0,0,'Données projet'!$E$11+1,1))</f>
        <v>328.34986205643321</v>
      </c>
      <c r="BJ79" s="59">
        <f t="shared" si="92"/>
        <v>251.60894449147008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33.31193000554746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1.7511718997097685E-4</v>
      </c>
      <c r="BS79" s="22">
        <f t="shared" si="63"/>
        <v>33.312105122737428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7.4</v>
      </c>
      <c r="BY79" s="12">
        <f>IF('Données projet'!$A$114&gt;35,BY78+BX79-CG78,IF(A79&lt;'Données projet'!$A$114,$BV$205^A79,IF(A79='Données projet'!$A$114,'Données projet'!$B$114,BY78+BX79-CG78)))</f>
        <v>318.39999999999986</v>
      </c>
      <c r="BZ79" s="13">
        <f>BY79*VLOOKUP('Données projet'!$B$12,Paramètres!$A$1:$I$89,3,0)*VLOOKUP('Données projet'!$B$12,Paramètres!$A$1:$I$89,5,0)</f>
        <v>288.0883199999999</v>
      </c>
      <c r="CA79" s="13">
        <f t="shared" si="93"/>
        <v>68.673460144735557</v>
      </c>
      <c r="CB79" s="20">
        <f t="shared" si="64"/>
        <v>621.36010041874761</v>
      </c>
      <c r="CC79" s="59">
        <f t="shared" si="65"/>
        <v>914.69343375208086</v>
      </c>
      <c r="CD79" s="59">
        <f ca="1">AVERAGE(OFFSET($CC$3,0,0,'Données projet'!$E$12+1,1))-AVERAGE(OFFSET($H$3,0,0,'Données projet'!$E$12+1,1))</f>
        <v>360.44607552967267</v>
      </c>
      <c r="CE79" s="59">
        <f t="shared" si="94"/>
        <v>271.54361159160169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35.779480376328756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1.8808883367253079E-4</v>
      </c>
      <c r="CN79" s="22">
        <f t="shared" si="66"/>
        <v>35.77966846516243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309.89554000341082</v>
      </c>
      <c r="CZ79" s="59">
        <f t="shared" si="96"/>
        <v>465.9235824539021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102.01376277141441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1.0210538972274634E-3</v>
      </c>
      <c r="DI79" s="22">
        <f t="shared" si="69"/>
        <v>102.01478382531164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4.4000000000000004</v>
      </c>
      <c r="N80" s="13">
        <f>IF('Données projet'!$A$36&gt;35,N79+M80-V79,IF(A80&lt;'Données projet'!$A$36,$K$205^A80,IF(A80='Données projet'!$A$36,'Données projet'!$B$36,N79+M80-V79)))</f>
        <v>250.8000000000001</v>
      </c>
      <c r="O80" s="13">
        <f>N80*VLOOKUP('Données projet'!$B$9,Paramètres!$A$1:$I$89,3,0)*VLOOKUP('Données projet'!$B$9,Paramètres!$A$1:$I$89,5,0)</f>
        <v>219.09888000000012</v>
      </c>
      <c r="P80" s="13">
        <f t="shared" si="87"/>
        <v>53.918984980452286</v>
      </c>
      <c r="Q80" s="20">
        <f t="shared" si="54"/>
        <v>475.50611484095458</v>
      </c>
      <c r="R80" s="59">
        <f t="shared" si="55"/>
        <v>768.8394481742879</v>
      </c>
      <c r="S80" s="59">
        <f ca="1">AVERAGE(OFFSET($R$3,0,0,'Données projet'!$E$9+1,1))-AVERAGE(OFFSET($H$3,0,0,'Données projet'!$E$9+1,1))</f>
        <v>281.82797419088109</v>
      </c>
      <c r="T80" s="59">
        <f t="shared" si="88"/>
        <v>298.98873283425371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49.512766073277604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3.0269170355470658E-4</v>
      </c>
      <c r="AC80" s="22">
        <f t="shared" si="57"/>
        <v>49.513068764981156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4.7</v>
      </c>
      <c r="AI80" s="13">
        <f>IF('Données projet'!$A$62&gt;35,AI79+AH80-AQ79,IF(A80&lt;'Données projet'!$A$62,$AF$205^A80,IF(A80='Données projet'!$A$62,'Données projet'!$B$62,AI79+AH80-AQ79)))</f>
        <v>191.89999999999972</v>
      </c>
      <c r="AJ80" s="13">
        <f>AI80*VLOOKUP('Données projet'!$B$10,Paramètres!$A$1:$I$89,3,0)*VLOOKUP('Données projet'!$B$10,Paramètres!$A$1:$I$89,5,0)</f>
        <v>191.59295999999972</v>
      </c>
      <c r="AK80" s="13">
        <f t="shared" si="89"/>
        <v>47.891962377611691</v>
      </c>
      <c r="AL80" s="20">
        <f t="shared" si="58"/>
        <v>417.10290647433982</v>
      </c>
      <c r="AM80" s="59">
        <f t="shared" si="59"/>
        <v>710.43623980767313</v>
      </c>
      <c r="AN80" s="59">
        <f ca="1">AVERAGE(OFFSET($AM$3,0,0,'Données projet'!$E$10+1,1))-AVERAGE(OFFSET($H$3,0,0,'Données projet'!$E$10+1,1))</f>
        <v>206.53345322763442</v>
      </c>
      <c r="AO80" s="59">
        <f t="shared" si="90"/>
        <v>96.700732426680929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9.4899429217984359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2.3453391153264664E-3</v>
      </c>
      <c r="AX80" s="21">
        <f t="shared" si="60"/>
        <v>9.492288260913762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7.4</v>
      </c>
      <c r="BD80" s="12">
        <f>IF('Données projet'!$A$88&gt;35,BD79+BC80-BL79,IF(A80&lt;'Données projet'!$A$88,$BA$205^A80,IF(A80='Données projet'!$A$88,'Données projet'!$B$88,BD79+BC80-BL79)))</f>
        <v>325.79999999999984</v>
      </c>
      <c r="BE80" s="13">
        <f>BD80*VLOOKUP('Données projet'!$B$11,Paramètres!$A$1:$I$89,3,0)*VLOOKUP('Données projet'!$B$11,Paramètres!$A$1:$I$89,5,0)</f>
        <v>274.45391999999993</v>
      </c>
      <c r="BF80" s="13">
        <f t="shared" si="91"/>
        <v>65.793601555534096</v>
      </c>
      <c r="BG80" s="20">
        <f t="shared" si="61"/>
        <v>592.59776670922179</v>
      </c>
      <c r="BH80" s="59">
        <f t="shared" si="62"/>
        <v>885.93110004255504</v>
      </c>
      <c r="BI80" s="59">
        <f ca="1">AVERAGE(OFFSET($BH$3,0,0,'Données projet'!$E$11+1,1))-AVERAGE(OFFSET($H$3,0,0,'Données projet'!$E$11+1,1))</f>
        <v>328.34986205643321</v>
      </c>
      <c r="BJ80" s="59">
        <f t="shared" si="92"/>
        <v>251.60894449147008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32.658703376409711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1.238265525308106E-4</v>
      </c>
      <c r="BS80" s="22">
        <f t="shared" si="63"/>
        <v>32.658827202962243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7.4</v>
      </c>
      <c r="BY80" s="12">
        <f>IF('Données projet'!$A$114&gt;35,BY79+BX80-CG79,IF(A80&lt;'Données projet'!$A$114,$BV$205^A80,IF(A80='Données projet'!$A$114,'Données projet'!$B$114,BY79+BX80-CG79)))</f>
        <v>325.79999999999984</v>
      </c>
      <c r="BZ80" s="13">
        <f>BY80*VLOOKUP('Données projet'!$B$12,Paramètres!$A$1:$I$89,3,0)*VLOOKUP('Données projet'!$B$12,Paramètres!$A$1:$I$89,5,0)</f>
        <v>294.78383999999983</v>
      </c>
      <c r="CA80" s="13">
        <f t="shared" si="93"/>
        <v>70.081842199807596</v>
      </c>
      <c r="CB80" s="20">
        <f t="shared" si="64"/>
        <v>635.47439649799799</v>
      </c>
      <c r="CC80" s="59">
        <f t="shared" si="65"/>
        <v>928.80772983133124</v>
      </c>
      <c r="CD80" s="59">
        <f ca="1">AVERAGE(OFFSET($CC$3,0,0,'Données projet'!$E$12+1,1))-AVERAGE(OFFSET($H$3,0,0,'Données projet'!$E$12+1,1))</f>
        <v>360.44607552967267</v>
      </c>
      <c r="CE80" s="59">
        <f t="shared" si="94"/>
        <v>271.54361159160169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35.077866589477104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1.3299888975531516E-4</v>
      </c>
      <c r="CN80" s="22">
        <f t="shared" si="66"/>
        <v>35.077999588366858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309.89554000341082</v>
      </c>
      <c r="CZ80" s="59">
        <f t="shared" si="96"/>
        <v>465.9235824539021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100.01333510571833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7.2199413468649156E-4</v>
      </c>
      <c r="DI80" s="22">
        <f t="shared" si="69"/>
        <v>100.01405709985302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4.4000000000000004</v>
      </c>
      <c r="N81" s="13">
        <f>IF('Données projet'!$A$36&gt;35,N80+M81-V80,IF(A81&lt;'Données projet'!$A$36,$K$205^A81,IF(A81='Données projet'!$A$36,'Données projet'!$B$36,N80+M81-V80)))</f>
        <v>255.2000000000001</v>
      </c>
      <c r="O81" s="13">
        <f>N81*VLOOKUP('Données projet'!$B$9,Paramètres!$A$1:$I$89,3,0)*VLOOKUP('Données projet'!$B$9,Paramètres!$A$1:$I$89,5,0)</f>
        <v>222.94272000000009</v>
      </c>
      <c r="P81" s="13">
        <f t="shared" si="87"/>
        <v>54.753975927514929</v>
      </c>
      <c r="Q81" s="20">
        <f t="shared" si="54"/>
        <v>483.65507874042197</v>
      </c>
      <c r="R81" s="59">
        <f t="shared" si="55"/>
        <v>776.98841207375528</v>
      </c>
      <c r="S81" s="59">
        <f ca="1">AVERAGE(OFFSET($R$3,0,0,'Données projet'!$E$9+1,1))-AVERAGE(OFFSET($H$3,0,0,'Données projet'!$E$9+1,1))</f>
        <v>281.82797419088109</v>
      </c>
      <c r="T81" s="59">
        <f t="shared" si="88"/>
        <v>298.98873283425371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48.541850930385948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2.1403535619244122E-4</v>
      </c>
      <c r="AC81" s="22">
        <f t="shared" si="57"/>
        <v>48.542064965742142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4.7</v>
      </c>
      <c r="AI81" s="13">
        <f>IF('Données projet'!$A$62&gt;35,AI80+AH81-AQ80,IF(A81&lt;'Données projet'!$A$62,$AF$205^A81,IF(A81='Données projet'!$A$62,'Données projet'!$B$62,AI80+AH81-AQ80)))</f>
        <v>196.59999999999971</v>
      </c>
      <c r="AJ81" s="13">
        <f>AI81*VLOOKUP('Données projet'!$B$10,Paramètres!$A$1:$I$89,3,0)*VLOOKUP('Données projet'!$B$10,Paramètres!$A$1:$I$89,5,0)</f>
        <v>196.28543999999971</v>
      </c>
      <c r="AK81" s="13">
        <f t="shared" si="89"/>
        <v>48.926931285820423</v>
      </c>
      <c r="AL81" s="20">
        <f t="shared" si="58"/>
        <v>427.07821332280338</v>
      </c>
      <c r="AM81" s="59">
        <f t="shared" si="59"/>
        <v>720.41154665613669</v>
      </c>
      <c r="AN81" s="59">
        <f ca="1">AVERAGE(OFFSET($AM$3,0,0,'Données projet'!$E$10+1,1))-AVERAGE(OFFSET($H$3,0,0,'Données projet'!$E$10+1,1))</f>
        <v>206.53345322763442</v>
      </c>
      <c r="AO81" s="59">
        <f t="shared" si="90"/>
        <v>96.700732426680929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9.3038509293956047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1.6584051926294026E-3</v>
      </c>
      <c r="AX81" s="21">
        <f t="shared" si="60"/>
        <v>9.3055093345882334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7.4</v>
      </c>
      <c r="BD81" s="12">
        <f>IF('Données projet'!$A$88&gt;35,BD80+BC81-BL80,IF(A81&lt;'Données projet'!$A$88,$BA$205^A81,IF(A81='Données projet'!$A$88,'Données projet'!$B$88,BD80+BC81-BL80)))</f>
        <v>333.19999999999982</v>
      </c>
      <c r="BE81" s="13">
        <f>BD81*VLOOKUP('Données projet'!$B$11,Paramètres!$A$1:$I$89,3,0)*VLOOKUP('Données projet'!$B$11,Paramètres!$A$1:$I$89,5,0)</f>
        <v>280.68767999999989</v>
      </c>
      <c r="BF81" s="13">
        <f t="shared" si="91"/>
        <v>67.11231467966806</v>
      </c>
      <c r="BG81" s="20">
        <f t="shared" si="61"/>
        <v>605.75165740042166</v>
      </c>
      <c r="BH81" s="59">
        <f t="shared" si="62"/>
        <v>899.08499073375492</v>
      </c>
      <c r="BI81" s="59">
        <f ca="1">AVERAGE(OFFSET($BH$3,0,0,'Données projet'!$E$11+1,1))-AVERAGE(OFFSET($H$3,0,0,'Données projet'!$E$11+1,1))</f>
        <v>328.34986205643321</v>
      </c>
      <c r="BJ81" s="59">
        <f t="shared" si="92"/>
        <v>251.60894449147008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32.018286123040454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8.7558594985488427E-5</v>
      </c>
      <c r="BS81" s="22">
        <f t="shared" si="63"/>
        <v>32.018373681635438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7.4</v>
      </c>
      <c r="BY81" s="12">
        <f>IF('Données projet'!$A$114&gt;35,BY80+BX81-CG80,IF(A81&lt;'Données projet'!$A$114,$BV$205^A81,IF(A81='Données projet'!$A$114,'Données projet'!$B$114,BY80+BX81-CG80)))</f>
        <v>333.19999999999982</v>
      </c>
      <c r="BZ81" s="13">
        <f>BY81*VLOOKUP('Données projet'!$B$12,Paramètres!$A$1:$I$89,3,0)*VLOOKUP('Données projet'!$B$12,Paramètres!$A$1:$I$89,5,0)</f>
        <v>301.47935999999982</v>
      </c>
      <c r="CA81" s="13">
        <f t="shared" si="93"/>
        <v>71.486505311225272</v>
      </c>
      <c r="CB81" s="20">
        <f t="shared" si="64"/>
        <v>649.58221541705041</v>
      </c>
      <c r="CC81" s="59">
        <f t="shared" si="65"/>
        <v>942.91554875038378</v>
      </c>
      <c r="CD81" s="59">
        <f ca="1">AVERAGE(OFFSET($CC$3,0,0,'Données projet'!$E$12+1,1))-AVERAGE(OFFSET($H$3,0,0,'Données projet'!$E$12+1,1))</f>
        <v>360.44607552967267</v>
      </c>
      <c r="CE81" s="59">
        <f t="shared" si="94"/>
        <v>271.54361159160169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34.390011021043456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9.4044416836265397E-5</v>
      </c>
      <c r="CN81" s="22">
        <f t="shared" si="66"/>
        <v>34.39010506546029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309.89554000341082</v>
      </c>
      <c r="CZ81" s="59">
        <f t="shared" si="96"/>
        <v>465.9235824539021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98.052134606406142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5.105269486137317E-4</v>
      </c>
      <c r="DI81" s="22">
        <f t="shared" si="69"/>
        <v>98.052645133354758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4.4000000000000004</v>
      </c>
      <c r="N82" s="13">
        <f>IF('Données projet'!$A$36&gt;35,N81+M82-V81,IF(A82&lt;'Données projet'!$A$36,$K$205^A82,IF(A82='Données projet'!$A$36,'Données projet'!$B$36,N81+M82-V81)))</f>
        <v>259.60000000000008</v>
      </c>
      <c r="O82" s="13">
        <f>N82*VLOOKUP('Données projet'!$B$9,Paramètres!$A$1:$I$89,3,0)*VLOOKUP('Données projet'!$B$9,Paramètres!$A$1:$I$89,5,0)</f>
        <v>226.78656000000009</v>
      </c>
      <c r="P82" s="13">
        <f t="shared" si="87"/>
        <v>55.587292726829872</v>
      </c>
      <c r="Q82" s="20">
        <f t="shared" si="54"/>
        <v>491.8011268325622</v>
      </c>
      <c r="R82" s="59">
        <f t="shared" si="55"/>
        <v>785.13446016589546</v>
      </c>
      <c r="S82" s="59">
        <f ca="1">AVERAGE(OFFSET($R$3,0,0,'Données projet'!$E$9+1,1))-AVERAGE(OFFSET($H$3,0,0,'Données projet'!$E$9+1,1))</f>
        <v>281.82797419088109</v>
      </c>
      <c r="T82" s="59">
        <f t="shared" si="88"/>
        <v>298.98873283425371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47.589974841246637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1.5134585177735329E-4</v>
      </c>
      <c r="AC82" s="22">
        <f t="shared" si="57"/>
        <v>47.590126187098413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4.7</v>
      </c>
      <c r="AI82" s="13">
        <f>IF('Données projet'!$A$62&gt;35,AI81+AH82-AQ81,IF(A82&lt;'Données projet'!$A$62,$AF$205^A82,IF(A82='Données projet'!$A$62,'Données projet'!$B$62,AI81+AH82-AQ81)))</f>
        <v>201.2999999999997</v>
      </c>
      <c r="AJ82" s="13">
        <f>AI82*VLOOKUP('Données projet'!$B$10,Paramètres!$A$1:$I$89,3,0)*VLOOKUP('Données projet'!$B$10,Paramètres!$A$1:$I$89,5,0)</f>
        <v>200.97791999999973</v>
      </c>
      <c r="AK82" s="13">
        <f t="shared" si="89"/>
        <v>49.959023893680694</v>
      </c>
      <c r="AL82" s="20">
        <f t="shared" si="58"/>
        <v>437.04851061482668</v>
      </c>
      <c r="AM82" s="59">
        <f t="shared" si="59"/>
        <v>730.38184394815994</v>
      </c>
      <c r="AN82" s="59">
        <f ca="1">AVERAGE(OFFSET($AM$3,0,0,'Données projet'!$E$10+1,1))-AVERAGE(OFFSET($H$3,0,0,'Données projet'!$E$10+1,1))</f>
        <v>206.53345322763442</v>
      </c>
      <c r="AO82" s="59">
        <f t="shared" si="90"/>
        <v>96.700732426680929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9.1214080874588852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1.1726695576632332E-3</v>
      </c>
      <c r="AX82" s="21">
        <f t="shared" si="60"/>
        <v>9.1225807570165482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7.4</v>
      </c>
      <c r="BD82" s="12">
        <f>IF('Données projet'!$A$88&gt;35,BD81+BC82-BL81,IF(A82&lt;'Données projet'!$A$88,$BA$205^A82,IF(A82='Données projet'!$A$88,'Données projet'!$B$88,BD81+BC82-BL81)))</f>
        <v>340.5999999999998</v>
      </c>
      <c r="BE82" s="13">
        <f>BD82*VLOOKUP('Données projet'!$B$11,Paramètres!$A$1:$I$89,3,0)*VLOOKUP('Données projet'!$B$11,Paramètres!$A$1:$I$89,5,0)</f>
        <v>286.92143999999985</v>
      </c>
      <c r="BF82" s="13">
        <f t="shared" si="91"/>
        <v>68.427622886698884</v>
      </c>
      <c r="BG82" s="20">
        <f t="shared" si="61"/>
        <v>618.89961786100014</v>
      </c>
      <c r="BH82" s="59">
        <f t="shared" si="62"/>
        <v>912.23295119433351</v>
      </c>
      <c r="BI82" s="59">
        <f ca="1">AVERAGE(OFFSET($BH$3,0,0,'Données projet'!$E$11+1,1))-AVERAGE(OFFSET($H$3,0,0,'Données projet'!$E$11+1,1))</f>
        <v>328.34986205643321</v>
      </c>
      <c r="BJ82" s="59">
        <f t="shared" si="92"/>
        <v>251.60894449147008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31.390427061393815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6.1913276265405302E-5</v>
      </c>
      <c r="BS82" s="22">
        <f t="shared" si="63"/>
        <v>31.390488974670081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7.4</v>
      </c>
      <c r="BY82" s="12">
        <f>IF('Données projet'!$A$114&gt;35,BY81+BX82-CG81,IF(A82&lt;'Données projet'!$A$114,$BV$205^A82,IF(A82='Données projet'!$A$114,'Données projet'!$B$114,BY81+BX82-CG81)))</f>
        <v>340.5999999999998</v>
      </c>
      <c r="BZ82" s="13">
        <f>BY82*VLOOKUP('Données projet'!$B$12,Paramètres!$A$1:$I$89,3,0)*VLOOKUP('Données projet'!$B$12,Paramètres!$A$1:$I$89,5,0)</f>
        <v>308.1748799999998</v>
      </c>
      <c r="CA82" s="13">
        <f t="shared" si="93"/>
        <v>72.887541582684676</v>
      </c>
      <c r="CB82" s="20">
        <f t="shared" si="64"/>
        <v>663.6837175898421</v>
      </c>
      <c r="CC82" s="59">
        <f t="shared" si="65"/>
        <v>957.01705092317547</v>
      </c>
      <c r="CD82" s="59">
        <f ca="1">AVERAGE(OFFSET($CC$3,0,0,'Données projet'!$E$12+1,1))-AVERAGE(OFFSET($H$3,0,0,'Données projet'!$E$12+1,1))</f>
        <v>360.44607552967267</v>
      </c>
      <c r="CE82" s="59">
        <f t="shared" si="94"/>
        <v>271.54361159160169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33.715643880756325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6.6499444877657582E-5</v>
      </c>
      <c r="CN82" s="22">
        <f t="shared" si="66"/>
        <v>33.715710380201202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309.89554000341082</v>
      </c>
      <c r="CZ82" s="59">
        <f t="shared" si="96"/>
        <v>465.9235824539021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96.129392052671292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3.6099706734324578E-4</v>
      </c>
      <c r="DI82" s="22">
        <f t="shared" si="69"/>
        <v>96.129753049738639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264</v>
      </c>
      <c r="L83" s="12">
        <f>VLOOKUP(A83,'Données projet'!$A$35:$I$55,9,0)</f>
        <v>4.4000000000000004</v>
      </c>
      <c r="M83" s="12">
        <f t="array" ref="M83">INDEX(L:L,MIN(IF(ISNUMBER(L83:L279),ROW(L83:L279),"")))</f>
        <v>4.4000000000000004</v>
      </c>
      <c r="N83" s="13">
        <f>IF('Données projet'!$A$36&gt;35,N82+M83-V82,IF(A83&lt;'Données projet'!$A$36,$K$205^A83,IF(A83='Données projet'!$A$36,'Données projet'!$B$36,N82+M83-V82)))</f>
        <v>264.00000000000006</v>
      </c>
      <c r="O83" s="13">
        <f>N83*VLOOKUP('Données projet'!$B$9,Paramètres!$A$1:$I$89,3,0)*VLOOKUP('Données projet'!$B$9,Paramètres!$A$1:$I$89,5,0)</f>
        <v>230.63040000000007</v>
      </c>
      <c r="P83" s="13">
        <f t="shared" si="87"/>
        <v>56.418967028503253</v>
      </c>
      <c r="Q83" s="20">
        <f t="shared" si="54"/>
        <v>499.94431424130994</v>
      </c>
      <c r="R83" s="59">
        <f t="shared" si="55"/>
        <v>793.2776475746432</v>
      </c>
      <c r="S83" s="59">
        <f ca="1">AVERAGE(OFFSET($R$3,0,0,'Données projet'!$E$9+1,1))-AVERAGE(OFFSET($H$3,0,0,'Données projet'!$E$9+1,1))</f>
        <v>281.82797419088109</v>
      </c>
      <c r="T83" s="59">
        <f t="shared" si="88"/>
        <v>298.98873283425371</v>
      </c>
      <c r="U83" s="15">
        <f>IF(ISNA(VLOOKUP(A83,'Données projet'!$A$35:$I$55,3,0)),0,VLOOKUP(A83,'Données projet'!$A$35:$I$55,3,0))</f>
        <v>15</v>
      </c>
      <c r="V83" s="15">
        <f>IF(ISNA(VLOOKUP(A83,'Données projet'!$A$35:$I$55,4,0)),0,VLOOKUP(A83,'Données projet'!$A$35:$I$55,4,0))</f>
        <v>17</v>
      </c>
      <c r="W83" s="16">
        <f>IF(ISNA(VLOOKUP(A83,'Données projet'!$A$35:$I$55,5,0)),0%,VLOOKUP(A83,'Données projet'!$A$35:$I$55,5,0)*VLOOKUP('Données projet'!$B$9,Paramètres!$A$1:$I$89,7,0))</f>
        <v>0.38700000000000001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53.010360839729408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1.0701767809622061E-4</v>
      </c>
      <c r="AC83" s="22">
        <f t="shared" si="57"/>
        <v>53.010467857407505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206</v>
      </c>
      <c r="AG83" s="12">
        <f>VLOOKUP(A83,'Données projet'!$A$61:$I$81,9,0)</f>
        <v>4.7</v>
      </c>
      <c r="AH83" s="12">
        <f t="array" ref="AH83">INDEX(AG:AG,MIN(IF(ISNUMBER(AG83:AG279),ROW(AG83:AG279),"")))</f>
        <v>4.7</v>
      </c>
      <c r="AI83" s="13">
        <f>IF('Données projet'!$A$62&gt;35,AI82+AH83-AQ82,IF(A83&lt;'Données projet'!$A$62,$AF$205^A83,IF(A83='Données projet'!$A$62,'Données projet'!$B$62,AI82+AH83-AQ82)))</f>
        <v>205.99999999999969</v>
      </c>
      <c r="AJ83" s="13">
        <f>AI83*VLOOKUP('Données projet'!$B$10,Paramètres!$A$1:$I$89,3,0)*VLOOKUP('Données projet'!$B$10,Paramètres!$A$1:$I$89,5,0)</f>
        <v>205.67039999999969</v>
      </c>
      <c r="AK83" s="13">
        <f t="shared" si="89"/>
        <v>50.988315086721173</v>
      </c>
      <c r="AL83" s="20">
        <f t="shared" si="58"/>
        <v>447.01392877603877</v>
      </c>
      <c r="AM83" s="59">
        <f t="shared" si="59"/>
        <v>740.34726210937208</v>
      </c>
      <c r="AN83" s="59">
        <f ca="1">AVERAGE(OFFSET($AM$3,0,0,'Données projet'!$E$10+1,1))-AVERAGE(OFFSET($H$3,0,0,'Données projet'!$E$10+1,1))</f>
        <v>206.53345322763442</v>
      </c>
      <c r="AO83" s="59">
        <f t="shared" si="90"/>
        <v>96.700732426680929</v>
      </c>
      <c r="AP83" s="15">
        <f>IF(ISNA(VLOOKUP(A83,'Données projet'!$A$61:$I$81,3,0)),0,VLOOKUP(A83,'Données projet'!$A$61:$I$81,3,0))</f>
        <v>6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22.231110426558793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8.2920259631470131E-4</v>
      </c>
      <c r="AX83" s="21">
        <f t="shared" si="60"/>
        <v>22.231939629155107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348</v>
      </c>
      <c r="BB83" s="12">
        <f>VLOOKUP(A83,'Données projet'!$A$87:$I$107,9,0)</f>
        <v>7.4</v>
      </c>
      <c r="BC83" s="12">
        <f t="array" ref="BC83">INDEX(BB:BB,MIN(IF(ISNUMBER(BB83:BB279),ROW(BB83:BB279),"")))</f>
        <v>7.4</v>
      </c>
      <c r="BD83" s="12">
        <f>IF('Données projet'!$A$88&gt;35,BD82+BC83-BL82,IF(A83&lt;'Données projet'!$A$88,$BA$205^A83,IF(A83='Données projet'!$A$88,'Données projet'!$B$88,BD82+BC83-BL82)))</f>
        <v>347.99999999999977</v>
      </c>
      <c r="BE83" s="13">
        <f>BD83*VLOOKUP('Données projet'!$B$11,Paramètres!$A$1:$I$89,3,0)*VLOOKUP('Données projet'!$B$11,Paramètres!$A$1:$I$89,5,0)</f>
        <v>293.15519999999987</v>
      </c>
      <c r="BF83" s="13">
        <f t="shared" si="91"/>
        <v>69.739608672728551</v>
      </c>
      <c r="BG83" s="20">
        <f t="shared" si="61"/>
        <v>632.0417917716685</v>
      </c>
      <c r="BH83" s="59">
        <f t="shared" si="62"/>
        <v>925.37512510500187</v>
      </c>
      <c r="BI83" s="59">
        <f ca="1">AVERAGE(OFFSET($BH$3,0,0,'Données projet'!$E$11+1,1))-AVERAGE(OFFSET($H$3,0,0,'Données projet'!$E$11+1,1))</f>
        <v>328.34986205643321</v>
      </c>
      <c r="BJ83" s="59">
        <f t="shared" si="92"/>
        <v>251.60894449147008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56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30.774879932989855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4.3779297492744213E-5</v>
      </c>
      <c r="BS83" s="22">
        <f t="shared" si="63"/>
        <v>30.774923712287347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348</v>
      </c>
      <c r="BW83" s="12">
        <f>VLOOKUP(A83,'Données projet'!$A$113:$I$133,9,0)</f>
        <v>7.4</v>
      </c>
      <c r="BX83" s="12">
        <f t="array" ref="BX83">INDEX(BW:BW,MIN(IF(ISNUMBER(BW83:BW279),ROW(BW83:BW279),"")))</f>
        <v>7.4</v>
      </c>
      <c r="BY83" s="12">
        <f>IF('Données projet'!$A$114&gt;35,BY82+BX83-CG82,IF(A83&lt;'Données projet'!$A$114,$BV$205^A83,IF(A83='Données projet'!$A$114,'Données projet'!$B$114,BY82+BX83-CG82)))</f>
        <v>347.99999999999977</v>
      </c>
      <c r="BZ83" s="13">
        <f>BY83*VLOOKUP('Données projet'!$B$12,Paramètres!$A$1:$I$89,3,0)*VLOOKUP('Données projet'!$B$12,Paramètres!$A$1:$I$89,5,0)</f>
        <v>314.87039999999979</v>
      </c>
      <c r="CA83" s="13">
        <f t="shared" si="93"/>
        <v>74.285038887149881</v>
      </c>
      <c r="CB83" s="20">
        <f t="shared" si="64"/>
        <v>677.7790560617857</v>
      </c>
      <c r="CC83" s="59">
        <f t="shared" si="65"/>
        <v>971.11238939511895</v>
      </c>
      <c r="CD83" s="59">
        <f ca="1">AVERAGE(OFFSET($CC$3,0,0,'Données projet'!$E$12+1,1))-AVERAGE(OFFSET($H$3,0,0,'Données projet'!$E$12+1,1))</f>
        <v>360.44607552967267</v>
      </c>
      <c r="CE83" s="59">
        <f t="shared" si="94"/>
        <v>271.54361159160169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56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33.054500668766885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4.7022208418132699E-5</v>
      </c>
      <c r="CN83" s="22">
        <f t="shared" si="66"/>
        <v>33.054547690975305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309.89554000341082</v>
      </c>
      <c r="CZ83" s="59">
        <f t="shared" si="96"/>
        <v>465.9235824539021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94.244353307658017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2.5526347430686585E-4</v>
      </c>
      <c r="DI83" s="22">
        <f t="shared" si="69"/>
        <v>94.244608571132318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4</v>
      </c>
      <c r="N84" s="13">
        <f>IF('Données projet'!$A$36&gt;35,N83+M84-V83,IF(A84&lt;'Données projet'!$A$36,$K$205^A84,IF(A84='Données projet'!$A$36,'Données projet'!$B$36,N83+M84-V83)))</f>
        <v>251.00000000000006</v>
      </c>
      <c r="O84" s="13">
        <f>N84*VLOOKUP('Données projet'!$B$9,Paramètres!$A$1:$I$89,3,0)*VLOOKUP('Données projet'!$B$9,Paramètres!$A$1:$I$89,5,0)</f>
        <v>219.2736000000001</v>
      </c>
      <c r="P84" s="13">
        <f t="shared" si="87"/>
        <v>53.956975893220125</v>
      </c>
      <c r="Q84" s="20">
        <f t="shared" si="54"/>
        <v>475.87658634735857</v>
      </c>
      <c r="R84" s="59">
        <f t="shared" si="55"/>
        <v>769.20991968069188</v>
      </c>
      <c r="S84" s="59">
        <f ca="1">AVERAGE(OFFSET($R$3,0,0,'Données projet'!$E$9+1,1))-AVERAGE(OFFSET($H$3,0,0,'Données projet'!$E$9+1,1))</f>
        <v>281.82797419088109</v>
      </c>
      <c r="T84" s="59">
        <f t="shared" si="88"/>
        <v>298.98873283425371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51.970859996789798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7.5672925888676645E-5</v>
      </c>
      <c r="AC84" s="22">
        <f t="shared" si="57"/>
        <v>51.970935669715686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4.3</v>
      </c>
      <c r="AI84" s="13">
        <f>IF('Données projet'!$A$62&gt;35,AI83+AH84-AQ83,IF(A84&lt;'Données projet'!$A$62,$AF$205^A84,IF(A84='Données projet'!$A$62,'Données projet'!$B$62,AI83+AH84-AQ83)))</f>
        <v>182.2999999999997</v>
      </c>
      <c r="AJ84" s="13">
        <f>AI84*VLOOKUP('Données projet'!$B$10,Paramètres!$A$1:$I$89,3,0)*VLOOKUP('Données projet'!$B$10,Paramètres!$A$1:$I$89,5,0)</f>
        <v>182.00831999999971</v>
      </c>
      <c r="AK84" s="13">
        <f t="shared" si="89"/>
        <v>45.768711421236006</v>
      </c>
      <c r="AL84" s="20">
        <f t="shared" si="58"/>
        <v>396.71166305865222</v>
      </c>
      <c r="AM84" s="59">
        <f t="shared" si="59"/>
        <v>690.04499639198548</v>
      </c>
      <c r="AN84" s="59">
        <f ca="1">AVERAGE(OFFSET($AM$3,0,0,'Données projet'!$E$10+1,1))-AVERAGE(OFFSET($H$3,0,0,'Données projet'!$E$10+1,1))</f>
        <v>206.53345322763442</v>
      </c>
      <c r="AO84" s="59">
        <f t="shared" si="90"/>
        <v>96.700732426680929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21.795171910732432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5.8633477883161659E-4</v>
      </c>
      <c r="AX84" s="21">
        <f t="shared" si="60"/>
        <v>21.795758245511262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6.6</v>
      </c>
      <c r="BD84" s="12">
        <f>IF('Données projet'!$A$88&gt;35,BD83+BC84-BL83,IF(A84&lt;'Données projet'!$A$88,$BA$205^A84,IF(A84='Données projet'!$A$88,'Données projet'!$B$88,BD83+BC84-BL83)))</f>
        <v>298.5999999999998</v>
      </c>
      <c r="BE84" s="13">
        <f>BD84*VLOOKUP('Données projet'!$B$11,Paramètres!$A$1:$I$89,3,0)*VLOOKUP('Données projet'!$B$11,Paramètres!$A$1:$I$89,5,0)</f>
        <v>251.54063999999983</v>
      </c>
      <c r="BF84" s="13">
        <f t="shared" si="91"/>
        <v>60.915727667172014</v>
      </c>
      <c r="BG84" s="20">
        <f t="shared" si="61"/>
        <v>544.19484035365758</v>
      </c>
      <c r="BH84" s="59">
        <f t="shared" si="62"/>
        <v>837.52817368699084</v>
      </c>
      <c r="BI84" s="59">
        <f ca="1">AVERAGE(OFFSET($BH$3,0,0,'Données projet'!$E$11+1,1))-AVERAGE(OFFSET($H$3,0,0,'Données projet'!$E$11+1,1))</f>
        <v>328.34986205643321</v>
      </c>
      <c r="BJ84" s="59">
        <f t="shared" si="92"/>
        <v>251.60894449147008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30.171403308327218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3.0956638132702651E-5</v>
      </c>
      <c r="BS84" s="22">
        <f t="shared" si="63"/>
        <v>30.171434264965349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6.6</v>
      </c>
      <c r="BY84" s="12">
        <f>IF('Données projet'!$A$114&gt;35,BY83+BX84-CG83,IF(A84&lt;'Données projet'!$A$114,$BV$205^A84,IF(A84='Données projet'!$A$114,'Données projet'!$B$114,BY83+BX84-CG83)))</f>
        <v>298.5999999999998</v>
      </c>
      <c r="BZ84" s="13">
        <f>BY84*VLOOKUP('Données projet'!$B$12,Paramètres!$A$1:$I$89,3,0)*VLOOKUP('Données projet'!$B$12,Paramètres!$A$1:$I$89,5,0)</f>
        <v>270.17327999999981</v>
      </c>
      <c r="CA84" s="13">
        <f t="shared" si="93"/>
        <v>64.886042303882988</v>
      </c>
      <c r="CB84" s="20">
        <f t="shared" si="64"/>
        <v>583.56165301259591</v>
      </c>
      <c r="CC84" s="59">
        <f t="shared" si="65"/>
        <v>876.89498634592928</v>
      </c>
      <c r="CD84" s="59">
        <f ca="1">AVERAGE(OFFSET($CC$3,0,0,'Données projet'!$E$12+1,1))-AVERAGE(OFFSET($H$3,0,0,'Données projet'!$E$12+1,1))</f>
        <v>360.44607552967267</v>
      </c>
      <c r="CE84" s="59">
        <f t="shared" si="94"/>
        <v>271.54361159160169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32.406322071907013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3.3249722438828791E-5</v>
      </c>
      <c r="CN84" s="22">
        <f t="shared" si="66"/>
        <v>32.406355321629455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309.89554000341082</v>
      </c>
      <c r="CZ84" s="59">
        <f t="shared" si="96"/>
        <v>465.9235824539021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92.396279022674349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1.8049853367162289E-4</v>
      </c>
      <c r="DI84" s="22">
        <f t="shared" si="69"/>
        <v>92.396459521208016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4</v>
      </c>
      <c r="N85" s="13">
        <f>IF('Données projet'!$A$36&gt;35,N84+M85-V84,IF(A85&lt;'Données projet'!$A$36,$K$205^A85,IF(A85='Données projet'!$A$36,'Données projet'!$B$36,N84+M85-V84)))</f>
        <v>255.00000000000006</v>
      </c>
      <c r="O85" s="13">
        <f>N85*VLOOKUP('Données projet'!$B$9,Paramètres!$A$1:$I$89,3,0)*VLOOKUP('Données projet'!$B$9,Paramètres!$A$1:$I$89,5,0)</f>
        <v>222.76800000000006</v>
      </c>
      <c r="P85" s="13">
        <f t="shared" si="87"/>
        <v>54.716058356609508</v>
      </c>
      <c r="Q85" s="20">
        <f t="shared" si="54"/>
        <v>483.28473497109502</v>
      </c>
      <c r="R85" s="59">
        <f t="shared" si="55"/>
        <v>776.61806830442833</v>
      </c>
      <c r="S85" s="59">
        <f ca="1">AVERAGE(OFFSET($R$3,0,0,'Données projet'!$E$9+1,1))-AVERAGE(OFFSET($H$3,0,0,'Données projet'!$E$9+1,1))</f>
        <v>281.82797419088109</v>
      </c>
      <c r="T85" s="59">
        <f t="shared" si="88"/>
        <v>298.98873283425371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50.951743131347321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5.3508839048110304E-5</v>
      </c>
      <c r="AC85" s="22">
        <f t="shared" si="57"/>
        <v>50.951796640186366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4.3</v>
      </c>
      <c r="AI85" s="13">
        <f>IF('Données projet'!$A$62&gt;35,AI84+AH85-AQ84,IF(A85&lt;'Données projet'!$A$62,$AF$205^A85,IF(A85='Données projet'!$A$62,'Données projet'!$B$62,AI84+AH85-AQ84)))</f>
        <v>186.59999999999971</v>
      </c>
      <c r="AJ85" s="13">
        <f>AI85*VLOOKUP('Données projet'!$B$10,Paramètres!$A$1:$I$89,3,0)*VLOOKUP('Données projet'!$B$10,Paramètres!$A$1:$I$89,5,0)</f>
        <v>186.30143999999973</v>
      </c>
      <c r="AK85" s="13">
        <f t="shared" si="89"/>
        <v>46.721320573764658</v>
      </c>
      <c r="AL85" s="20">
        <f t="shared" si="58"/>
        <v>405.84797466597297</v>
      </c>
      <c r="AM85" s="59">
        <f t="shared" si="59"/>
        <v>699.18130799930623</v>
      </c>
      <c r="AN85" s="59">
        <f ca="1">AVERAGE(OFFSET($AM$3,0,0,'Données projet'!$E$10+1,1))-AVERAGE(OFFSET($H$3,0,0,'Données projet'!$E$10+1,1))</f>
        <v>206.53345322763442</v>
      </c>
      <c r="AO85" s="59">
        <f t="shared" si="90"/>
        <v>96.700732426680929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21.367781883305184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4.1460129815735065E-4</v>
      </c>
      <c r="AX85" s="21">
        <f t="shared" si="60"/>
        <v>21.368196484603342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6.6</v>
      </c>
      <c r="BD85" s="12">
        <f>IF('Données projet'!$A$88&gt;35,BD84+BC85-BL84,IF(A85&lt;'Données projet'!$A$88,$BA$205^A85,IF(A85='Données projet'!$A$88,'Données projet'!$B$88,BD84+BC85-BL84)))</f>
        <v>305.19999999999982</v>
      </c>
      <c r="BE85" s="13">
        <f>BD85*VLOOKUP('Données projet'!$B$11,Paramètres!$A$1:$I$89,3,0)*VLOOKUP('Données projet'!$B$11,Paramètres!$A$1:$I$89,5,0)</f>
        <v>257.10047999999989</v>
      </c>
      <c r="BF85" s="13">
        <f t="shared" si="91"/>
        <v>62.103914639805609</v>
      </c>
      <c r="BG85" s="20">
        <f t="shared" si="61"/>
        <v>555.94765399766129</v>
      </c>
      <c r="BH85" s="59">
        <f t="shared" si="62"/>
        <v>849.28098733099455</v>
      </c>
      <c r="BI85" s="59">
        <f ca="1">AVERAGE(OFFSET($BH$3,0,0,'Données projet'!$E$11+1,1))-AVERAGE(OFFSET($H$3,0,0,'Données projet'!$E$11+1,1))</f>
        <v>328.34986205643321</v>
      </c>
      <c r="BJ85" s="59">
        <f t="shared" si="92"/>
        <v>251.60894449147008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29.57976049218982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2.1889648746372107E-5</v>
      </c>
      <c r="BS85" s="22">
        <f t="shared" si="63"/>
        <v>29.579782381838566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6.6</v>
      </c>
      <c r="BY85" s="12">
        <f>IF('Données projet'!$A$114&gt;35,BY84+BX85-CG84,IF(A85&lt;'Données projet'!$A$114,$BV$205^A85,IF(A85='Données projet'!$A$114,'Données projet'!$B$114,BY84+BX85-CG84)))</f>
        <v>305.19999999999982</v>
      </c>
      <c r="BZ85" s="13">
        <f>BY85*VLOOKUP('Données projet'!$B$12,Paramètres!$A$1:$I$89,3,0)*VLOOKUP('Données projet'!$B$12,Paramètres!$A$1:$I$89,5,0)</f>
        <v>276.1449599999998</v>
      </c>
      <c r="CA85" s="13">
        <f t="shared" si="93"/>
        <v>66.151671938851194</v>
      </c>
      <c r="CB85" s="20">
        <f t="shared" si="64"/>
        <v>596.16663396016543</v>
      </c>
      <c r="CC85" s="59">
        <f t="shared" si="65"/>
        <v>889.49996729349868</v>
      </c>
      <c r="CD85" s="59">
        <f ca="1">AVERAGE(OFFSET($CC$3,0,0,'Données projet'!$E$12+1,1))-AVERAGE(OFFSET($H$3,0,0,'Données projet'!$E$12+1,1))</f>
        <v>360.44607552967267</v>
      </c>
      <c r="CE85" s="59">
        <f t="shared" si="94"/>
        <v>271.54361159160169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31.77085386198166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2.3511104209066349E-5</v>
      </c>
      <c r="CN85" s="22">
        <f t="shared" si="66"/>
        <v>31.77087737308587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309.89554000341082</v>
      </c>
      <c r="CZ85" s="59">
        <f t="shared" si="96"/>
        <v>465.9235824539021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90.584444347205206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1.2763173715343292E-4</v>
      </c>
      <c r="DI85" s="22">
        <f t="shared" si="69"/>
        <v>90.584571978942364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4</v>
      </c>
      <c r="N86" s="13">
        <f>IF('Données projet'!$A$36&gt;35,N85+M86-V85,IF(A86&lt;'Données projet'!$A$36,$K$205^A86,IF(A86='Données projet'!$A$36,'Données projet'!$B$36,N85+M86-V85)))</f>
        <v>259.00000000000006</v>
      </c>
      <c r="O86" s="13">
        <f>N86*VLOOKUP('Données projet'!$B$9,Paramètres!$A$1:$I$89,3,0)*VLOOKUP('Données projet'!$B$9,Paramètres!$A$1:$I$89,5,0)</f>
        <v>226.26240000000007</v>
      </c>
      <c r="P86" s="13">
        <f t="shared" si="87"/>
        <v>55.473756029242935</v>
      </c>
      <c r="Q86" s="20">
        <f t="shared" si="54"/>
        <v>490.69047175093164</v>
      </c>
      <c r="R86" s="59">
        <f t="shared" si="55"/>
        <v>784.02380508426495</v>
      </c>
      <c r="S86" s="59">
        <f ca="1">AVERAGE(OFFSET($R$3,0,0,'Données projet'!$E$9+1,1))-AVERAGE(OFFSET($H$3,0,0,'Données projet'!$E$9+1,1))</f>
        <v>281.82797419088109</v>
      </c>
      <c r="T86" s="59">
        <f t="shared" si="88"/>
        <v>298.98873283425371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49.95261052603626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3.7836462944338322E-5</v>
      </c>
      <c r="AC86" s="22">
        <f t="shared" si="57"/>
        <v>49.952648362499204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4.3</v>
      </c>
      <c r="AI86" s="13">
        <f>IF('Données projet'!$A$62&gt;35,AI85+AH86-AQ85,IF(A86&lt;'Données projet'!$A$62,$AF$205^A86,IF(A86='Données projet'!$A$62,'Données projet'!$B$62,AI85+AH86-AQ85)))</f>
        <v>190.89999999999972</v>
      </c>
      <c r="AJ86" s="13">
        <f>AI86*VLOOKUP('Données projet'!$B$10,Paramètres!$A$1:$I$89,3,0)*VLOOKUP('Données projet'!$B$10,Paramètres!$A$1:$I$89,5,0)</f>
        <v>190.59455999999972</v>
      </c>
      <c r="AK86" s="13">
        <f t="shared" si="89"/>
        <v>47.671377713509514</v>
      </c>
      <c r="AL86" s="20">
        <f t="shared" si="58"/>
        <v>414.97984151769521</v>
      </c>
      <c r="AM86" s="59">
        <f t="shared" si="59"/>
        <v>708.31317485102852</v>
      </c>
      <c r="AN86" s="59">
        <f ca="1">AVERAGE(OFFSET($AM$3,0,0,'Données projet'!$E$10+1,1))-AVERAGE(OFFSET($H$3,0,0,'Données projet'!$E$10+1,1))</f>
        <v>206.53345322763442</v>
      </c>
      <c r="AO86" s="59">
        <f t="shared" si="90"/>
        <v>96.700732426680929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20.948772713633613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2.931673894158083E-4</v>
      </c>
      <c r="AX86" s="21">
        <f t="shared" si="60"/>
        <v>20.949065881023028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6.6</v>
      </c>
      <c r="BD86" s="12">
        <f>IF('Données projet'!$A$88&gt;35,BD85+BC86-BL85,IF(A86&lt;'Données projet'!$A$88,$BA$205^A86,IF(A86='Données projet'!$A$88,'Données projet'!$B$88,BD85+BC86-BL85)))</f>
        <v>311.79999999999984</v>
      </c>
      <c r="BE86" s="13">
        <f>BD86*VLOOKUP('Données projet'!$B$11,Paramètres!$A$1:$I$89,3,0)*VLOOKUP('Données projet'!$B$11,Paramètres!$A$1:$I$89,5,0)</f>
        <v>262.6603199999999</v>
      </c>
      <c r="BF86" s="13">
        <f t="shared" si="91"/>
        <v>63.289114259938842</v>
      </c>
      <c r="BG86" s="20">
        <f t="shared" si="61"/>
        <v>567.69526466939328</v>
      </c>
      <c r="BH86" s="59">
        <f t="shared" si="62"/>
        <v>861.02859800272654</v>
      </c>
      <c r="BI86" s="59">
        <f ca="1">AVERAGE(OFFSET($BH$3,0,0,'Données projet'!$E$11+1,1))-AVERAGE(OFFSET($H$3,0,0,'Données projet'!$E$11+1,1))</f>
        <v>328.34986205643321</v>
      </c>
      <c r="BJ86" s="59">
        <f t="shared" si="92"/>
        <v>251.60894449147008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28.999719430810391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1.5478319066351326E-5</v>
      </c>
      <c r="BS86" s="22">
        <f t="shared" si="63"/>
        <v>28.999734909129458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6.6</v>
      </c>
      <c r="BY86" s="12">
        <f>IF('Données projet'!$A$114&gt;35,BY85+BX86-CG85,IF(A86&lt;'Données projet'!$A$114,$BV$205^A86,IF(A86='Données projet'!$A$114,'Données projet'!$B$114,BY85+BX86-CG85)))</f>
        <v>311.79999999999984</v>
      </c>
      <c r="BZ86" s="13">
        <f>BY86*VLOOKUP('Données projet'!$B$12,Paramètres!$A$1:$I$89,3,0)*VLOOKUP('Données projet'!$B$12,Paramètres!$A$1:$I$89,5,0)</f>
        <v>282.11663999999985</v>
      </c>
      <c r="CA86" s="13">
        <f t="shared" si="93"/>
        <v>67.414119514142243</v>
      </c>
      <c r="CB86" s="20">
        <f t="shared" si="64"/>
        <v>608.76607282046416</v>
      </c>
      <c r="CC86" s="59">
        <f t="shared" si="65"/>
        <v>902.09940615379742</v>
      </c>
      <c r="CD86" s="59">
        <f ca="1">AVERAGE(OFFSET($CC$3,0,0,'Données projet'!$E$12+1,1))-AVERAGE(OFFSET($H$3,0,0,'Données projet'!$E$12+1,1))</f>
        <v>360.44607552967267</v>
      </c>
      <c r="CE86" s="59">
        <f t="shared" si="94"/>
        <v>271.54361159160169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31.147846796055607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1.6624861219414396E-5</v>
      </c>
      <c r="CN86" s="22">
        <f t="shared" si="66"/>
        <v>31.147863420916828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309.89554000341082</v>
      </c>
      <c r="CZ86" s="59">
        <f t="shared" si="96"/>
        <v>465.9235824539021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88.808138644611972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9.0249266835811445E-5</v>
      </c>
      <c r="DI86" s="22">
        <f t="shared" si="69"/>
        <v>88.808228893878805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4</v>
      </c>
      <c r="N87" s="13">
        <f>IF('Données projet'!$A$36&gt;35,N86+M87-V86,IF(A87&lt;'Données projet'!$A$36,$K$205^A87,IF(A87='Données projet'!$A$36,'Données projet'!$B$36,N86+M87-V86)))</f>
        <v>263.00000000000006</v>
      </c>
      <c r="O87" s="13">
        <f>N87*VLOOKUP('Données projet'!$B$9,Paramètres!$A$1:$I$89,3,0)*VLOOKUP('Données projet'!$B$9,Paramètres!$A$1:$I$89,5,0)</f>
        <v>229.75680000000011</v>
      </c>
      <c r="P87" s="13">
        <f t="shared" si="87"/>
        <v>56.230092767727569</v>
      </c>
      <c r="Q87" s="20">
        <f t="shared" si="54"/>
        <v>498.09383823712568</v>
      </c>
      <c r="R87" s="59">
        <f t="shared" si="55"/>
        <v>791.427171570459</v>
      </c>
      <c r="S87" s="59">
        <f ca="1">AVERAGE(OFFSET($R$3,0,0,'Données projet'!$E$9+1,1))-AVERAGE(OFFSET($H$3,0,0,'Données projet'!$E$9+1,1))</f>
        <v>281.82797419088109</v>
      </c>
      <c r="T87" s="59">
        <f t="shared" si="88"/>
        <v>298.98873283425371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48.973070301704638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2.6754419524055152E-5</v>
      </c>
      <c r="AC87" s="22">
        <f t="shared" si="57"/>
        <v>48.973097056124161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4.3</v>
      </c>
      <c r="AI87" s="13">
        <f>IF('Données projet'!$A$62&gt;35,AI86+AH87-AQ86,IF(A87&lt;'Données projet'!$A$62,$AF$205^A87,IF(A87='Données projet'!$A$62,'Données projet'!$B$62,AI86+AH87-AQ86)))</f>
        <v>195.19999999999973</v>
      </c>
      <c r="AJ87" s="13">
        <f>AI87*VLOOKUP('Données projet'!$B$10,Paramètres!$A$1:$I$89,3,0)*VLOOKUP('Données projet'!$B$10,Paramètres!$A$1:$I$89,5,0)</f>
        <v>194.88767999999973</v>
      </c>
      <c r="AK87" s="13">
        <f t="shared" si="89"/>
        <v>48.618946942267151</v>
      </c>
      <c r="AL87" s="20">
        <f t="shared" si="58"/>
        <v>424.10737525778148</v>
      </c>
      <c r="AM87" s="59">
        <f t="shared" si="59"/>
        <v>717.4407085911148</v>
      </c>
      <c r="AN87" s="59">
        <f ca="1">AVERAGE(OFFSET($AM$3,0,0,'Données projet'!$E$10+1,1))-AVERAGE(OFFSET($H$3,0,0,'Données projet'!$E$10+1,1))</f>
        <v>206.53345322763442</v>
      </c>
      <c r="AO87" s="59">
        <f t="shared" si="90"/>
        <v>96.700732426680929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20.537980058208941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2.0730064907867533E-4</v>
      </c>
      <c r="AX87" s="21">
        <f t="shared" si="60"/>
        <v>20.538187358858021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6.6</v>
      </c>
      <c r="BD87" s="12">
        <f>IF('Données projet'!$A$88&gt;35,BD86+BC87-BL86,IF(A87&lt;'Données projet'!$A$88,$BA$205^A87,IF(A87='Données projet'!$A$88,'Données projet'!$B$88,BD86+BC87-BL86)))</f>
        <v>318.39999999999986</v>
      </c>
      <c r="BE87" s="13">
        <f>BD87*VLOOKUP('Données projet'!$B$11,Paramètres!$A$1:$I$89,3,0)*VLOOKUP('Données projet'!$B$11,Paramètres!$A$1:$I$89,5,0)</f>
        <v>268.22015999999991</v>
      </c>
      <c r="BF87" s="13">
        <f t="shared" si="91"/>
        <v>64.471397046337671</v>
      </c>
      <c r="BG87" s="20">
        <f t="shared" si="61"/>
        <v>579.43779518903796</v>
      </c>
      <c r="BH87" s="59">
        <f t="shared" si="62"/>
        <v>872.77112852237133</v>
      </c>
      <c r="BI87" s="59">
        <f ca="1">AVERAGE(OFFSET($BH$3,0,0,'Données projet'!$E$11+1,1))-AVERAGE(OFFSET($H$3,0,0,'Données projet'!$E$11+1,1))</f>
        <v>328.34986205643321</v>
      </c>
      <c r="BJ87" s="59">
        <f t="shared" si="92"/>
        <v>251.60894449147008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28.431052620854498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1.0944824373186053E-5</v>
      </c>
      <c r="BS87" s="22">
        <f t="shared" si="63"/>
        <v>28.431063565678873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6.6</v>
      </c>
      <c r="BY87" s="12">
        <f>IF('Données projet'!$A$114&gt;35,BY86+BX87-CG86,IF(A87&lt;'Données projet'!$A$114,$BV$205^A87,IF(A87='Données projet'!$A$114,'Données projet'!$B$114,BY86+BX87-CG86)))</f>
        <v>318.39999999999986</v>
      </c>
      <c r="BZ87" s="13">
        <f>BY87*VLOOKUP('Données projet'!$B$12,Paramètres!$A$1:$I$89,3,0)*VLOOKUP('Données projet'!$B$12,Paramètres!$A$1:$I$89,5,0)</f>
        <v>288.0883199999999</v>
      </c>
      <c r="CA87" s="13">
        <f t="shared" si="93"/>
        <v>68.673460144735557</v>
      </c>
      <c r="CB87" s="20">
        <f t="shared" si="64"/>
        <v>621.36010041874761</v>
      </c>
      <c r="CC87" s="59">
        <f t="shared" si="65"/>
        <v>914.69343375208086</v>
      </c>
      <c r="CD87" s="59">
        <f ca="1">AVERAGE(OFFSET($CC$3,0,0,'Données projet'!$E$12+1,1))-AVERAGE(OFFSET($H$3,0,0,'Données projet'!$E$12+1,1))</f>
        <v>360.44607552967267</v>
      </c>
      <c r="CE87" s="59">
        <f t="shared" si="94"/>
        <v>271.54361159160169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30.537056518695575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1.1755552104533175E-5</v>
      </c>
      <c r="CN87" s="22">
        <f t="shared" si="66"/>
        <v>30.53706827424768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309.89554000341082</v>
      </c>
      <c r="CZ87" s="59">
        <f t="shared" si="96"/>
        <v>465.9235824539021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87.066665213407092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6.3815868576716462E-5</v>
      </c>
      <c r="DI87" s="22">
        <f t="shared" si="69"/>
        <v>87.066729029275663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267</v>
      </c>
      <c r="L88" s="12">
        <f>VLOOKUP(A88,'Données projet'!$A$35:$I$55,9,0)</f>
        <v>4</v>
      </c>
      <c r="M88" s="12">
        <f t="array" ref="M88">INDEX(L:L,MIN(IF(ISNUMBER(L88:L284),ROW(L88:L284),"")))</f>
        <v>4</v>
      </c>
      <c r="N88" s="13">
        <f>IF('Données projet'!$A$36&gt;35,N87+M88-V87,IF(A88&lt;'Données projet'!$A$36,$K$205^A88,IF(A88='Données projet'!$A$36,'Données projet'!$B$36,N87+M88-V87)))</f>
        <v>267.00000000000006</v>
      </c>
      <c r="O88" s="13">
        <f>N88*VLOOKUP('Données projet'!$B$9,Paramètres!$A$1:$I$89,3,0)*VLOOKUP('Données projet'!$B$9,Paramètres!$A$1:$I$89,5,0)</f>
        <v>233.25120000000007</v>
      </c>
      <c r="P88" s="13">
        <f t="shared" si="87"/>
        <v>56.985091661350914</v>
      </c>
      <c r="Q88" s="20">
        <f t="shared" si="54"/>
        <v>505.49487464351961</v>
      </c>
      <c r="R88" s="59">
        <f t="shared" si="55"/>
        <v>798.82820797685292</v>
      </c>
      <c r="S88" s="59">
        <f ca="1">AVERAGE(OFFSET($R$3,0,0,'Données projet'!$E$9+1,1))-AVERAGE(OFFSET($H$3,0,0,'Données projet'!$E$9+1,1))</f>
        <v>281.82797419088109</v>
      </c>
      <c r="T88" s="59">
        <f t="shared" si="88"/>
        <v>298.98873283425371</v>
      </c>
      <c r="U88" s="15">
        <f>IF(ISNA(VLOOKUP(A88,'Données projet'!$A$35:$I$55,3,0)),0,VLOOKUP(A88,'Données projet'!$A$35:$I$55,3,0))</f>
        <v>16</v>
      </c>
      <c r="V88" s="15">
        <f>IF(ISNA(VLOOKUP(A88,'Données projet'!$A$35:$I$55,4,0)),0,VLOOKUP(A88,'Données projet'!$A$35:$I$55,4,0))</f>
        <v>16</v>
      </c>
      <c r="W88" s="16">
        <f>IF(ISNA(VLOOKUP(A88,'Données projet'!$A$35:$I$55,5,0)),0%,VLOOKUP(A88,'Données projet'!$A$35:$I$55,5,0)*VLOOKUP('Données projet'!$B$9,Paramètres!$A$1:$I$89,7,0))</f>
        <v>0.38700000000000001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53.992593678395046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1.8918231472169161E-5</v>
      </c>
      <c r="AC88" s="22">
        <f t="shared" si="57"/>
        <v>53.992612596626522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4.3</v>
      </c>
      <c r="AI88" s="13">
        <f>IF('Données projet'!$A$62&gt;35,AI87+AH88-AQ87,IF(A88&lt;'Données projet'!$A$62,$AF$205^A88,IF(A88='Données projet'!$A$62,'Données projet'!$B$62,AI87+AH88-AQ87)))</f>
        <v>199.49999999999974</v>
      </c>
      <c r="AJ88" s="13">
        <f>AI88*VLOOKUP('Données projet'!$B$10,Paramètres!$A$1:$I$89,3,0)*VLOOKUP('Données projet'!$B$10,Paramètres!$A$1:$I$89,5,0)</f>
        <v>199.18079999999975</v>
      </c>
      <c r="AK88" s="13">
        <f t="shared" si="89"/>
        <v>49.564089376413641</v>
      </c>
      <c r="AL88" s="20">
        <f t="shared" si="58"/>
        <v>433.23068233058666</v>
      </c>
      <c r="AM88" s="59">
        <f t="shared" si="59"/>
        <v>726.56401566391992</v>
      </c>
      <c r="AN88" s="59">
        <f ca="1">AVERAGE(OFFSET($AM$3,0,0,'Données projet'!$E$10+1,1))-AVERAGE(OFFSET($H$3,0,0,'Données projet'!$E$10+1,1))</f>
        <v>206.53345322763442</v>
      </c>
      <c r="AO88" s="59">
        <f t="shared" si="90"/>
        <v>96.700732426680929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20.135242796198366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1.4658369470790415E-4</v>
      </c>
      <c r="AX88" s="21">
        <f t="shared" si="60"/>
        <v>20.135389379893073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6.6</v>
      </c>
      <c r="BD88" s="12">
        <f>IF('Données projet'!$A$88&gt;35,BD87+BC88-BL87,IF(A88&lt;'Données projet'!$A$88,$BA$205^A88,IF(A88='Données projet'!$A$88,'Données projet'!$B$88,BD87+BC88-BL87)))</f>
        <v>324.99999999999989</v>
      </c>
      <c r="BE88" s="13">
        <f>BD88*VLOOKUP('Données projet'!$B$11,Paramètres!$A$1:$I$89,3,0)*VLOOKUP('Données projet'!$B$11,Paramètres!$A$1:$I$89,5,0)</f>
        <v>273.77999999999992</v>
      </c>
      <c r="BF88" s="13">
        <f t="shared" si="91"/>
        <v>65.650830427167435</v>
      </c>
      <c r="BG88" s="20">
        <f t="shared" si="61"/>
        <v>591.17536299398307</v>
      </c>
      <c r="BH88" s="59">
        <f t="shared" si="62"/>
        <v>884.50869632731633</v>
      </c>
      <c r="BI88" s="59">
        <f ca="1">AVERAGE(OFFSET($BH$3,0,0,'Données projet'!$E$11+1,1))-AVERAGE(OFFSET($H$3,0,0,'Données projet'!$E$11+1,1))</f>
        <v>328.34986205643321</v>
      </c>
      <c r="BJ88" s="59">
        <f t="shared" si="92"/>
        <v>251.60894449147008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27.873537020189335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7.7391595331756628E-6</v>
      </c>
      <c r="BS88" s="22">
        <f t="shared" si="63"/>
        <v>27.873544759348867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6.6</v>
      </c>
      <c r="BY88" s="12">
        <f>IF('Données projet'!$A$114&gt;35,BY87+BX88-CG87,IF(A88&lt;'Données projet'!$A$114,$BV$205^A88,IF(A88='Données projet'!$A$114,'Données projet'!$B$114,BY87+BX88-CG87)))</f>
        <v>324.99999999999989</v>
      </c>
      <c r="BZ88" s="13">
        <f>BY88*VLOOKUP('Données projet'!$B$12,Paramètres!$A$1:$I$89,3,0)*VLOOKUP('Données projet'!$B$12,Paramètres!$A$1:$I$89,5,0)</f>
        <v>294.05999999999989</v>
      </c>
      <c r="CA88" s="13">
        <f t="shared" si="93"/>
        <v>69.929765653573313</v>
      </c>
      <c r="CB88" s="20">
        <f t="shared" si="64"/>
        <v>633.94884184663999</v>
      </c>
      <c r="CC88" s="59">
        <f t="shared" si="65"/>
        <v>927.28217517997336</v>
      </c>
      <c r="CD88" s="59">
        <f ca="1">AVERAGE(OFFSET($CC$3,0,0,'Données projet'!$E$12+1,1))-AVERAGE(OFFSET($H$3,0,0,'Données projet'!$E$12+1,1))</f>
        <v>360.44607552967267</v>
      </c>
      <c r="CE88" s="59">
        <f t="shared" si="94"/>
        <v>271.54361159160169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29.93824346612929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8.3124306097071978E-6</v>
      </c>
      <c r="CN88" s="22">
        <f t="shared" si="66"/>
        <v>29.938251778559898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309.89554000341082</v>
      </c>
      <c r="CZ88" s="59">
        <f t="shared" si="96"/>
        <v>465.9235824539021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85.359341013994239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4.5124633417905722E-5</v>
      </c>
      <c r="DI88" s="22">
        <f t="shared" si="69"/>
        <v>85.359386138627656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3.4</v>
      </c>
      <c r="N89" s="13">
        <f>IF('Données projet'!$A$36&gt;35,N88+M89-V88,IF(A89&lt;'Données projet'!$A$36,$K$205^A89,IF(A89='Données projet'!$A$36,'Données projet'!$B$36,N88+M89-V88)))</f>
        <v>254.40000000000003</v>
      </c>
      <c r="O89" s="13">
        <f>N89*VLOOKUP('Données projet'!$B$9,Paramètres!$A$1:$I$89,3,0)*VLOOKUP('Données projet'!$B$9,Paramètres!$A$1:$I$89,5,0)</f>
        <v>222.24384000000006</v>
      </c>
      <c r="P89" s="13">
        <f t="shared" si="87"/>
        <v>54.602284860895942</v>
      </c>
      <c r="Q89" s="20">
        <f t="shared" si="54"/>
        <v>482.17366746606058</v>
      </c>
      <c r="R89" s="59">
        <f t="shared" si="55"/>
        <v>775.50700079939384</v>
      </c>
      <c r="S89" s="59">
        <f ca="1">AVERAGE(OFFSET($R$3,0,0,'Données projet'!$E$9+1,1))-AVERAGE(OFFSET($H$3,0,0,'Données projet'!$E$9+1,1))</f>
        <v>281.82797419088109</v>
      </c>
      <c r="T89" s="59">
        <f t="shared" si="88"/>
        <v>298.98873283425371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52.933831848592078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1.3377209762027576E-5</v>
      </c>
      <c r="AC89" s="22">
        <f t="shared" si="57"/>
        <v>52.933845225801839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4.3</v>
      </c>
      <c r="AI89" s="13">
        <f>IF('Données projet'!$A$62&gt;35,AI88+AH89-AQ88,IF(A89&lt;'Données projet'!$A$62,$AF$205^A89,IF(A89='Données projet'!$A$62,'Données projet'!$B$62,AI88+AH89-AQ88)))</f>
        <v>203.79999999999976</v>
      </c>
      <c r="AJ89" s="13">
        <f>AI89*VLOOKUP('Données projet'!$B$10,Paramètres!$A$1:$I$89,3,0)*VLOOKUP('Données projet'!$B$10,Paramètres!$A$1:$I$89,5,0)</f>
        <v>203.47391999999977</v>
      </c>
      <c r="AK89" s="13">
        <f t="shared" si="89"/>
        <v>50.506863347247801</v>
      </c>
      <c r="AL89" s="20">
        <f t="shared" si="58"/>
        <v>442.34986432978945</v>
      </c>
      <c r="AM89" s="59">
        <f t="shared" si="59"/>
        <v>735.68319766312277</v>
      </c>
      <c r="AN89" s="59">
        <f ca="1">AVERAGE(OFFSET($AM$3,0,0,'Données projet'!$E$10+1,1))-AVERAGE(OFFSET($H$3,0,0,'Données projet'!$E$10+1,1))</f>
        <v>206.53345322763442</v>
      </c>
      <c r="AO89" s="59">
        <f t="shared" si="90"/>
        <v>96.700732426680929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19.740402966250347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1.0365032453933766E-4</v>
      </c>
      <c r="AX89" s="21">
        <f t="shared" si="60"/>
        <v>19.740506616574887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6.6</v>
      </c>
      <c r="BD89" s="12">
        <f>IF('Données projet'!$A$88&gt;35,BD88+BC89-BL88,IF(A89&lt;'Données projet'!$A$88,$BA$205^A89,IF(A89='Données projet'!$A$88,'Données projet'!$B$88,BD88+BC89-BL88)))</f>
        <v>331.59999999999991</v>
      </c>
      <c r="BE89" s="13">
        <f>BD89*VLOOKUP('Données projet'!$B$11,Paramètres!$A$1:$I$89,3,0)*VLOOKUP('Données projet'!$B$11,Paramètres!$A$1:$I$89,5,0)</f>
        <v>279.33983999999998</v>
      </c>
      <c r="BF89" s="13">
        <f t="shared" si="91"/>
        <v>66.827478935410426</v>
      </c>
      <c r="BG89" s="20">
        <f t="shared" si="61"/>
        <v>602.90808047917312</v>
      </c>
      <c r="BH89" s="59">
        <f t="shared" si="62"/>
        <v>896.24141381250638</v>
      </c>
      <c r="BI89" s="59">
        <f ca="1">AVERAGE(OFFSET($BH$3,0,0,'Données projet'!$E$11+1,1))-AVERAGE(OFFSET($H$3,0,0,'Données projet'!$E$11+1,1))</f>
        <v>328.34986205643321</v>
      </c>
      <c r="BJ89" s="59">
        <f t="shared" si="92"/>
        <v>251.60894449147008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27.326953960402278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5.4724121865930267E-6</v>
      </c>
      <c r="BS89" s="22">
        <f t="shared" si="63"/>
        <v>27.326959432814466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6.6</v>
      </c>
      <c r="BY89" s="12">
        <f>IF('Données projet'!$A$114&gt;35,BY88+BX89-CG88,IF(A89&lt;'Données projet'!$A$114,$BV$205^A89,IF(A89='Données projet'!$A$114,'Données projet'!$B$114,BY88+BX89-CG88)))</f>
        <v>331.59999999999991</v>
      </c>
      <c r="BZ89" s="13">
        <f>BY89*VLOOKUP('Données projet'!$B$12,Paramètres!$A$1:$I$89,3,0)*VLOOKUP('Données projet'!$B$12,Paramètres!$A$1:$I$89,5,0)</f>
        <v>300.03167999999994</v>
      </c>
      <c r="CA89" s="13">
        <f t="shared" si="93"/>
        <v>71.183104779714938</v>
      </c>
      <c r="CB89" s="20">
        <f t="shared" si="64"/>
        <v>646.53241682467001</v>
      </c>
      <c r="CC89" s="59">
        <f t="shared" si="65"/>
        <v>939.86575015800327</v>
      </c>
      <c r="CD89" s="59">
        <f ca="1">AVERAGE(OFFSET($CC$3,0,0,'Données projet'!$E$12+1,1))-AVERAGE(OFFSET($H$3,0,0,'Données projet'!$E$12+1,1))</f>
        <v>360.44607552967267</v>
      </c>
      <c r="CE89" s="59">
        <f t="shared" si="94"/>
        <v>271.54361159160169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29.351172772283931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5.8777760522665873E-6</v>
      </c>
      <c r="CN89" s="22">
        <f t="shared" si="66"/>
        <v>29.351178650059982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309.89554000341082</v>
      </c>
      <c r="CZ89" s="59">
        <f t="shared" si="96"/>
        <v>465.9235824539021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83.685496400766937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3.1907934288358231E-5</v>
      </c>
      <c r="DI89" s="22">
        <f t="shared" si="69"/>
        <v>83.685528308701222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3.4</v>
      </c>
      <c r="N90" s="13">
        <f>IF('Données projet'!$A$36&gt;35,N89+M90-V89,IF(A90&lt;'Données projet'!$A$36,$K$205^A90,IF(A90='Données projet'!$A$36,'Données projet'!$B$36,N89+M90-V89)))</f>
        <v>257.8</v>
      </c>
      <c r="O90" s="13">
        <f>N90*VLOOKUP('Données projet'!$B$9,Paramètres!$A$1:$I$89,3,0)*VLOOKUP('Données projet'!$B$9,Paramètres!$A$1:$I$89,5,0)</f>
        <v>225.21408000000005</v>
      </c>
      <c r="P90" s="13">
        <f t="shared" si="87"/>
        <v>55.246590695846493</v>
      </c>
      <c r="Q90" s="20">
        <f t="shared" si="54"/>
        <v>488.46900146193275</v>
      </c>
      <c r="R90" s="59">
        <f t="shared" si="55"/>
        <v>781.80233479526601</v>
      </c>
      <c r="S90" s="59">
        <f ca="1">AVERAGE(OFFSET($R$3,0,0,'Données projet'!$E$9+1,1))-AVERAGE(OFFSET($H$3,0,0,'Données projet'!$E$9+1,1))</f>
        <v>281.82797419088109</v>
      </c>
      <c r="T90" s="59">
        <f t="shared" si="88"/>
        <v>298.98873283425371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51.895831692490596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9.4591157360845806E-6</v>
      </c>
      <c r="AC90" s="22">
        <f t="shared" si="57"/>
        <v>51.895841151606334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4.3</v>
      </c>
      <c r="AI90" s="13">
        <f>IF('Données projet'!$A$62&gt;35,AI89+AH90-AQ89,IF(A90&lt;'Données projet'!$A$62,$AF$205^A90,IF(A90='Données projet'!$A$62,'Données projet'!$B$62,AI89+AH90-AQ89)))</f>
        <v>208.09999999999977</v>
      </c>
      <c r="AJ90" s="13">
        <f>AI90*VLOOKUP('Données projet'!$B$10,Paramètres!$A$1:$I$89,3,0)*VLOOKUP('Données projet'!$B$10,Paramètres!$A$1:$I$89,5,0)</f>
        <v>207.76703999999978</v>
      </c>
      <c r="AK90" s="13">
        <f t="shared" si="89"/>
        <v>51.447324583948735</v>
      </c>
      <c r="AL90" s="20">
        <f t="shared" si="58"/>
        <v>451.46501831704364</v>
      </c>
      <c r="AM90" s="59">
        <f t="shared" si="59"/>
        <v>744.79835165037696</v>
      </c>
      <c r="AN90" s="59">
        <f ca="1">AVERAGE(OFFSET($AM$3,0,0,'Données projet'!$E$10+1,1))-AVERAGE(OFFSET($H$3,0,0,'Données projet'!$E$10+1,1))</f>
        <v>206.53345322763442</v>
      </c>
      <c r="AO90" s="59">
        <f t="shared" si="90"/>
        <v>96.700732426680929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19.353305704539089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7.3291847353952074E-5</v>
      </c>
      <c r="AX90" s="21">
        <f t="shared" si="60"/>
        <v>19.353378996386443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6.6</v>
      </c>
      <c r="BD90" s="12">
        <f>IF('Données projet'!$A$88&gt;35,BD89+BC90-BL89,IF(A90&lt;'Données projet'!$A$88,$BA$205^A90,IF(A90='Données projet'!$A$88,'Données projet'!$B$88,BD89+BC90-BL89)))</f>
        <v>338.19999999999993</v>
      </c>
      <c r="BE90" s="13">
        <f>BD90*VLOOKUP('Données projet'!$B$11,Paramètres!$A$1:$I$89,3,0)*VLOOKUP('Données projet'!$B$11,Paramètres!$A$1:$I$89,5,0)</f>
        <v>284.89967999999999</v>
      </c>
      <c r="BF90" s="13">
        <f t="shared" si="91"/>
        <v>68.001404388285337</v>
      </c>
      <c r="BG90" s="20">
        <f t="shared" si="61"/>
        <v>614.63605530959683</v>
      </c>
      <c r="BH90" s="59">
        <f t="shared" si="62"/>
        <v>907.9693886429302</v>
      </c>
      <c r="BI90" s="59">
        <f ca="1">AVERAGE(OFFSET($BH$3,0,0,'Données projet'!$E$11+1,1))-AVERAGE(OFFSET($H$3,0,0,'Données projet'!$E$11+1,1))</f>
        <v>328.34986205643321</v>
      </c>
      <c r="BJ90" s="59">
        <f t="shared" si="92"/>
        <v>251.60894449147008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26.791089061034896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3.8695797665878314E-6</v>
      </c>
      <c r="BS90" s="22">
        <f t="shared" si="63"/>
        <v>26.791092930614663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6.6</v>
      </c>
      <c r="BY90" s="12">
        <f>IF('Données projet'!$A$114&gt;35,BY89+BX90-CG89,IF(A90&lt;'Données projet'!$A$114,$BV$205^A90,IF(A90='Données projet'!$A$114,'Données projet'!$B$114,BY89+BX90-CG89)))</f>
        <v>338.19999999999993</v>
      </c>
      <c r="BZ90" s="13">
        <f>BY90*VLOOKUP('Données projet'!$B$12,Paramètres!$A$1:$I$89,3,0)*VLOOKUP('Données projet'!$B$12,Paramètres!$A$1:$I$89,5,0)</f>
        <v>306.00335999999993</v>
      </c>
      <c r="CA90" s="13">
        <f t="shared" si="93"/>
        <v>72.433543369450447</v>
      </c>
      <c r="CB90" s="20">
        <f t="shared" si="64"/>
        <v>659.11094003512596</v>
      </c>
      <c r="CC90" s="59">
        <f t="shared" si="65"/>
        <v>952.44427336845933</v>
      </c>
      <c r="CD90" s="59">
        <f ca="1">AVERAGE(OFFSET($CC$3,0,0,'Données projet'!$E$12+1,1))-AVERAGE(OFFSET($H$3,0,0,'Données projet'!$E$12+1,1))</f>
        <v>360.44607552967267</v>
      </c>
      <c r="CE90" s="59">
        <f t="shared" si="94"/>
        <v>271.54361159160169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28.775614176667116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4.1562153048535989E-6</v>
      </c>
      <c r="CN90" s="22">
        <f t="shared" si="66"/>
        <v>28.77561833288242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309.89554000341082</v>
      </c>
      <c r="CZ90" s="59">
        <f t="shared" si="96"/>
        <v>465.9235824539021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82.044474859460607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2.2562316708952861E-5</v>
      </c>
      <c r="DI90" s="22">
        <f t="shared" si="69"/>
        <v>82.044497421777322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3.4</v>
      </c>
      <c r="N91" s="13">
        <f>IF('Données projet'!$A$36&gt;35,N90+M91-V90,IF(A91&lt;'Données projet'!$A$36,$K$205^A91,IF(A91='Données projet'!$A$36,'Données projet'!$B$36,N90+M91-V90)))</f>
        <v>261.2</v>
      </c>
      <c r="O91" s="13">
        <f>N91*VLOOKUP('Données projet'!$B$9,Paramètres!$A$1:$I$89,3,0)*VLOOKUP('Données projet'!$B$9,Paramètres!$A$1:$I$89,5,0)</f>
        <v>228.18432000000004</v>
      </c>
      <c r="P91" s="13">
        <f t="shared" si="87"/>
        <v>55.889908157388689</v>
      </c>
      <c r="Q91" s="20">
        <f t="shared" si="54"/>
        <v>494.76261404078542</v>
      </c>
      <c r="R91" s="59">
        <f t="shared" si="55"/>
        <v>788.09594737411874</v>
      </c>
      <c r="S91" s="59">
        <f ca="1">AVERAGE(OFFSET($R$3,0,0,'Données projet'!$E$9+1,1))-AVERAGE(OFFSET($H$3,0,0,'Données projet'!$E$9+1,1))</f>
        <v>281.82797419088109</v>
      </c>
      <c r="T91" s="59">
        <f t="shared" si="88"/>
        <v>298.98873283425371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50.878186086332683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6.688604881013788E-6</v>
      </c>
      <c r="AC91" s="22">
        <f t="shared" si="57"/>
        <v>50.878192774937567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4.3</v>
      </c>
      <c r="AI91" s="13">
        <f>IF('Données projet'!$A$62&gt;35,AI90+AH91-AQ90,IF(A91&lt;'Données projet'!$A$62,$AF$205^A91,IF(A91='Données projet'!$A$62,'Données projet'!$B$62,AI90+AH91-AQ90)))</f>
        <v>212.39999999999978</v>
      </c>
      <c r="AJ91" s="13">
        <f>AI91*VLOOKUP('Données projet'!$B$10,Paramètres!$A$1:$I$89,3,0)*VLOOKUP('Données projet'!$B$10,Paramètres!$A$1:$I$89,5,0)</f>
        <v>212.0601599999998</v>
      </c>
      <c r="AK91" s="13">
        <f t="shared" si="89"/>
        <v>52.385526380984977</v>
      </c>
      <c r="AL91" s="20">
        <f t="shared" si="58"/>
        <v>460.57623711354853</v>
      </c>
      <c r="AM91" s="59">
        <f t="shared" si="59"/>
        <v>753.90957044688184</v>
      </c>
      <c r="AN91" s="59">
        <f ca="1">AVERAGE(OFFSET($AM$3,0,0,'Données projet'!$E$10+1,1))-AVERAGE(OFFSET($H$3,0,0,'Données projet'!$E$10+1,1))</f>
        <v>206.53345322763442</v>
      </c>
      <c r="AO91" s="59">
        <f t="shared" si="90"/>
        <v>96.700732426680929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18.973799184023974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5.1825162269668832E-5</v>
      </c>
      <c r="AX91" s="21">
        <f t="shared" si="60"/>
        <v>18.973851009186244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6.6</v>
      </c>
      <c r="BD91" s="12">
        <f>IF('Données projet'!$A$88&gt;35,BD90+BC91-BL90,IF(A91&lt;'Données projet'!$A$88,$BA$205^A91,IF(A91='Données projet'!$A$88,'Données projet'!$B$88,BD90+BC91-BL90)))</f>
        <v>344.79999999999995</v>
      </c>
      <c r="BE91" s="13">
        <f>BD91*VLOOKUP('Données projet'!$B$11,Paramètres!$A$1:$I$89,3,0)*VLOOKUP('Données projet'!$B$11,Paramètres!$A$1:$I$89,5,0)</f>
        <v>290.45952</v>
      </c>
      <c r="BF91" s="13">
        <f t="shared" si="91"/>
        <v>69.172666052266209</v>
      </c>
      <c r="BG91" s="20">
        <f t="shared" si="61"/>
        <v>626.35939070769689</v>
      </c>
      <c r="BH91" s="59">
        <f t="shared" si="62"/>
        <v>919.69272404103026</v>
      </c>
      <c r="BI91" s="59">
        <f ca="1">AVERAGE(OFFSET($BH$3,0,0,'Données projet'!$E$11+1,1))-AVERAGE(OFFSET($H$3,0,0,'Données projet'!$E$11+1,1))</f>
        <v>328.34986205643321</v>
      </c>
      <c r="BJ91" s="59">
        <f t="shared" si="92"/>
        <v>251.60894449147008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26.265732145498795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2.7362060932965133E-6</v>
      </c>
      <c r="BS91" s="22">
        <f t="shared" si="63"/>
        <v>26.265734881704887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6.6</v>
      </c>
      <c r="BY91" s="12">
        <f>IF('Données projet'!$A$114&gt;35,BY90+BX91-CG90,IF(A91&lt;'Données projet'!$A$114,$BV$205^A91,IF(A91='Données projet'!$A$114,'Données projet'!$B$114,BY90+BX91-CG90)))</f>
        <v>344.79999999999995</v>
      </c>
      <c r="BZ91" s="13">
        <f>BY91*VLOOKUP('Données projet'!$B$12,Paramètres!$A$1:$I$89,3,0)*VLOOKUP('Données projet'!$B$12,Paramètres!$A$1:$I$89,5,0)</f>
        <v>311.97503999999992</v>
      </c>
      <c r="CA91" s="13">
        <f t="shared" si="93"/>
        <v>73.681144552074599</v>
      </c>
      <c r="CB91" s="20">
        <f t="shared" si="64"/>
        <v>671.68452142819649</v>
      </c>
      <c r="CC91" s="59">
        <f t="shared" si="65"/>
        <v>965.01785476152986</v>
      </c>
      <c r="CD91" s="59">
        <f ca="1">AVERAGE(OFFSET($CC$3,0,0,'Données projet'!$E$12+1,1))-AVERAGE(OFFSET($H$3,0,0,'Données projet'!$E$12+1,1))</f>
        <v>360.44607552967267</v>
      </c>
      <c r="CE91" s="59">
        <f t="shared" si="94"/>
        <v>271.54361159160169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28.211341934054264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2.9388880261332937E-6</v>
      </c>
      <c r="CN91" s="22">
        <f t="shared" si="66"/>
        <v>28.211344872942291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309.89554000341082</v>
      </c>
      <c r="CZ91" s="59">
        <f t="shared" si="96"/>
        <v>465.9235824539021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80.435632749654999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1.5953967144179116E-5</v>
      </c>
      <c r="DI91" s="22">
        <f t="shared" si="69"/>
        <v>80.435648703622149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3.4</v>
      </c>
      <c r="N92" s="13">
        <f>IF('Données projet'!$A$36&gt;35,N91+M92-V91,IF(A92&lt;'Données projet'!$A$36,$K$205^A92,IF(A92='Données projet'!$A$36,'Données projet'!$B$36,N91+M92-V91)))</f>
        <v>264.59999999999997</v>
      </c>
      <c r="O92" s="13">
        <f>N92*VLOOKUP('Données projet'!$B$9,Paramètres!$A$1:$I$89,3,0)*VLOOKUP('Données projet'!$B$9,Paramètres!$A$1:$I$89,5,0)</f>
        <v>231.15455999999998</v>
      </c>
      <c r="P92" s="13">
        <f t="shared" si="87"/>
        <v>56.532251598510484</v>
      </c>
      <c r="Q92" s="20">
        <f t="shared" si="54"/>
        <v>501.05453020073901</v>
      </c>
      <c r="R92" s="59">
        <f t="shared" si="55"/>
        <v>794.38786353407227</v>
      </c>
      <c r="S92" s="59">
        <f ca="1">AVERAGE(OFFSET($R$3,0,0,'Données projet'!$E$9+1,1))-AVERAGE(OFFSET($H$3,0,0,'Données projet'!$E$9+1,1))</f>
        <v>281.82797419088109</v>
      </c>
      <c r="T92" s="59">
        <f t="shared" si="88"/>
        <v>298.98873283425371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49.880495889808991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4.7295578680422903E-6</v>
      </c>
      <c r="AC92" s="22">
        <f t="shared" si="57"/>
        <v>49.880500619366856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4.3</v>
      </c>
      <c r="AI92" s="13">
        <f>IF('Données projet'!$A$62&gt;35,AI91+AH92-AQ91,IF(A92&lt;'Données projet'!$A$62,$AF$205^A92,IF(A92='Données projet'!$A$62,'Données projet'!$B$62,AI91+AH92-AQ91)))</f>
        <v>216.69999999999979</v>
      </c>
      <c r="AJ92" s="13">
        <f>AI92*VLOOKUP('Données projet'!$B$10,Paramètres!$A$1:$I$89,3,0)*VLOOKUP('Données projet'!$B$10,Paramètres!$A$1:$I$89,5,0)</f>
        <v>216.35327999999981</v>
      </c>
      <c r="AK92" s="13">
        <f t="shared" si="89"/>
        <v>53.321519751583573</v>
      </c>
      <c r="AL92" s="20">
        <f t="shared" si="58"/>
        <v>469.68360956734114</v>
      </c>
      <c r="AM92" s="59">
        <f t="shared" si="59"/>
        <v>763.01694290067439</v>
      </c>
      <c r="AN92" s="59">
        <f ca="1">AVERAGE(OFFSET($AM$3,0,0,'Données projet'!$E$10+1,1))-AVERAGE(OFFSET($H$3,0,0,'Données projet'!$E$10+1,1))</f>
        <v>206.53345322763442</v>
      </c>
      <c r="AO92" s="59">
        <f t="shared" si="90"/>
        <v>96.700732426680929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18.601734554900041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3.6645923676976037E-5</v>
      </c>
      <c r="AX92" s="21">
        <f t="shared" si="60"/>
        <v>18.60177120082372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6.6</v>
      </c>
      <c r="BD92" s="12">
        <f>IF('Données projet'!$A$88&gt;35,BD91+BC92-BL91,IF(A92&lt;'Données projet'!$A$88,$BA$205^A92,IF(A92='Données projet'!$A$88,'Données projet'!$B$88,BD91+BC92-BL91)))</f>
        <v>351.4</v>
      </c>
      <c r="BE92" s="13">
        <f>BD92*VLOOKUP('Données projet'!$B$11,Paramètres!$A$1:$I$89,3,0)*VLOOKUP('Données projet'!$B$11,Paramètres!$A$1:$I$89,5,0)</f>
        <v>296.01936000000001</v>
      </c>
      <c r="BF92" s="13">
        <f t="shared" si="91"/>
        <v>70.341320795108345</v>
      </c>
      <c r="BG92" s="20">
        <f t="shared" si="61"/>
        <v>638.07818571814698</v>
      </c>
      <c r="BH92" s="59">
        <f t="shared" si="62"/>
        <v>931.41151905148035</v>
      </c>
      <c r="BI92" s="59">
        <f ca="1">AVERAGE(OFFSET($BH$3,0,0,'Données projet'!$E$11+1,1))-AVERAGE(OFFSET($H$3,0,0,'Données projet'!$E$11+1,1))</f>
        <v>328.34986205643321</v>
      </c>
      <c r="BJ92" s="59">
        <f t="shared" si="92"/>
        <v>251.60894449147008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25.750677158640279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1.9347898832939157E-6</v>
      </c>
      <c r="BS92" s="22">
        <f t="shared" si="63"/>
        <v>25.750679093430161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6.6</v>
      </c>
      <c r="BY92" s="12">
        <f>IF('Données projet'!$A$114&gt;35,BY91+BX92-CG91,IF(A92&lt;'Données projet'!$A$114,$BV$205^A92,IF(A92='Données projet'!$A$114,'Données projet'!$B$114,BY91+BX92-CG91)))</f>
        <v>351.4</v>
      </c>
      <c r="BZ92" s="13">
        <f>BY92*VLOOKUP('Données projet'!$B$12,Paramètres!$A$1:$I$89,3,0)*VLOOKUP('Données projet'!$B$12,Paramètres!$A$1:$I$89,5,0)</f>
        <v>317.94671999999997</v>
      </c>
      <c r="CA92" s="13">
        <f t="shared" si="93"/>
        <v>74.925968901822259</v>
      </c>
      <c r="CB92" s="20">
        <f t="shared" si="64"/>
        <v>684.253266504007</v>
      </c>
      <c r="CC92" s="59">
        <f t="shared" si="65"/>
        <v>977.58659983734037</v>
      </c>
      <c r="CD92" s="59">
        <f ca="1">AVERAGE(OFFSET($CC$3,0,0,'Données projet'!$E$12+1,1))-AVERAGE(OFFSET($H$3,0,0,'Données projet'!$E$12+1,1))</f>
        <v>360.44607552967267</v>
      </c>
      <c r="CE92" s="59">
        <f t="shared" si="94"/>
        <v>271.54361159160169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27.658134725946969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2.0781076524267994E-6</v>
      </c>
      <c r="CN92" s="22">
        <f t="shared" si="66"/>
        <v>27.658136804054621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309.89554000341082</v>
      </c>
      <c r="CZ92" s="59">
        <f t="shared" si="96"/>
        <v>465.9235824539021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78.858339052325888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1.1281158354476431E-5</v>
      </c>
      <c r="DI92" s="22">
        <f t="shared" si="69"/>
        <v>78.858350333484239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268</v>
      </c>
      <c r="L93" s="12">
        <f>VLOOKUP(A93,'Données projet'!$A$35:$I$55,9,0)</f>
        <v>3.4</v>
      </c>
      <c r="M93" s="12">
        <f t="array" ref="M93">INDEX(L:L,MIN(IF(ISNUMBER(L93:L289),ROW(L93:L289),"")))</f>
        <v>3.4</v>
      </c>
      <c r="N93" s="13">
        <f>IF('Données projet'!$A$36&gt;35,N92+M93-V92,IF(A93&lt;'Données projet'!$A$36,$K$205^A93,IF(A93='Données projet'!$A$36,'Données projet'!$B$36,N92+M93-V92)))</f>
        <v>267.99999999999994</v>
      </c>
      <c r="O93" s="13">
        <f>N93*VLOOKUP('Données projet'!$B$9,Paramètres!$A$1:$I$89,3,0)*VLOOKUP('Données projet'!$B$9,Paramètres!$A$1:$I$89,5,0)</f>
        <v>234.12479999999999</v>
      </c>
      <c r="P93" s="13">
        <f t="shared" si="87"/>
        <v>57.173634982132555</v>
      </c>
      <c r="Q93" s="20">
        <f t="shared" si="54"/>
        <v>507.34477426054747</v>
      </c>
      <c r="R93" s="59">
        <f t="shared" si="55"/>
        <v>800.67810759388078</v>
      </c>
      <c r="S93" s="59">
        <f ca="1">AVERAGE(OFFSET($R$3,0,0,'Données projet'!$E$9+1,1))-AVERAGE(OFFSET($H$3,0,0,'Données projet'!$E$9+1,1))</f>
        <v>281.82797419088109</v>
      </c>
      <c r="T93" s="59">
        <f t="shared" si="88"/>
        <v>298.98873283425371</v>
      </c>
      <c r="U93" s="15">
        <f>IF(ISNA(VLOOKUP(A93,'Données projet'!$A$35:$I$55,3,0)),0,VLOOKUP(A93,'Données projet'!$A$35:$I$55,3,0))</f>
        <v>17</v>
      </c>
      <c r="V93" s="15">
        <f>IF(ISNA(VLOOKUP(A93,'Données projet'!$A$35:$I$55,4,0)),0,VLOOKUP(A93,'Données projet'!$A$35:$I$55,4,0))</f>
        <v>14</v>
      </c>
      <c r="W93" s="16">
        <f>IF(ISNA(VLOOKUP(A93,'Données projet'!$A$35:$I$55,5,0)),0%,VLOOKUP(A93,'Données projet'!$A$35:$I$55,5,0)*VLOOKUP('Données projet'!$B$9,Paramètres!$A$1:$I$89,7,0))</f>
        <v>0.38700000000000001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54.134743277356201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3.344302440506894E-6</v>
      </c>
      <c r="AC93" s="22">
        <f t="shared" si="57"/>
        <v>54.134746621658643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221</v>
      </c>
      <c r="AG93" s="12">
        <f>VLOOKUP(A93,'Données projet'!$A$61:$I$81,9,0)</f>
        <v>4.3</v>
      </c>
      <c r="AH93" s="12">
        <f t="array" ref="AH93">INDEX(AG:AG,MIN(IF(ISNUMBER(AG93:AG289),ROW(AG93:AG289),"")))</f>
        <v>4.3</v>
      </c>
      <c r="AI93" s="13">
        <f>IF('Données projet'!$A$62&gt;35,AI92+AH93-AQ92,IF(A93&lt;'Données projet'!$A$62,$AF$205^A93,IF(A93='Données projet'!$A$62,'Données projet'!$B$62,AI92+AH93-AQ92)))</f>
        <v>220.9999999999998</v>
      </c>
      <c r="AJ93" s="13">
        <f>AI93*VLOOKUP('Données projet'!$B$10,Paramètres!$A$1:$I$89,3,0)*VLOOKUP('Données projet'!$B$10,Paramètres!$A$1:$I$89,5,0)</f>
        <v>220.64639999999983</v>
      </c>
      <c r="AK93" s="13">
        <f t="shared" si="89"/>
        <v>54.255353568674273</v>
      </c>
      <c r="AL93" s="20">
        <f t="shared" si="58"/>
        <v>478.78722079877406</v>
      </c>
      <c r="AM93" s="59">
        <f t="shared" si="59"/>
        <v>772.12055413210737</v>
      </c>
      <c r="AN93" s="59">
        <f ca="1">AVERAGE(OFFSET($AM$3,0,0,'Données projet'!$E$10+1,1))-AVERAGE(OFFSET($H$3,0,0,'Données projet'!$E$10+1,1))</f>
        <v>206.53345322763442</v>
      </c>
      <c r="AO93" s="59">
        <f t="shared" si="90"/>
        <v>96.700732426680929</v>
      </c>
      <c r="AP93" s="15">
        <f>IF(ISNA(VLOOKUP(A93,'Données projet'!$A$61:$I$81,3,0)),0,VLOOKUP(A93,'Données projet'!$A$61:$I$81,3,0))</f>
        <v>7</v>
      </c>
      <c r="AQ93" s="15">
        <f>IF(ISNA(VLOOKUP(A93,'Données projet'!$A$61:$I$81,4,0)),0,VLOOKUP(A93,'Données projet'!$A$61:$I$81,4,0))</f>
        <v>28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18.236965886216211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2.5912581134834416E-5</v>
      </c>
      <c r="AX93" s="21">
        <f t="shared" si="60"/>
        <v>18.236991798797344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358</v>
      </c>
      <c r="BB93" s="12">
        <f>VLOOKUP(A93,'Données projet'!$A$87:$I$107,9,0)</f>
        <v>6.6</v>
      </c>
      <c r="BC93" s="12">
        <f t="array" ref="BC93">INDEX(BB:BB,MIN(IF(ISNUMBER(BB93:BB289),ROW(BB93:BB289),"")))</f>
        <v>6.6</v>
      </c>
      <c r="BD93" s="12">
        <f>IF('Données projet'!$A$88&gt;35,BD92+BC93-BL92,IF(A93&lt;'Données projet'!$A$88,$BA$205^A93,IF(A93='Données projet'!$A$88,'Données projet'!$B$88,BD92+BC93-BL92)))</f>
        <v>358</v>
      </c>
      <c r="BE93" s="13">
        <f>BD93*VLOOKUP('Données projet'!$B$11,Paramètres!$A$1:$I$89,3,0)*VLOOKUP('Données projet'!$B$11,Paramètres!$A$1:$I$89,5,0)</f>
        <v>301.57920000000007</v>
      </c>
      <c r="BF93" s="13">
        <f t="shared" si="91"/>
        <v>71.507423226130925</v>
      </c>
      <c r="BG93" s="20">
        <f t="shared" si="61"/>
        <v>649.79253545217807</v>
      </c>
      <c r="BH93" s="59">
        <f t="shared" si="62"/>
        <v>943.12586878551133</v>
      </c>
      <c r="BI93" s="59">
        <f ca="1">AVERAGE(OFFSET($BH$3,0,0,'Données projet'!$E$11+1,1))-AVERAGE(OFFSET($H$3,0,0,'Données projet'!$E$11+1,1))</f>
        <v>328.34986205643321</v>
      </c>
      <c r="BJ93" s="59">
        <f t="shared" si="92"/>
        <v>251.60894449147008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56</v>
      </c>
      <c r="BM93" s="16">
        <f>IF(ISNA(VLOOKUP(A93,'Données projet'!$A$87:$I$107,5,0)),0%,VLOOKUP(A93,'Données projet'!$A$87:$I$107,5,0)*VLOOKUP('Données projet'!$B$11,Paramètres!$A$1:$I$89,7,0))</f>
        <v>0.43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47.670179890984393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1.3681030466482567E-6</v>
      </c>
      <c r="BS93" s="22">
        <f t="shared" si="63"/>
        <v>47.670181259087443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358</v>
      </c>
      <c r="BW93" s="12">
        <f>VLOOKUP(A93,'Données projet'!$A$113:$I$133,9,0)</f>
        <v>6.6</v>
      </c>
      <c r="BX93" s="12">
        <f t="array" ref="BX93">INDEX(BW:BW,MIN(IF(ISNUMBER(BW93:BW289),ROW(BW93:BW289),"")))</f>
        <v>6.6</v>
      </c>
      <c r="BY93" s="12">
        <f>IF('Données projet'!$A$114&gt;35,BY92+BX93-CG92,IF(A93&lt;'Données projet'!$A$114,$BV$205^A93,IF(A93='Données projet'!$A$114,'Données projet'!$B$114,BY92+BX93-CG92)))</f>
        <v>358</v>
      </c>
      <c r="BZ93" s="13">
        <f>BY93*VLOOKUP('Données projet'!$B$12,Paramètres!$A$1:$I$89,3,0)*VLOOKUP('Données projet'!$B$12,Paramètres!$A$1:$I$89,5,0)</f>
        <v>323.91839999999996</v>
      </c>
      <c r="CA93" s="13">
        <f t="shared" si="93"/>
        <v>76.168074587293091</v>
      </c>
      <c r="CB93" s="20">
        <f t="shared" si="64"/>
        <v>696.81727657286876</v>
      </c>
      <c r="CC93" s="59">
        <f t="shared" si="65"/>
        <v>990.15060990620213</v>
      </c>
      <c r="CD93" s="59">
        <f ca="1">AVERAGE(OFFSET($CC$3,0,0,'Données projet'!$E$12+1,1))-AVERAGE(OFFSET($H$3,0,0,'Données projet'!$E$12+1,1))</f>
        <v>360.44607552967267</v>
      </c>
      <c r="CE93" s="59">
        <f t="shared" si="94"/>
        <v>271.54361159160169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56</v>
      </c>
      <c r="CH93" s="16">
        <f>IF(ISNA(VLOOKUP(A93,'Données projet'!$A$113:$I$133,5,0)),0%,VLOOKUP(A93,'Données projet'!$A$113:$I$133,5,0)*VLOOKUP('Données projet'!$B$12,Paramètres!$A$1:$I$89,7,0))</f>
        <v>0.43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51.201304327353611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1.4694440130666468E-6</v>
      </c>
      <c r="CN93" s="22">
        <f t="shared" si="66"/>
        <v>51.201305796797627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309.89554000341082</v>
      </c>
      <c r="CZ93" s="59">
        <f t="shared" si="96"/>
        <v>465.9235824539021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77.311975122347235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7.9769835720895578E-6</v>
      </c>
      <c r="DI93" s="22">
        <f t="shared" si="69"/>
        <v>77.311983099330803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3.2</v>
      </c>
      <c r="N94" s="13">
        <f>IF('Données projet'!$A$36&gt;35,N93+M94-V93,IF(A94&lt;'Données projet'!$A$36,$K$205^A94,IF(A94='Données projet'!$A$36,'Données projet'!$B$36,N93+M94-V93)))</f>
        <v>257.19999999999993</v>
      </c>
      <c r="O94" s="13">
        <f>N94*VLOOKUP('Données projet'!$B$9,Paramètres!$A$1:$I$89,3,0)*VLOOKUP('Données projet'!$B$9,Paramètres!$A$1:$I$89,5,0)</f>
        <v>224.68991999999997</v>
      </c>
      <c r="P94" s="13">
        <f t="shared" si="87"/>
        <v>55.132961900876232</v>
      </c>
      <c r="Q94" s="20">
        <f t="shared" si="54"/>
        <v>487.35818597735943</v>
      </c>
      <c r="R94" s="59">
        <f t="shared" si="55"/>
        <v>780.69151931069268</v>
      </c>
      <c r="S94" s="59">
        <f ca="1">AVERAGE(OFFSET($R$3,0,0,'Données projet'!$E$9+1,1))-AVERAGE(OFFSET($H$3,0,0,'Données projet'!$E$9+1,1))</f>
        <v>281.82797419088109</v>
      </c>
      <c r="T94" s="59">
        <f t="shared" si="88"/>
        <v>298.98873283425371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53.073193980620296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2.3647789340211451E-6</v>
      </c>
      <c r="AC94" s="22">
        <f t="shared" si="57"/>
        <v>53.073196345399232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3.7</v>
      </c>
      <c r="AI94" s="13">
        <f>IF('Données projet'!$A$62&gt;35,AI93+AH94-AQ93,IF(A94&lt;'Données projet'!$A$62,$AF$205^A94,IF(A94='Données projet'!$A$62,'Données projet'!$B$62,AI93+AH94-AQ93)))</f>
        <v>196.69999999999979</v>
      </c>
      <c r="AJ94" s="13">
        <f>AI94*VLOOKUP('Données projet'!$B$10,Paramètres!$A$1:$I$89,3,0)*VLOOKUP('Données projet'!$B$10,Paramètres!$A$1:$I$89,5,0)</f>
        <v>196.3852799999998</v>
      </c>
      <c r="AK94" s="13">
        <f t="shared" si="89"/>
        <v>48.948920378863825</v>
      </c>
      <c r="AL94" s="20">
        <f t="shared" si="58"/>
        <v>427.29039899318741</v>
      </c>
      <c r="AM94" s="59">
        <f t="shared" si="59"/>
        <v>720.62373232652067</v>
      </c>
      <c r="AN94" s="59">
        <f ca="1">AVERAGE(OFFSET($AM$3,0,0,'Données projet'!$E$10+1,1))-AVERAGE(OFFSET($H$3,0,0,'Données projet'!$E$10+1,1))</f>
        <v>206.53345322763442</v>
      </c>
      <c r="AO94" s="59">
        <f t="shared" si="90"/>
        <v>96.700732426680929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17.879350108638352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1.8322961838488018E-5</v>
      </c>
      <c r="AX94" s="21">
        <f t="shared" si="60"/>
        <v>17.879368431600192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5.9</v>
      </c>
      <c r="BD94" s="12">
        <f>IF('Données projet'!$A$88&gt;35,BD93+BC94-BL93,IF(A94&lt;'Données projet'!$A$88,$BA$205^A94,IF(A94='Données projet'!$A$88,'Données projet'!$B$88,BD93+BC94-BL93)))</f>
        <v>307.89999999999998</v>
      </c>
      <c r="BE94" s="13">
        <f>BD94*VLOOKUP('Données projet'!$B$11,Paramètres!$A$1:$I$89,3,0)*VLOOKUP('Données projet'!$B$11,Paramètres!$A$1:$I$89,5,0)</f>
        <v>259.37495999999999</v>
      </c>
      <c r="BF94" s="13">
        <f t="shared" si="91"/>
        <v>62.589126028863561</v>
      </c>
      <c r="BG94" s="20">
        <f t="shared" si="61"/>
        <v>560.7541165002707</v>
      </c>
      <c r="BH94" s="59">
        <f t="shared" si="62"/>
        <v>854.08744983360407</v>
      </c>
      <c r="BI94" s="59">
        <f ca="1">AVERAGE(OFFSET($BH$3,0,0,'Données projet'!$E$11+1,1))-AVERAGE(OFFSET($H$3,0,0,'Données projet'!$E$11+1,1))</f>
        <v>328.34986205643321</v>
      </c>
      <c r="BJ94" s="59">
        <f t="shared" si="92"/>
        <v>251.60894449147008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46.735396739260914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9.6739494164695785E-7</v>
      </c>
      <c r="BS94" s="22">
        <f t="shared" si="63"/>
        <v>46.735397706655853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5.9</v>
      </c>
      <c r="BY94" s="12">
        <f>IF('Données projet'!$A$114&gt;35,BY93+BX94-CG93,IF(A94&lt;'Données projet'!$A$114,$BV$205^A94,IF(A94='Données projet'!$A$114,'Données projet'!$B$114,BY93+BX94-CG93)))</f>
        <v>307.89999999999998</v>
      </c>
      <c r="BZ94" s="13">
        <f>BY94*VLOOKUP('Données projet'!$B$12,Paramètres!$A$1:$I$89,3,0)*VLOOKUP('Données projet'!$B$12,Paramètres!$A$1:$I$89,5,0)</f>
        <v>278.58791999999994</v>
      </c>
      <c r="CA94" s="13">
        <f t="shared" si="93"/>
        <v>66.668508032294213</v>
      </c>
      <c r="CB94" s="20">
        <f t="shared" si="64"/>
        <v>601.32161215624558</v>
      </c>
      <c r="CC94" s="59">
        <f t="shared" si="65"/>
        <v>894.65494548957895</v>
      </c>
      <c r="CD94" s="59">
        <f ca="1">AVERAGE(OFFSET($CC$3,0,0,'Données projet'!$E$12+1,1))-AVERAGE(OFFSET($H$3,0,0,'Données projet'!$E$12+1,1))</f>
        <v>360.44607552967267</v>
      </c>
      <c r="CE94" s="59">
        <f t="shared" si="94"/>
        <v>271.54361159160169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50.19727797920617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1.0390538262133997E-6</v>
      </c>
      <c r="CN94" s="22">
        <f t="shared" si="66"/>
        <v>50.197279018259998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309.89554000341082</v>
      </c>
      <c r="CZ94" s="59">
        <f t="shared" si="96"/>
        <v>465.9235824539021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75.795934445846598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5.6405791772382153E-6</v>
      </c>
      <c r="DI94" s="22">
        <f t="shared" si="69"/>
        <v>75.795940086425773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3.2</v>
      </c>
      <c r="N95" s="13">
        <f>IF('Données projet'!$A$36&gt;35,N94+M95-V94,IF(A95&lt;'Données projet'!$A$36,$K$205^A95,IF(A95='Données projet'!$A$36,'Données projet'!$B$36,N94+M95-V94)))</f>
        <v>260.39999999999992</v>
      </c>
      <c r="O95" s="13">
        <f>N95*VLOOKUP('Données projet'!$B$9,Paramètres!$A$1:$I$89,3,0)*VLOOKUP('Données projet'!$B$9,Paramètres!$A$1:$I$89,5,0)</f>
        <v>227.48543999999993</v>
      </c>
      <c r="P95" s="13">
        <f t="shared" si="87"/>
        <v>55.738627496252377</v>
      </c>
      <c r="Q95" s="20">
        <f t="shared" si="54"/>
        <v>493.28191755597277</v>
      </c>
      <c r="R95" s="59">
        <f t="shared" si="55"/>
        <v>786.61525088930603</v>
      </c>
      <c r="S95" s="59">
        <f ca="1">AVERAGE(OFFSET($R$3,0,0,'Données projet'!$E$9+1,1))-AVERAGE(OFFSET($H$3,0,0,'Données projet'!$E$9+1,1))</f>
        <v>281.82797419088109</v>
      </c>
      <c r="T95" s="59">
        <f t="shared" si="88"/>
        <v>298.98873283425371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52.032461018112244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1.672151220253447E-6</v>
      </c>
      <c r="AC95" s="22">
        <f t="shared" si="57"/>
        <v>52.032462690263465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3.7</v>
      </c>
      <c r="AI95" s="13">
        <f>IF('Données projet'!$A$62&gt;35,AI94+AH95-AQ94,IF(A95&lt;'Données projet'!$A$62,$AF$205^A95,IF(A95='Données projet'!$A$62,'Données projet'!$B$62,AI94+AH95-AQ94)))</f>
        <v>200.39999999999978</v>
      </c>
      <c r="AJ95" s="13">
        <f>AI95*VLOOKUP('Données projet'!$B$10,Paramètres!$A$1:$I$89,3,0)*VLOOKUP('Données projet'!$B$10,Paramètres!$A$1:$I$89,5,0)</f>
        <v>200.07935999999978</v>
      </c>
      <c r="AK95" s="13">
        <f t="shared" si="89"/>
        <v>49.761608248677732</v>
      </c>
      <c r="AL95" s="20">
        <f t="shared" si="58"/>
        <v>435.1396863664466</v>
      </c>
      <c r="AM95" s="59">
        <f t="shared" si="59"/>
        <v>728.47301969977991</v>
      </c>
      <c r="AN95" s="59">
        <f ca="1">AVERAGE(OFFSET($AM$3,0,0,'Données projet'!$E$10+1,1))-AVERAGE(OFFSET($H$3,0,0,'Données projet'!$E$10+1,1))</f>
        <v>206.53345322763442</v>
      </c>
      <c r="AO95" s="59">
        <f t="shared" si="90"/>
        <v>96.700732426680929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17.528746958334708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1.2956290567417208E-5</v>
      </c>
      <c r="AX95" s="21">
        <f t="shared" si="60"/>
        <v>17.528759914625276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5.9</v>
      </c>
      <c r="BD95" s="12">
        <f>IF('Données projet'!$A$88&gt;35,BD94+BC95-BL94,IF(A95&lt;'Données projet'!$A$88,$BA$205^A95,IF(A95='Données projet'!$A$88,'Données projet'!$B$88,BD94+BC95-BL94)))</f>
        <v>313.79999999999995</v>
      </c>
      <c r="BE95" s="13">
        <f>BD95*VLOOKUP('Données projet'!$B$11,Paramètres!$A$1:$I$89,3,0)*VLOOKUP('Données projet'!$B$11,Paramètres!$A$1:$I$89,5,0)</f>
        <v>264.34512000000001</v>
      </c>
      <c r="BF95" s="13">
        <f t="shared" si="91"/>
        <v>63.647686641828493</v>
      </c>
      <c r="BG95" s="20">
        <f t="shared" si="61"/>
        <v>571.25413823451788</v>
      </c>
      <c r="BH95" s="59">
        <f t="shared" si="62"/>
        <v>864.58747156785125</v>
      </c>
      <c r="BI95" s="59">
        <f ca="1">AVERAGE(OFFSET($BH$3,0,0,'Données projet'!$E$11+1,1))-AVERAGE(OFFSET($H$3,0,0,'Données projet'!$E$11+1,1))</f>
        <v>328.34986205643321</v>
      </c>
      <c r="BJ95" s="59">
        <f t="shared" si="92"/>
        <v>251.60894449147008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45.818944114981306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6.8405152332412833E-7</v>
      </c>
      <c r="BS95" s="22">
        <f t="shared" si="63"/>
        <v>45.818944799032828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5.9</v>
      </c>
      <c r="BY95" s="12">
        <f>IF('Données projet'!$A$114&gt;35,BY94+BX95-CG94,IF(A95&lt;'Données projet'!$A$114,$BV$205^A95,IF(A95='Données projet'!$A$114,'Données projet'!$B$114,BY94+BX95-CG94)))</f>
        <v>313.79999999999995</v>
      </c>
      <c r="BZ95" s="13">
        <f>BY95*VLOOKUP('Données projet'!$B$12,Paramètres!$A$1:$I$89,3,0)*VLOOKUP('Données projet'!$B$12,Paramètres!$A$1:$I$89,5,0)</f>
        <v>283.92623999999995</v>
      </c>
      <c r="CA95" s="13">
        <f t="shared" si="93"/>
        <v>67.796062628528304</v>
      </c>
      <c r="CB95" s="20">
        <f t="shared" si="64"/>
        <v>612.58301041135337</v>
      </c>
      <c r="CC95" s="59">
        <f t="shared" si="65"/>
        <v>905.91634374468663</v>
      </c>
      <c r="CD95" s="59">
        <f ca="1">AVERAGE(OFFSET($CC$3,0,0,'Données projet'!$E$12+1,1))-AVERAGE(OFFSET($H$3,0,0,'Données projet'!$E$12+1,1))</f>
        <v>360.44607552967267</v>
      </c>
      <c r="CE95" s="59">
        <f t="shared" si="94"/>
        <v>271.54361159160169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49.212939975350295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7.3472200653332342E-7</v>
      </c>
      <c r="CN95" s="22">
        <f t="shared" si="66"/>
        <v>49.212940710072303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309.89554000341082</v>
      </c>
      <c r="CZ95" s="59">
        <f t="shared" si="96"/>
        <v>465.9235824539021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74.309622402318624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3.9884917860447789E-6</v>
      </c>
      <c r="DI95" s="22">
        <f t="shared" si="69"/>
        <v>74.309626390810408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3.2</v>
      </c>
      <c r="N96" s="13">
        <f>IF('Données projet'!$A$36&gt;35,N95+M96-V95,IF(A96&lt;'Données projet'!$A$36,$K$205^A96,IF(A96='Données projet'!$A$36,'Données projet'!$B$36,N95+M96-V95)))</f>
        <v>263.59999999999991</v>
      </c>
      <c r="O96" s="13">
        <f>N96*VLOOKUP('Données projet'!$B$9,Paramètres!$A$1:$I$89,3,0)*VLOOKUP('Données projet'!$B$9,Paramètres!$A$1:$I$89,5,0)</f>
        <v>230.28095999999994</v>
      </c>
      <c r="P96" s="13">
        <f t="shared" si="87"/>
        <v>56.343427334913351</v>
      </c>
      <c r="Q96" s="20">
        <f t="shared" si="54"/>
        <v>499.20414127497389</v>
      </c>
      <c r="R96" s="59">
        <f t="shared" si="55"/>
        <v>792.53747460830721</v>
      </c>
      <c r="S96" s="59">
        <f ca="1">AVERAGE(OFFSET($R$3,0,0,'Données projet'!$E$9+1,1))-AVERAGE(OFFSET($H$3,0,0,'Données projet'!$E$9+1,1))</f>
        <v>281.82797419088109</v>
      </c>
      <c r="T96" s="59">
        <f t="shared" si="88"/>
        <v>298.98873283425371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51.012136194214548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1.1823894670105726E-6</v>
      </c>
      <c r="AC96" s="22">
        <f t="shared" si="57"/>
        <v>51.012137376604016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3.7</v>
      </c>
      <c r="AI96" s="13">
        <f>IF('Données projet'!$A$62&gt;35,AI95+AH96-AQ95,IF(A96&lt;'Données projet'!$A$62,$AF$205^A96,IF(A96='Données projet'!$A$62,'Données projet'!$B$62,AI95+AH96-AQ95)))</f>
        <v>204.09999999999977</v>
      </c>
      <c r="AJ96" s="13">
        <f>AI96*VLOOKUP('Données projet'!$B$10,Paramètres!$A$1:$I$89,3,0)*VLOOKUP('Données projet'!$B$10,Paramètres!$A$1:$I$89,5,0)</f>
        <v>203.77343999999977</v>
      </c>
      <c r="AK96" s="13">
        <f t="shared" si="89"/>
        <v>50.572551340149396</v>
      </c>
      <c r="AL96" s="20">
        <f t="shared" si="58"/>
        <v>442.98593491742645</v>
      </c>
      <c r="AM96" s="59">
        <f t="shared" si="59"/>
        <v>736.31926825075971</v>
      </c>
      <c r="AN96" s="59">
        <f ca="1">AVERAGE(OFFSET($AM$3,0,0,'Données projet'!$E$10+1,1))-AVERAGE(OFFSET($H$3,0,0,'Données projet'!$E$10+1,1))</f>
        <v>206.53345322763442</v>
      </c>
      <c r="AO96" s="59">
        <f t="shared" si="90"/>
        <v>96.700732426680929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17.185018921961714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9.1614809192440092E-6</v>
      </c>
      <c r="AX96" s="21">
        <f t="shared" si="60"/>
        <v>17.185028083442631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5.9</v>
      </c>
      <c r="BD96" s="12">
        <f>IF('Données projet'!$A$88&gt;35,BD95+BC96-BL95,IF(A96&lt;'Données projet'!$A$88,$BA$205^A96,IF(A96='Données projet'!$A$88,'Données projet'!$B$88,BD95+BC96-BL95)))</f>
        <v>319.69999999999993</v>
      </c>
      <c r="BE96" s="13">
        <f>BD96*VLOOKUP('Données projet'!$B$11,Paramètres!$A$1:$I$89,3,0)*VLOOKUP('Données projet'!$B$11,Paramètres!$A$1:$I$89,5,0)</f>
        <v>269.31527999999997</v>
      </c>
      <c r="BF96" s="13">
        <f t="shared" si="91"/>
        <v>64.703932954620839</v>
      </c>
      <c r="BG96" s="20">
        <f t="shared" si="61"/>
        <v>581.75012922929784</v>
      </c>
      <c r="BH96" s="59">
        <f t="shared" si="62"/>
        <v>875.08346256263121</v>
      </c>
      <c r="BI96" s="59">
        <f ca="1">AVERAGE(OFFSET($BH$3,0,0,'Données projet'!$E$11+1,1))-AVERAGE(OFFSET($H$3,0,0,'Données projet'!$E$11+1,1))</f>
        <v>328.34986205643321</v>
      </c>
      <c r="BJ96" s="59">
        <f t="shared" si="92"/>
        <v>251.60894449147008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44.920462567682918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4.8369747082347892E-7</v>
      </c>
      <c r="BS96" s="22">
        <f t="shared" si="63"/>
        <v>44.920463051380388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5.9</v>
      </c>
      <c r="BY96" s="12">
        <f>IF('Données projet'!$A$114&gt;35,BY95+BX96-CG95,IF(A96&lt;'Données projet'!$A$114,$BV$205^A96,IF(A96='Données projet'!$A$114,'Données projet'!$B$114,BY95+BX96-CG95)))</f>
        <v>319.69999999999993</v>
      </c>
      <c r="BZ96" s="13">
        <f>BY96*VLOOKUP('Données projet'!$B$12,Paramètres!$A$1:$I$89,3,0)*VLOOKUP('Données projet'!$B$12,Paramètres!$A$1:$I$89,5,0)</f>
        <v>289.26455999999996</v>
      </c>
      <c r="CA96" s="13">
        <f t="shared" si="93"/>
        <v>68.921152085057912</v>
      </c>
      <c r="CB96" s="20">
        <f t="shared" si="64"/>
        <v>623.84011521480909</v>
      </c>
      <c r="CC96" s="59">
        <f t="shared" si="65"/>
        <v>917.17344854814246</v>
      </c>
      <c r="CD96" s="59">
        <f ca="1">AVERAGE(OFFSET($CC$3,0,0,'Données projet'!$E$12+1,1))-AVERAGE(OFFSET($H$3,0,0,'Données projet'!$E$12+1,1))</f>
        <v>360.44607552967267</v>
      </c>
      <c r="CE96" s="59">
        <f t="shared" si="94"/>
        <v>271.54361159160169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48.247904239363137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5.1952691310669986E-7</v>
      </c>
      <c r="CN96" s="22">
        <f t="shared" si="66"/>
        <v>48.247904758890051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309.89554000341082</v>
      </c>
      <c r="CZ96" s="59">
        <f t="shared" si="96"/>
        <v>465.9235824539021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72.852456031403406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2.8202895886191077E-6</v>
      </c>
      <c r="DI96" s="22">
        <f t="shared" si="69"/>
        <v>72.852458851693001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3.2</v>
      </c>
      <c r="N97" s="13">
        <f>IF('Données projet'!$A$36&gt;35,N96+M97-V96,IF(A97&lt;'Données projet'!$A$36,$K$205^A97,IF(A97='Données projet'!$A$36,'Données projet'!$B$36,N96+M97-V96)))</f>
        <v>266.7999999999999</v>
      </c>
      <c r="O97" s="13">
        <f>N97*VLOOKUP('Données projet'!$B$9,Paramètres!$A$1:$I$89,3,0)*VLOOKUP('Données projet'!$B$9,Paramètres!$A$1:$I$89,5,0)</f>
        <v>233.07647999999995</v>
      </c>
      <c r="P97" s="13">
        <f t="shared" si="87"/>
        <v>56.947373142454879</v>
      </c>
      <c r="Q97" s="20">
        <f t="shared" si="54"/>
        <v>505.12487755644207</v>
      </c>
      <c r="R97" s="59">
        <f t="shared" si="55"/>
        <v>798.45821088977539</v>
      </c>
      <c r="S97" s="59">
        <f ca="1">AVERAGE(OFFSET($R$3,0,0,'Données projet'!$E$9+1,1))-AVERAGE(OFFSET($H$3,0,0,'Données projet'!$E$9+1,1))</f>
        <v>281.82797419088109</v>
      </c>
      <c r="T97" s="59">
        <f t="shared" si="88"/>
        <v>298.98873283425371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50.011819317776798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8.360756101267235E-7</v>
      </c>
      <c r="AC97" s="22">
        <f t="shared" si="57"/>
        <v>50.011820153852405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3.7</v>
      </c>
      <c r="AI97" s="13">
        <f>IF('Données projet'!$A$62&gt;35,AI96+AH97-AQ96,IF(A97&lt;'Données projet'!$A$62,$AF$205^A97,IF(A97='Données projet'!$A$62,'Données projet'!$B$62,AI96+AH97-AQ96)))</f>
        <v>207.79999999999976</v>
      </c>
      <c r="AJ97" s="13">
        <f>AI97*VLOOKUP('Données projet'!$B$10,Paramètres!$A$1:$I$89,3,0)*VLOOKUP('Données projet'!$B$10,Paramètres!$A$1:$I$89,5,0)</f>
        <v>207.46751999999978</v>
      </c>
      <c r="AK97" s="13">
        <f t="shared" si="89"/>
        <v>51.381784931659929</v>
      </c>
      <c r="AL97" s="20">
        <f t="shared" si="58"/>
        <v>450.82920608930732</v>
      </c>
      <c r="AM97" s="59">
        <f t="shared" si="59"/>
        <v>744.16253942264063</v>
      </c>
      <c r="AN97" s="59">
        <f ca="1">AVERAGE(OFFSET($AM$3,0,0,'Données projet'!$E$10+1,1))-AVERAGE(OFFSET($H$3,0,0,'Données projet'!$E$10+1,1))</f>
        <v>206.53345322763442</v>
      </c>
      <c r="AO97" s="59">
        <f t="shared" si="90"/>
        <v>96.700732426680929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16.848031182728594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6.478145283708604E-6</v>
      </c>
      <c r="AX97" s="21">
        <f t="shared" si="60"/>
        <v>16.848037660873878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5.9</v>
      </c>
      <c r="BD97" s="12">
        <f>IF('Données projet'!$A$88&gt;35,BD96+BC97-BL96,IF(A97&lt;'Données projet'!$A$88,$BA$205^A97,IF(A97='Données projet'!$A$88,'Données projet'!$B$88,BD96+BC97-BL96)))</f>
        <v>325.59999999999991</v>
      </c>
      <c r="BE97" s="13">
        <f>BD97*VLOOKUP('Données projet'!$B$11,Paramètres!$A$1:$I$89,3,0)*VLOOKUP('Données projet'!$B$11,Paramètres!$A$1:$I$89,5,0)</f>
        <v>274.28543999999994</v>
      </c>
      <c r="BF97" s="13">
        <f t="shared" si="91"/>
        <v>65.75791260290552</v>
      </c>
      <c r="BG97" s="20">
        <f t="shared" si="61"/>
        <v>592.24217245006037</v>
      </c>
      <c r="BH97" s="59">
        <f t="shared" si="62"/>
        <v>885.57550578339374</v>
      </c>
      <c r="BI97" s="59">
        <f ca="1">AVERAGE(OFFSET($BH$3,0,0,'Données projet'!$E$11+1,1))-AVERAGE(OFFSET($H$3,0,0,'Données projet'!$E$11+1,1))</f>
        <v>328.34986205643321</v>
      </c>
      <c r="BJ97" s="59">
        <f t="shared" si="92"/>
        <v>251.60894449147008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44.03959969550742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3.4202576166206417E-7</v>
      </c>
      <c r="BS97" s="22">
        <f t="shared" si="63"/>
        <v>44.039600037533184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5.9</v>
      </c>
      <c r="BY97" s="12">
        <f>IF('Données projet'!$A$114&gt;35,BY96+BX97-CG96,IF(A97&lt;'Données projet'!$A$114,$BV$205^A97,IF(A97='Données projet'!$A$114,'Données projet'!$B$114,BY96+BX97-CG96)))</f>
        <v>325.59999999999991</v>
      </c>
      <c r="BZ97" s="13">
        <f>BY97*VLOOKUP('Données projet'!$B$12,Paramètres!$A$1:$I$89,3,0)*VLOOKUP('Données projet'!$B$12,Paramètres!$A$1:$I$89,5,0)</f>
        <v>294.60287999999991</v>
      </c>
      <c r="CA97" s="13">
        <f t="shared" si="93"/>
        <v>70.043827142305673</v>
      </c>
      <c r="CB97" s="20">
        <f t="shared" si="64"/>
        <v>635.09301493951546</v>
      </c>
      <c r="CC97" s="59">
        <f t="shared" si="65"/>
        <v>928.42634827284883</v>
      </c>
      <c r="CD97" s="59">
        <f ca="1">AVERAGE(OFFSET($CC$3,0,0,'Données projet'!$E$12+1,1))-AVERAGE(OFFSET($H$3,0,0,'Données projet'!$E$12+1,1))</f>
        <v>360.44607552967267</v>
      </c>
      <c r="CE97" s="59">
        <f t="shared" si="94"/>
        <v>271.54361159160169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47.301792265545011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3.6736100326666171E-7</v>
      </c>
      <c r="CN97" s="22">
        <f t="shared" si="66"/>
        <v>47.301792632906015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309.89554000341082</v>
      </c>
      <c r="CZ97" s="59">
        <f t="shared" si="96"/>
        <v>465.9235824539021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71.42386380423811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1.9942458930223894E-6</v>
      </c>
      <c r="DI97" s="22">
        <f t="shared" si="69"/>
        <v>71.423865798484002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270</v>
      </c>
      <c r="L98" s="12">
        <f>VLOOKUP(A98,'Données projet'!$A$35:$I$55,9,0)</f>
        <v>3.2</v>
      </c>
      <c r="M98" s="12">
        <f t="array" ref="M98">INDEX(L:L,MIN(IF(ISNUMBER(L98:L294),ROW(L98:L294),"")))</f>
        <v>3.2</v>
      </c>
      <c r="N98" s="13">
        <f>IF('Données projet'!$A$36&gt;35,N97+M98-V97,IF(A98&lt;'Données projet'!$A$36,$K$205^A98,IF(A98='Données projet'!$A$36,'Données projet'!$B$36,N97+M98-V97)))</f>
        <v>269.99999999999989</v>
      </c>
      <c r="O98" s="13">
        <f>N98*VLOOKUP('Données projet'!$B$9,Paramètres!$A$1:$I$89,3,0)*VLOOKUP('Données projet'!$B$9,Paramètres!$A$1:$I$89,5,0)</f>
        <v>235.87199999999996</v>
      </c>
      <c r="P98" s="13">
        <f t="shared" si="87"/>
        <v>57.550476347015277</v>
      </c>
      <c r="Q98" s="20">
        <f t="shared" si="54"/>
        <v>511.04414630438487</v>
      </c>
      <c r="R98" s="59">
        <f t="shared" si="55"/>
        <v>804.37747963771812</v>
      </c>
      <c r="S98" s="59">
        <f ca="1">AVERAGE(OFFSET($R$3,0,0,'Données projet'!$E$9+1,1))-AVERAGE(OFFSET($H$3,0,0,'Données projet'!$E$9+1,1))</f>
        <v>281.82797419088109</v>
      </c>
      <c r="T98" s="59">
        <f t="shared" si="88"/>
        <v>298.98873283425371</v>
      </c>
      <c r="U98" s="15">
        <f>IF(ISNA(VLOOKUP(A98,'Données projet'!$A$35:$I$55,3,0)),0,VLOOKUP(A98,'Données projet'!$A$35:$I$55,3,0))</f>
        <v>18</v>
      </c>
      <c r="V98" s="15">
        <f>IF(ISNA(VLOOKUP(A98,'Données projet'!$A$35:$I$55,4,0)),0,VLOOKUP(A98,'Données projet'!$A$35:$I$55,4,0))</f>
        <v>13</v>
      </c>
      <c r="W98" s="16">
        <f>IF(ISNA(VLOOKUP(A98,'Données projet'!$A$35:$I$55,5,0)),0%,VLOOKUP(A98,'Données projet'!$A$35:$I$55,5,0)*VLOOKUP('Données projet'!$B$9,Paramètres!$A$1:$I$89,7,0))</f>
        <v>0.38700000000000001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53.889750569583221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5.9119473350528629E-7</v>
      </c>
      <c r="AC98" s="22">
        <f t="shared" si="57"/>
        <v>53.889751160777955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3.7</v>
      </c>
      <c r="AI98" s="13">
        <f>IF('Données projet'!$A$62&gt;35,AI97+AH98-AQ97,IF(A98&lt;'Données projet'!$A$62,$AF$205^A98,IF(A98='Données projet'!$A$62,'Données projet'!$B$62,AI97+AH98-AQ97)))</f>
        <v>211.49999999999974</v>
      </c>
      <c r="AJ98" s="13">
        <f>AI98*VLOOKUP('Données projet'!$B$10,Paramètres!$A$1:$I$89,3,0)*VLOOKUP('Données projet'!$B$10,Paramètres!$A$1:$I$89,5,0)</f>
        <v>211.16159999999977</v>
      </c>
      <c r="AK98" s="13">
        <f t="shared" si="89"/>
        <v>52.18934297333594</v>
      </c>
      <c r="AL98" s="20">
        <f t="shared" si="58"/>
        <v>458.669559011893</v>
      </c>
      <c r="AM98" s="59">
        <f t="shared" si="59"/>
        <v>752.00289234522631</v>
      </c>
      <c r="AN98" s="59">
        <f ca="1">AVERAGE(OFFSET($AM$3,0,0,'Données projet'!$E$10+1,1))-AVERAGE(OFFSET($H$3,0,0,'Données projet'!$E$10+1,1))</f>
        <v>206.53345322763442</v>
      </c>
      <c r="AO98" s="59">
        <f t="shared" si="90"/>
        <v>96.700732426680929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16.517651567519607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4.5807404596220046E-6</v>
      </c>
      <c r="AX98" s="21">
        <f t="shared" si="60"/>
        <v>16.517656148260066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5.9</v>
      </c>
      <c r="BD98" s="12">
        <f>IF('Données projet'!$A$88&gt;35,BD97+BC98-BL97,IF(A98&lt;'Données projet'!$A$88,$BA$205^A98,IF(A98='Données projet'!$A$88,'Données projet'!$B$88,BD97+BC98-BL97)))</f>
        <v>331.49999999999989</v>
      </c>
      <c r="BE98" s="13">
        <f>BD98*VLOOKUP('Données projet'!$B$11,Paramètres!$A$1:$I$89,3,0)*VLOOKUP('Données projet'!$B$11,Paramètres!$A$1:$I$89,5,0)</f>
        <v>279.25559999999996</v>
      </c>
      <c r="BF98" s="13">
        <f t="shared" si="91"/>
        <v>66.809671397146161</v>
      </c>
      <c r="BG98" s="20">
        <f t="shared" si="61"/>
        <v>602.73034768336277</v>
      </c>
      <c r="BH98" s="59">
        <f t="shared" si="62"/>
        <v>896.06368101669614</v>
      </c>
      <c r="BI98" s="59">
        <f ca="1">AVERAGE(OFFSET($BH$3,0,0,'Données projet'!$E$11+1,1))-AVERAGE(OFFSET($H$3,0,0,'Données projet'!$E$11+1,1))</f>
        <v>328.34986205643321</v>
      </c>
      <c r="BJ98" s="59">
        <f t="shared" si="92"/>
        <v>251.60894449147008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43.176010006981983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2.4184873541173946E-7</v>
      </c>
      <c r="BS98" s="22">
        <f t="shared" si="63"/>
        <v>43.176010248830721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5.9</v>
      </c>
      <c r="BY98" s="12">
        <f>IF('Données projet'!$A$114&gt;35,BY97+BX98-CG97,IF(A98&lt;'Données projet'!$A$114,$BV$205^A98,IF(A98='Données projet'!$A$114,'Données projet'!$B$114,BY97+BX98-CG97)))</f>
        <v>331.49999999999989</v>
      </c>
      <c r="BZ98" s="13">
        <f>BY98*VLOOKUP('Données projet'!$B$12,Paramètres!$A$1:$I$89,3,0)*VLOOKUP('Données projet'!$B$12,Paramètres!$A$1:$I$89,5,0)</f>
        <v>299.94119999999987</v>
      </c>
      <c r="CA98" s="13">
        <f t="shared" si="93"/>
        <v>71.164136596531506</v>
      </c>
      <c r="CB98" s="20">
        <f t="shared" si="64"/>
        <v>646.3417945722922</v>
      </c>
      <c r="CC98" s="59">
        <f t="shared" si="65"/>
        <v>939.67512790562546</v>
      </c>
      <c r="CD98" s="59">
        <f ca="1">AVERAGE(OFFSET($CC$3,0,0,'Données projet'!$E$12+1,1))-AVERAGE(OFFSET($H$3,0,0,'Données projet'!$E$12+1,1))</f>
        <v>360.44607552967267</v>
      </c>
      <c r="CE98" s="59">
        <f t="shared" si="94"/>
        <v>271.54361159160169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46.374232970462131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2.5976345655334993E-7</v>
      </c>
      <c r="CN98" s="22">
        <f t="shared" si="66"/>
        <v>46.374233230225585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309.89554000341082</v>
      </c>
      <c r="CZ98" s="59">
        <f t="shared" si="96"/>
        <v>465.9235824539021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70.023285399292305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1.4101447943095538E-6</v>
      </c>
      <c r="DI98" s="22">
        <f t="shared" si="69"/>
        <v>70.023286809437096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3.2</v>
      </c>
      <c r="N99" s="13">
        <f>IF('Données projet'!$A$36&gt;35,N98+M99-V98,IF(A99&lt;'Données projet'!$A$36,$K$205^A99,IF(A99='Données projet'!$A$36,'Données projet'!$B$36,N98+M99-V98)))</f>
        <v>260.19999999999987</v>
      </c>
      <c r="O99" s="13">
        <f>N99*VLOOKUP('Données projet'!$B$9,Paramètres!$A$1:$I$89,3,0)*VLOOKUP('Données projet'!$B$9,Paramètres!$A$1:$I$89,5,0)</f>
        <v>227.31071999999989</v>
      </c>
      <c r="P99" s="13">
        <f t="shared" si="87"/>
        <v>55.700798883800765</v>
      </c>
      <c r="Q99" s="20">
        <f t="shared" ref="Q99:Q130" si="107">(O99+P99)*0.475*44/12</f>
        <v>492.91172872261944</v>
      </c>
      <c r="R99" s="59">
        <f t="shared" si="55"/>
        <v>786.24506205595276</v>
      </c>
      <c r="S99" s="59">
        <f ca="1">AVERAGE(OFFSET($R$3,0,0,'Données projet'!$E$9+1,1))-AVERAGE(OFFSET($H$3,0,0,'Données projet'!$E$9+1,1))</f>
        <v>281.82797419088109</v>
      </c>
      <c r="T99" s="59">
        <f t="shared" si="88"/>
        <v>298.98873283425371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52.833005430415945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4.1803780506336175E-7</v>
      </c>
      <c r="AC99" s="22">
        <f t="shared" si="57"/>
        <v>52.833005848453752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3.7</v>
      </c>
      <c r="AI99" s="13">
        <f>IF('Données projet'!$A$62&gt;35,AI98+AH99-AQ98,IF(A99&lt;'Données projet'!$A$62,$AF$205^A99,IF(A99='Données projet'!$A$62,'Données projet'!$B$62,AI98+AH99-AQ98)))</f>
        <v>215.19999999999973</v>
      </c>
      <c r="AJ99" s="13">
        <f>AI99*VLOOKUP('Données projet'!$B$10,Paramètres!$A$1:$I$89,3,0)*VLOOKUP('Données projet'!$B$10,Paramètres!$A$1:$I$89,5,0)</f>
        <v>214.85567999999975</v>
      </c>
      <c r="AK99" s="13">
        <f t="shared" si="89"/>
        <v>52.995258159405104</v>
      </c>
      <c r="AL99" s="20">
        <f t="shared" si="58"/>
        <v>466.50705062763012</v>
      </c>
      <c r="AM99" s="59">
        <f t="shared" si="59"/>
        <v>759.84038396096344</v>
      </c>
      <c r="AN99" s="59">
        <f ca="1">AVERAGE(OFFSET($AM$3,0,0,'Données projet'!$E$10+1,1))-AVERAGE(OFFSET($H$3,0,0,'Données projet'!$E$10+1,1))</f>
        <v>206.53345322763442</v>
      </c>
      <c r="AO99" s="59">
        <f t="shared" si="90"/>
        <v>96.700732426680929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16.193750495053202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3.239072641854302E-6</v>
      </c>
      <c r="AX99" s="21">
        <f t="shared" si="60"/>
        <v>16.193753734125842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5.9</v>
      </c>
      <c r="BD99" s="12">
        <f>IF('Données projet'!$A$88&gt;35,BD98+BC99-BL98,IF(A99&lt;'Données projet'!$A$88,$BA$205^A99,IF(A99='Données projet'!$A$88,'Données projet'!$B$88,BD98+BC99-BL98)))</f>
        <v>337.39999999999986</v>
      </c>
      <c r="BE99" s="13">
        <f>BD99*VLOOKUP('Données projet'!$B$11,Paramètres!$A$1:$I$89,3,0)*VLOOKUP('Données projet'!$B$11,Paramètres!$A$1:$I$89,5,0)</f>
        <v>284.22575999999992</v>
      </c>
      <c r="BF99" s="13">
        <f t="shared" si="91"/>
        <v>67.859253423756542</v>
      </c>
      <c r="BG99" s="20">
        <f t="shared" si="61"/>
        <v>613.2147317130424</v>
      </c>
      <c r="BH99" s="59">
        <f t="shared" si="62"/>
        <v>906.54806504637577</v>
      </c>
      <c r="BI99" s="59">
        <f ca="1">AVERAGE(OFFSET($BH$3,0,0,'Données projet'!$E$11+1,1))-AVERAGE(OFFSET($H$3,0,0,'Données projet'!$E$11+1,1))</f>
        <v>328.34986205643321</v>
      </c>
      <c r="BJ99" s="59">
        <f t="shared" si="92"/>
        <v>251.60894449147008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42.32935478551083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1.7101288083103208E-7</v>
      </c>
      <c r="BS99" s="22">
        <f t="shared" si="63"/>
        <v>42.329354956523709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5.9</v>
      </c>
      <c r="BY99" s="12">
        <f>IF('Données projet'!$A$114&gt;35,BY98+BX99-CG98,IF(A99&lt;'Données projet'!$A$114,$BV$205^A99,IF(A99='Données projet'!$A$114,'Données projet'!$B$114,BY98+BX99-CG98)))</f>
        <v>337.39999999999986</v>
      </c>
      <c r="BZ99" s="13">
        <f>BY99*VLOOKUP('Données projet'!$B$12,Paramètres!$A$1:$I$89,3,0)*VLOOKUP('Données projet'!$B$12,Paramètres!$A$1:$I$89,5,0)</f>
        <v>305.27951999999982</v>
      </c>
      <c r="CA99" s="13">
        <f t="shared" si="93"/>
        <v>72.282127407576809</v>
      </c>
      <c r="CB99" s="20">
        <f t="shared" si="64"/>
        <v>657.58653590152937</v>
      </c>
      <c r="CC99" s="59">
        <f t="shared" si="65"/>
        <v>950.91986923486274</v>
      </c>
      <c r="CD99" s="59">
        <f ca="1">AVERAGE(OFFSET($CC$3,0,0,'Données projet'!$E$12+1,1))-AVERAGE(OFFSET($H$3,0,0,'Données projet'!$E$12+1,1))</f>
        <v>360.44607552967267</v>
      </c>
      <c r="CE99" s="59">
        <f t="shared" si="94"/>
        <v>271.54361159160169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45.464862547400521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1.8368050163333085E-7</v>
      </c>
      <c r="CN99" s="22">
        <f t="shared" si="66"/>
        <v>45.46486273108102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309.89554000341082</v>
      </c>
      <c r="CZ99" s="59">
        <f t="shared" si="96"/>
        <v>465.9235824539021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68.650171482599021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9.9712294651119472E-7</v>
      </c>
      <c r="DI99" s="22">
        <f t="shared" si="69"/>
        <v>68.650172479721974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3.2</v>
      </c>
      <c r="N100" s="13">
        <f>IF('Données projet'!$A$36&gt;35,N99+M100-V99,IF(A100&lt;'Données projet'!$A$36,$K$205^A100,IF(A100='Données projet'!$A$36,'Données projet'!$B$36,N99+M100-V99)))</f>
        <v>263.39999999999986</v>
      </c>
      <c r="O100" s="13">
        <f>N100*VLOOKUP('Données projet'!$B$9,Paramètres!$A$1:$I$89,3,0)*VLOOKUP('Données projet'!$B$9,Paramètres!$A$1:$I$89,5,0)</f>
        <v>230.1062399999999</v>
      </c>
      <c r="P100" s="13">
        <f t="shared" si="87"/>
        <v>56.30565248558618</v>
      </c>
      <c r="Q100" s="20">
        <f t="shared" si="107"/>
        <v>498.83404607906238</v>
      </c>
      <c r="R100" s="59">
        <f t="shared" si="55"/>
        <v>792.16737941239569</v>
      </c>
      <c r="S100" s="59">
        <f ca="1">AVERAGE(OFFSET($R$3,0,0,'Données projet'!$E$9+1,1))-AVERAGE(OFFSET($H$3,0,0,'Données projet'!$E$9+1,1))</f>
        <v>281.82797419088109</v>
      </c>
      <c r="T100" s="59">
        <f t="shared" si="88"/>
        <v>298.98873283425371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51.796982418876851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2.9559736675264314E-7</v>
      </c>
      <c r="AC100" s="22">
        <f t="shared" si="57"/>
        <v>51.796982714474218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3.7</v>
      </c>
      <c r="AI100" s="13">
        <f>IF('Données projet'!$A$62&gt;35,AI99+AH100-AQ99,IF(A100&lt;'Données projet'!$A$62,$AF$205^A100,IF(A100='Données projet'!$A$62,'Données projet'!$B$62,AI99+AH100-AQ99)))</f>
        <v>218.89999999999972</v>
      </c>
      <c r="AJ100" s="13">
        <f>AI100*VLOOKUP('Données projet'!$B$10,Paramètres!$A$1:$I$89,3,0)*VLOOKUP('Données projet'!$B$10,Paramètres!$A$1:$I$89,5,0)</f>
        <v>218.54975999999974</v>
      </c>
      <c r="AK100" s="13">
        <f t="shared" si="89"/>
        <v>53.799561995434878</v>
      </c>
      <c r="AL100" s="20">
        <f t="shared" si="58"/>
        <v>474.34173580871521</v>
      </c>
      <c r="AM100" s="59">
        <f t="shared" si="59"/>
        <v>767.67506914204853</v>
      </c>
      <c r="AN100" s="59">
        <f ca="1">AVERAGE(OFFSET($AM$3,0,0,'Données projet'!$E$10+1,1))-AVERAGE(OFFSET($H$3,0,0,'Données projet'!$E$10+1,1))</f>
        <v>206.53345322763442</v>
      </c>
      <c r="AO100" s="59">
        <f t="shared" si="90"/>
        <v>96.700732426680929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15.876200925057717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2.2903702298110023E-6</v>
      </c>
      <c r="AX100" s="21">
        <f t="shared" si="60"/>
        <v>15.876203215427946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5.9</v>
      </c>
      <c r="BD100" s="12">
        <f>IF('Données projet'!$A$88&gt;35,BD99+BC100-BL99,IF(A100&lt;'Données projet'!$A$88,$BA$205^A100,IF(A100='Données projet'!$A$88,'Données projet'!$B$88,BD99+BC100-BL99)))</f>
        <v>343.29999999999984</v>
      </c>
      <c r="BE100" s="13">
        <f>BD100*VLOOKUP('Données projet'!$B$11,Paramètres!$A$1:$I$89,3,0)*VLOOKUP('Données projet'!$B$11,Paramètres!$A$1:$I$89,5,0)</f>
        <v>289.19591999999989</v>
      </c>
      <c r="BF100" s="13">
        <f t="shared" si="91"/>
        <v>68.906701138977155</v>
      </c>
      <c r="BG100" s="20">
        <f t="shared" si="61"/>
        <v>623.69539848371835</v>
      </c>
      <c r="BH100" s="59">
        <f t="shared" si="62"/>
        <v>917.02873181705172</v>
      </c>
      <c r="BI100" s="59">
        <f ca="1">AVERAGE(OFFSET($BH$3,0,0,'Données projet'!$E$11+1,1))-AVERAGE(OFFSET($H$3,0,0,'Données projet'!$E$11+1,1))</f>
        <v>328.34986205643321</v>
      </c>
      <c r="BJ100" s="59">
        <f t="shared" si="92"/>
        <v>251.60894449147008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41.499301956524029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1.2092436770586973E-7</v>
      </c>
      <c r="BS100" s="22">
        <f t="shared" si="63"/>
        <v>41.499302077448398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5.9</v>
      </c>
      <c r="BY100" s="12">
        <f>IF('Données projet'!$A$114&gt;35,BY99+BX100-CG99,IF(A100&lt;'Données projet'!$A$114,$BV$205^A100,IF(A100='Données projet'!$A$114,'Données projet'!$B$114,BY99+BX100-CG99)))</f>
        <v>343.29999999999984</v>
      </c>
      <c r="BZ100" s="13">
        <f>BY100*VLOOKUP('Données projet'!$B$12,Paramètres!$A$1:$I$89,3,0)*VLOOKUP('Données projet'!$B$12,Paramètres!$A$1:$I$89,5,0)</f>
        <v>310.61783999999983</v>
      </c>
      <c r="CA100" s="13">
        <f t="shared" si="93"/>
        <v>73.397844798859666</v>
      </c>
      <c r="CB100" s="20">
        <f t="shared" si="64"/>
        <v>668.82731769134693</v>
      </c>
      <c r="CC100" s="59">
        <f t="shared" si="65"/>
        <v>962.16065102468019</v>
      </c>
      <c r="CD100" s="59">
        <f ca="1">AVERAGE(OFFSET($CC$3,0,0,'Données projet'!$E$12+1,1))-AVERAGE(OFFSET($H$3,0,0,'Données projet'!$E$12+1,1))</f>
        <v>360.44607552967267</v>
      </c>
      <c r="CE100" s="59">
        <f t="shared" si="94"/>
        <v>271.54361159160169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44.573324323673958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1.2988172827667496E-7</v>
      </c>
      <c r="CN100" s="22">
        <f t="shared" si="66"/>
        <v>44.573324453555685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309.89554000341082</v>
      </c>
      <c r="CZ100" s="59">
        <f t="shared" si="96"/>
        <v>465.9235824539021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67.303983492295302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7.0507239715477691E-7</v>
      </c>
      <c r="DI100" s="22">
        <f t="shared" si="69"/>
        <v>67.303984197367697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3.2</v>
      </c>
      <c r="N101" s="13">
        <f>IF('Données projet'!$A$36&gt;35,N100+M101-V100,IF(A101&lt;'Données projet'!$A$36,$K$205^A101,IF(A101='Données projet'!$A$36,'Données projet'!$B$36,N100+M101-V100)))</f>
        <v>266.59999999999985</v>
      </c>
      <c r="O101" s="13">
        <f>N101*VLOOKUP('Données projet'!$B$9,Paramètres!$A$1:$I$89,3,0)*VLOOKUP('Données projet'!$B$9,Paramètres!$A$1:$I$89,5,0)</f>
        <v>232.90175999999991</v>
      </c>
      <c r="P101" s="13">
        <f t="shared" si="87"/>
        <v>56.909651332233828</v>
      </c>
      <c r="Q101" s="20">
        <f t="shared" si="107"/>
        <v>504.7548747369737</v>
      </c>
      <c r="R101" s="59">
        <f t="shared" si="55"/>
        <v>798.08820807030702</v>
      </c>
      <c r="S101" s="59">
        <f ca="1">AVERAGE(OFFSET($R$3,0,0,'Données projet'!$E$9+1,1))-AVERAGE(OFFSET($H$3,0,0,'Données projet'!$E$9+1,1))</f>
        <v>281.82797419088109</v>
      </c>
      <c r="T101" s="59">
        <f t="shared" si="88"/>
        <v>298.98873283425371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50.7812751866824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2.0901890253168088E-7</v>
      </c>
      <c r="AC101" s="22">
        <f t="shared" si="57"/>
        <v>50.7812753957013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3.7</v>
      </c>
      <c r="AI101" s="13">
        <f>IF('Données projet'!$A$62&gt;35,AI100+AH101-AQ100,IF(A101&lt;'Données projet'!$A$62,$AF$205^A101,IF(A101='Données projet'!$A$62,'Données projet'!$B$62,AI100+AH101-AQ100)))</f>
        <v>222.59999999999971</v>
      </c>
      <c r="AJ101" s="13">
        <f>AI101*VLOOKUP('Données projet'!$B$10,Paramètres!$A$1:$I$89,3,0)*VLOOKUP('Données projet'!$B$10,Paramètres!$A$1:$I$89,5,0)</f>
        <v>222.24383999999975</v>
      </c>
      <c r="AK101" s="13">
        <f t="shared" si="89"/>
        <v>54.60228486089585</v>
      </c>
      <c r="AL101" s="20">
        <f t="shared" si="58"/>
        <v>482.17366746605984</v>
      </c>
      <c r="AM101" s="59">
        <f t="shared" si="59"/>
        <v>775.50700079939315</v>
      </c>
      <c r="AN101" s="59">
        <f ca="1">AVERAGE(OFFSET($AM$3,0,0,'Données projet'!$E$10+1,1))-AVERAGE(OFFSET($H$3,0,0,'Données projet'!$E$10+1,1))</f>
        <v>206.53345322763442</v>
      </c>
      <c r="AO101" s="59">
        <f t="shared" si="90"/>
        <v>96.700732426680929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15.564878308443729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1.619536320927151E-6</v>
      </c>
      <c r="AX101" s="21">
        <f t="shared" si="60"/>
        <v>15.56487992798005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5.9</v>
      </c>
      <c r="BD101" s="12">
        <f>IF('Données projet'!$A$88&gt;35,BD100+BC101-BL100,IF(A101&lt;'Données projet'!$A$88,$BA$205^A101,IF(A101='Données projet'!$A$88,'Données projet'!$B$88,BD100+BC101-BL100)))</f>
        <v>349.19999999999982</v>
      </c>
      <c r="BE101" s="13">
        <f>BD101*VLOOKUP('Données projet'!$B$11,Paramètres!$A$1:$I$89,3,0)*VLOOKUP('Données projet'!$B$11,Paramètres!$A$1:$I$89,5,0)</f>
        <v>294.16607999999991</v>
      </c>
      <c r="BF101" s="13">
        <f t="shared" si="91"/>
        <v>69.952055456115559</v>
      </c>
      <c r="BG101" s="20">
        <f t="shared" si="61"/>
        <v>634.17241925273436</v>
      </c>
      <c r="BH101" s="59">
        <f t="shared" si="62"/>
        <v>927.50575258606773</v>
      </c>
      <c r="BI101" s="59">
        <f ca="1">AVERAGE(OFFSET($BH$3,0,0,'Données projet'!$E$11+1,1))-AVERAGE(OFFSET($H$3,0,0,'Données projet'!$E$11+1,1))</f>
        <v>328.34986205643321</v>
      </c>
      <c r="BJ101" s="59">
        <f t="shared" si="92"/>
        <v>251.60894449147008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40.685525957231427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8.5506440415516042E-8</v>
      </c>
      <c r="BS101" s="22">
        <f t="shared" si="63"/>
        <v>40.68552604273787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5.9</v>
      </c>
      <c r="BY101" s="12">
        <f>IF('Données projet'!$A$114&gt;35,BY100+BX101-CG100,IF(A101&lt;'Données projet'!$A$114,$BV$205^A101,IF(A101='Données projet'!$A$114,'Données projet'!$B$114,BY100+BX101-CG100)))</f>
        <v>349.19999999999982</v>
      </c>
      <c r="BZ101" s="13">
        <f>BY101*VLOOKUP('Données projet'!$B$12,Paramètres!$A$1:$I$89,3,0)*VLOOKUP('Données projet'!$B$12,Paramètres!$A$1:$I$89,5,0)</f>
        <v>315.95615999999984</v>
      </c>
      <c r="CA101" s="13">
        <f t="shared" si="93"/>
        <v>74.511332350300975</v>
      </c>
      <c r="CB101" s="20">
        <f t="shared" si="64"/>
        <v>680.06421584344059</v>
      </c>
      <c r="CC101" s="59">
        <f t="shared" si="65"/>
        <v>973.39754917677396</v>
      </c>
      <c r="CD101" s="59">
        <f ca="1">AVERAGE(OFFSET($CC$3,0,0,'Données projet'!$E$12+1,1))-AVERAGE(OFFSET($H$3,0,0,'Données projet'!$E$12+1,1))</f>
        <v>360.44607552967267</v>
      </c>
      <c r="CE101" s="59">
        <f t="shared" si="94"/>
        <v>271.54361159160169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43.699268620730052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9.1840250816665427E-8</v>
      </c>
      <c r="CN101" s="22">
        <f t="shared" si="66"/>
        <v>43.699268712570301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309.89554000341082</v>
      </c>
      <c r="CZ101" s="59">
        <f t="shared" si="96"/>
        <v>465.9235824539021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65.984193427387837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4.9856147325559736E-7</v>
      </c>
      <c r="DI101" s="22">
        <f t="shared" si="69"/>
        <v>65.984193925949313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3.2</v>
      </c>
      <c r="N102" s="13">
        <f>IF('Données projet'!$A$36&gt;35,N101+M102-V101,IF(A102&lt;'Données projet'!$A$36,$K$205^A102,IF(A102='Données projet'!$A$36,'Données projet'!$B$36,N101+M102-V101)))</f>
        <v>269.79999999999984</v>
      </c>
      <c r="O102" s="13">
        <f>N102*VLOOKUP('Données projet'!$B$9,Paramètres!$A$1:$I$89,3,0)*VLOOKUP('Données projet'!$B$9,Paramètres!$A$1:$I$89,5,0)</f>
        <v>235.69727999999992</v>
      </c>
      <c r="P102" s="13">
        <f t="shared" si="87"/>
        <v>57.512806870145788</v>
      </c>
      <c r="Q102" s="20">
        <f t="shared" si="107"/>
        <v>510.67423463217045</v>
      </c>
      <c r="R102" s="59">
        <f t="shared" si="55"/>
        <v>804.00756796550377</v>
      </c>
      <c r="S102" s="59">
        <f ca="1">AVERAGE(OFFSET($R$3,0,0,'Données projet'!$E$9+1,1))-AVERAGE(OFFSET($H$3,0,0,'Données projet'!$E$9+1,1))</f>
        <v>281.82797419088109</v>
      </c>
      <c r="T102" s="59">
        <f t="shared" si="88"/>
        <v>298.98873283425371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49.785485353791039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1.4779868337632157E-7</v>
      </c>
      <c r="AC102" s="22">
        <f t="shared" si="57"/>
        <v>49.785485501589719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3.7</v>
      </c>
      <c r="AI102" s="13">
        <f>IF('Données projet'!$A$62&gt;35,AI101+AH102-AQ101,IF(A102&lt;'Données projet'!$A$62,$AF$205^A102,IF(A102='Données projet'!$A$62,'Données projet'!$B$62,AI101+AH102-AQ101)))</f>
        <v>226.2999999999997</v>
      </c>
      <c r="AJ102" s="13">
        <f>AI102*VLOOKUP('Données projet'!$B$10,Paramètres!$A$1:$I$89,3,0)*VLOOKUP('Données projet'!$B$10,Paramètres!$A$1:$I$89,5,0)</f>
        <v>225.93791999999974</v>
      </c>
      <c r="AK102" s="13">
        <f t="shared" si="89"/>
        <v>55.40345606744792</v>
      </c>
      <c r="AL102" s="20">
        <f t="shared" si="58"/>
        <v>490.00289665080459</v>
      </c>
      <c r="AM102" s="59">
        <f t="shared" si="59"/>
        <v>783.33622998413784</v>
      </c>
      <c r="AN102" s="59">
        <f ca="1">AVERAGE(OFFSET($AM$3,0,0,'Données projet'!$E$10+1,1))-AVERAGE(OFFSET($H$3,0,0,'Données projet'!$E$10+1,1))</f>
        <v>206.53345322763442</v>
      </c>
      <c r="AO102" s="59">
        <f t="shared" si="90"/>
        <v>96.700732426680929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15.259660538453497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1.1451851149055012E-6</v>
      </c>
      <c r="AX102" s="21">
        <f t="shared" si="60"/>
        <v>15.259661683638612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5.9</v>
      </c>
      <c r="BD102" s="12">
        <f>IF('Données projet'!$A$88&gt;35,BD101+BC102-BL101,IF(A102&lt;'Données projet'!$A$88,$BA$205^A102,IF(A102='Données projet'!$A$88,'Données projet'!$B$88,BD101+BC102-BL101)))</f>
        <v>355.0999999999998</v>
      </c>
      <c r="BE102" s="13">
        <f>BD102*VLOOKUP('Données projet'!$B$11,Paramètres!$A$1:$I$89,3,0)*VLOOKUP('Données projet'!$B$11,Paramètres!$A$1:$I$89,5,0)</f>
        <v>299.13623999999987</v>
      </c>
      <c r="BF102" s="13">
        <f t="shared" si="91"/>
        <v>70.995355826722829</v>
      </c>
      <c r="BG102" s="20">
        <f t="shared" si="61"/>
        <v>644.64586273154202</v>
      </c>
      <c r="BH102" s="59">
        <f t="shared" si="62"/>
        <v>937.9791960648754</v>
      </c>
      <c r="BI102" s="59">
        <f ca="1">AVERAGE(OFFSET($BH$3,0,0,'Données projet'!$E$11+1,1))-AVERAGE(OFFSET($H$3,0,0,'Données projet'!$E$11+1,1))</f>
        <v>328.34986205643321</v>
      </c>
      <c r="BJ102" s="59">
        <f t="shared" si="92"/>
        <v>251.60894449147008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39.887707608930604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6.0462183852934866E-8</v>
      </c>
      <c r="BS102" s="22">
        <f t="shared" si="63"/>
        <v>39.887707669392789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5.9</v>
      </c>
      <c r="BY102" s="12">
        <f>IF('Données projet'!$A$114&gt;35,BY101+BX102-CG101,IF(A102&lt;'Données projet'!$A$114,$BV$205^A102,IF(A102='Données projet'!$A$114,'Données projet'!$B$114,BY101+BX102-CG101)))</f>
        <v>355.0999999999998</v>
      </c>
      <c r="BZ102" s="13">
        <f>BY102*VLOOKUP('Données projet'!$B$12,Paramètres!$A$1:$I$89,3,0)*VLOOKUP('Données projet'!$B$12,Paramètres!$A$1:$I$89,5,0)</f>
        <v>321.29447999999979</v>
      </c>
      <c r="CA102" s="13">
        <f t="shared" si="93"/>
        <v>75.6226320847924</v>
      </c>
      <c r="CB102" s="20">
        <f t="shared" si="64"/>
        <v>691.29730354767969</v>
      </c>
      <c r="CC102" s="59">
        <f t="shared" si="65"/>
        <v>984.63063688101306</v>
      </c>
      <c r="CD102" s="59">
        <f ca="1">AVERAGE(OFFSET($CC$3,0,0,'Données projet'!$E$12+1,1))-AVERAGE(OFFSET($H$3,0,0,'Données projet'!$E$12+1,1))</f>
        <v>360.44607552967267</v>
      </c>
      <c r="CE102" s="59">
        <f t="shared" si="94"/>
        <v>271.54361159160169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42.842352616999541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6.4940864138337482E-8</v>
      </c>
      <c r="CN102" s="22">
        <f t="shared" si="66"/>
        <v>42.842352681940405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309.89554000341082</v>
      </c>
      <c r="CZ102" s="59">
        <f t="shared" si="96"/>
        <v>465.9235824539021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64.690283640660752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3.5253619857738846E-7</v>
      </c>
      <c r="DI102" s="22">
        <f t="shared" si="69"/>
        <v>64.690283993196957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273</v>
      </c>
      <c r="L103" s="12">
        <f>VLOOKUP(A103,'Données projet'!$A$35:$I$55,9,0)</f>
        <v>3.2</v>
      </c>
      <c r="M103" s="12">
        <f t="array" ref="M103">INDEX(L:L,MIN(IF(ISNUMBER(L103:L299),ROW(L103:L299),"")))</f>
        <v>3.2</v>
      </c>
      <c r="N103" s="13">
        <f>IF('Données projet'!$A$36&gt;35,N102+M103-V102,IF(A103&lt;'Données projet'!$A$36,$K$205^A103,IF(A103='Données projet'!$A$36,'Données projet'!$B$36,N102+M103-V102)))</f>
        <v>272.99999999999983</v>
      </c>
      <c r="O103" s="13">
        <f>N103*VLOOKUP('Données projet'!$B$9,Paramètres!$A$1:$I$89,3,0)*VLOOKUP('Données projet'!$B$9,Paramètres!$A$1:$I$89,5,0)</f>
        <v>238.49279999999987</v>
      </c>
      <c r="P103" s="13">
        <f t="shared" si="87"/>
        <v>58.115130258576542</v>
      </c>
      <c r="Q103" s="20">
        <f t="shared" si="107"/>
        <v>516.59214520035391</v>
      </c>
      <c r="R103" s="59">
        <f t="shared" si="55"/>
        <v>809.92547853368728</v>
      </c>
      <c r="S103" s="59">
        <f ca="1">AVERAGE(OFFSET($R$3,0,0,'Données projet'!$E$9+1,1))-AVERAGE(OFFSET($H$3,0,0,'Données projet'!$E$9+1,1))</f>
        <v>281.82797419088109</v>
      </c>
      <c r="T103" s="59">
        <f t="shared" si="88"/>
        <v>298.98873283425371</v>
      </c>
      <c r="U103" s="15">
        <f>IF(ISNA(VLOOKUP(A103,'Données projet'!$A$35:$I$55,3,0)),0,VLOOKUP(A103,'Données projet'!$A$35:$I$55,3,0))</f>
        <v>19</v>
      </c>
      <c r="V103" s="15">
        <f>IF(ISNA(VLOOKUP(A103,'Données projet'!$A$35:$I$55,4,0)),0,VLOOKUP(A103,'Données projet'!$A$35:$I$55,4,0))</f>
        <v>273</v>
      </c>
      <c r="W103" s="16">
        <f>IF(ISNA(VLOOKUP(A103,'Données projet'!$A$35:$I$55,5,0)),0%,VLOOKUP(A103,'Données projet'!$A$35:$I$55,5,0)*VLOOKUP('Données projet'!$B$9,Paramètres!$A$1:$I$89,7,0))</f>
        <v>0.38700000000000001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150.84050536518689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1.0450945126584044E-7</v>
      </c>
      <c r="AC103" s="22">
        <f t="shared" si="57"/>
        <v>150.84050546969632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230</v>
      </c>
      <c r="AG103" s="12">
        <f>VLOOKUP(A103,'Données projet'!$A$61:$I$81,9,0)</f>
        <v>3.7</v>
      </c>
      <c r="AH103" s="12">
        <f t="array" ref="AH103">INDEX(AG:AG,MIN(IF(ISNUMBER(AG103:AG299),ROW(AG103:AG299),"")))</f>
        <v>3.7</v>
      </c>
      <c r="AI103" s="13">
        <f>IF('Données projet'!$A$62&gt;35,AI102+AH103-AQ102,IF(A103&lt;'Données projet'!$A$62,$AF$205^A103,IF(A103='Données projet'!$A$62,'Données projet'!$B$62,AI102+AH103-AQ102)))</f>
        <v>229.99999999999969</v>
      </c>
      <c r="AJ103" s="13">
        <f>AI103*VLOOKUP('Données projet'!$B$10,Paramètres!$A$1:$I$89,3,0)*VLOOKUP('Données projet'!$B$10,Paramètres!$A$1:$I$89,5,0)</f>
        <v>229.63199999999969</v>
      </c>
      <c r="AK103" s="13">
        <f t="shared" si="89"/>
        <v>56.20310391330662</v>
      </c>
      <c r="AL103" s="20">
        <f t="shared" si="58"/>
        <v>497.82947264900849</v>
      </c>
      <c r="AM103" s="59">
        <f t="shared" si="59"/>
        <v>791.16280598234175</v>
      </c>
      <c r="AN103" s="59">
        <f ca="1">AVERAGE(OFFSET($AM$3,0,0,'Données projet'!$E$10+1,1))-AVERAGE(OFFSET($H$3,0,0,'Données projet'!$E$10+1,1))</f>
        <v>206.53345322763442</v>
      </c>
      <c r="AO103" s="59">
        <f t="shared" si="90"/>
        <v>96.700732426680929</v>
      </c>
      <c r="AP103" s="15">
        <f>IF(ISNA(VLOOKUP(A103,'Données projet'!$A$61:$I$81,3,0)),0,VLOOKUP(A103,'Données projet'!$A$61:$I$81,3,0))</f>
        <v>8</v>
      </c>
      <c r="AQ103" s="15">
        <f>IF(ISNA(VLOOKUP(A103,'Données projet'!$A$61:$I$81,4,0)),0,VLOOKUP(A103,'Données projet'!$A$61:$I$81,4,0))</f>
        <v>28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28.24899549095371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8.0976816046357549E-7</v>
      </c>
      <c r="AX103" s="21">
        <f t="shared" si="60"/>
        <v>28.248996300721871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361</v>
      </c>
      <c r="BB103" s="12">
        <f>VLOOKUP(A103,'Données projet'!$A$87:$I$107,9,0)</f>
        <v>5.9</v>
      </c>
      <c r="BC103" s="12">
        <f t="array" ref="BC103">INDEX(BB:BB,MIN(IF(ISNUMBER(BB103:BB299),ROW(BB103:BB299),"")))</f>
        <v>5.9</v>
      </c>
      <c r="BD103" s="12">
        <f>IF('Données projet'!$A$88&gt;35,BD102+BC103-BL102,IF(A103&lt;'Données projet'!$A$88,$BA$205^A103,IF(A103='Données projet'!$A$88,'Données projet'!$B$88,BD102+BC103-BL102)))</f>
        <v>360.99999999999977</v>
      </c>
      <c r="BE103" s="13">
        <f>BD103*VLOOKUP('Données projet'!$B$11,Paramètres!$A$1:$I$89,3,0)*VLOOKUP('Données projet'!$B$11,Paramètres!$A$1:$I$89,5,0)</f>
        <v>304.10639999999984</v>
      </c>
      <c r="BF103" s="13">
        <f t="shared" si="91"/>
        <v>72.036640316223298</v>
      </c>
      <c r="BG103" s="20">
        <f t="shared" si="61"/>
        <v>655.11579521742192</v>
      </c>
      <c r="BH103" s="59">
        <f t="shared" si="62"/>
        <v>948.44912855075518</v>
      </c>
      <c r="BI103" s="59">
        <f ca="1">AVERAGE(OFFSET($BH$3,0,0,'Données projet'!$E$11+1,1))-AVERAGE(OFFSET($H$3,0,0,'Données projet'!$E$11+1,1))</f>
        <v>328.34986205643321</v>
      </c>
      <c r="BJ103" s="59">
        <f t="shared" si="92"/>
        <v>251.60894449147008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55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39.105533991818817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4.2753220207758021E-8</v>
      </c>
      <c r="BS103" s="22">
        <f t="shared" si="63"/>
        <v>39.105534034572038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361</v>
      </c>
      <c r="BW103" s="12">
        <f>VLOOKUP(A103,'Données projet'!$A$113:$I$133,9,0)</f>
        <v>5.9</v>
      </c>
      <c r="BX103" s="12">
        <f t="array" ref="BX103">INDEX(BW:BW,MIN(IF(ISNUMBER(BW103:BW299),ROW(BW103:BW299),"")))</f>
        <v>5.9</v>
      </c>
      <c r="BY103" s="12">
        <f>IF('Données projet'!$A$114&gt;35,BY102+BX103-CG102,IF(A103&lt;'Données projet'!$A$114,$BV$205^A103,IF(A103='Données projet'!$A$114,'Données projet'!$B$114,BY102+BX103-CG102)))</f>
        <v>360.99999999999977</v>
      </c>
      <c r="BZ103" s="13">
        <f>BY103*VLOOKUP('Données projet'!$B$12,Paramètres!$A$1:$I$89,3,0)*VLOOKUP('Données projet'!$B$12,Paramètres!$A$1:$I$89,5,0)</f>
        <v>326.6327999999998</v>
      </c>
      <c r="CA103" s="13">
        <f t="shared" si="93"/>
        <v>76.731784548754774</v>
      </c>
      <c r="CB103" s="20">
        <f t="shared" si="64"/>
        <v>702.52665142241415</v>
      </c>
      <c r="CC103" s="59">
        <f t="shared" si="65"/>
        <v>995.85998475574752</v>
      </c>
      <c r="CD103" s="59">
        <f ca="1">AVERAGE(OFFSET($CC$3,0,0,'Données projet'!$E$12+1,1))-AVERAGE(OFFSET($H$3,0,0,'Données projet'!$E$12+1,1))</f>
        <v>360.44607552967267</v>
      </c>
      <c r="CE103" s="59">
        <f t="shared" si="94"/>
        <v>271.54361159160169</v>
      </c>
      <c r="CF103" s="15">
        <f>IF(ISNA(VLOOKUP(A103,'Données projet'!$A$113:$I$133,3,0)),0,VLOOKUP(A103,'Données projet'!$A$113:$I$133,3,0))</f>
        <v>9</v>
      </c>
      <c r="CG103" s="15">
        <f>IF(ISNA(VLOOKUP(A103,'Données projet'!$A$113:$I$133,4,0)),0,VLOOKUP(A103,'Données projet'!$A$113:$I$133,4,0))</f>
        <v>55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42.00224021343503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4.5920125408332714E-8</v>
      </c>
      <c r="CN103" s="22">
        <f t="shared" si="66"/>
        <v>42.002240259355155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309.89554000341082</v>
      </c>
      <c r="CZ103" s="59">
        <f t="shared" si="96"/>
        <v>465.9235824539021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63.42174663564434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2.4928073662779868E-7</v>
      </c>
      <c r="DI103" s="22">
        <f t="shared" si="69"/>
        <v>63.421746884925078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-1.4897523215040567E-13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281.82797419088109</v>
      </c>
      <c r="T104" s="59">
        <f t="shared" si="88"/>
        <v>298.98873283425371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147.88261505859924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7.3899341688160786E-8</v>
      </c>
      <c r="AC104" s="22">
        <f t="shared" si="57"/>
        <v>147.88261513249859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3.2</v>
      </c>
      <c r="AI104" s="13">
        <f>IF('Données projet'!$A$62&gt;35,AI103+AH104-AQ103,IF(A104&lt;'Données projet'!$A$62,$AF$205^A104,IF(A104='Données projet'!$A$62,'Données projet'!$B$62,AI103+AH104-AQ103)))</f>
        <v>205.19999999999968</v>
      </c>
      <c r="AJ104" s="13">
        <f>AI104*VLOOKUP('Données projet'!$B$10,Paramètres!$A$1:$I$89,3,0)*VLOOKUP('Données projet'!$B$10,Paramètres!$A$1:$I$89,5,0)</f>
        <v>204.87167999999971</v>
      </c>
      <c r="AK104" s="13">
        <f t="shared" si="89"/>
        <v>50.813311308577212</v>
      </c>
      <c r="AL104" s="20">
        <f t="shared" si="58"/>
        <v>445.31802652910477</v>
      </c>
      <c r="AM104" s="59">
        <f t="shared" si="59"/>
        <v>738.65135986243808</v>
      </c>
      <c r="AN104" s="59">
        <f ca="1">AVERAGE(OFFSET($AM$3,0,0,'Données projet'!$E$10+1,1))-AVERAGE(OFFSET($H$3,0,0,'Données projet'!$E$10+1,1))</f>
        <v>206.53345322763442</v>
      </c>
      <c r="AO104" s="59">
        <f t="shared" si="90"/>
        <v>96.700732426680929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27.695049919562017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5.7259255745275058E-7</v>
      </c>
      <c r="AX104" s="21">
        <f t="shared" si="60"/>
        <v>27.695050492154575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5.2</v>
      </c>
      <c r="BD104" s="12">
        <f>IF('Données projet'!$A$88&gt;35,BD103+BC104-BL103,IF(A104&lt;'Données projet'!$A$88,$BA$205^A104,IF(A104='Données projet'!$A$88,'Données projet'!$B$88,BD103+BC104-BL103)))</f>
        <v>311.19999999999976</v>
      </c>
      <c r="BE104" s="13">
        <f>BD104*VLOOKUP('Données projet'!$B$11,Paramètres!$A$1:$I$89,3,0)*VLOOKUP('Données projet'!$B$11,Paramètres!$A$1:$I$89,5,0)</f>
        <v>262.15487999999982</v>
      </c>
      <c r="BF104" s="13">
        <f t="shared" si="91"/>
        <v>63.181490407105123</v>
      </c>
      <c r="BG104" s="20">
        <f t="shared" si="61"/>
        <v>566.62751179237432</v>
      </c>
      <c r="BH104" s="59">
        <f t="shared" si="62"/>
        <v>859.96084512570769</v>
      </c>
      <c r="BI104" s="59">
        <f ca="1">AVERAGE(OFFSET($BH$3,0,0,'Données projet'!$E$11+1,1))-AVERAGE(OFFSET($H$3,0,0,'Données projet'!$E$11+1,1))</f>
        <v>328.34986205643321</v>
      </c>
      <c r="BJ104" s="59">
        <f t="shared" si="92"/>
        <v>251.60894449147008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38.338698322259795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3.0231091926467433E-8</v>
      </c>
      <c r="BS104" s="22">
        <f t="shared" si="63"/>
        <v>38.338698352490887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5.2</v>
      </c>
      <c r="BY104" s="12">
        <f>IF('Données projet'!$A$114&gt;35,BY103+BX104-CG103,IF(A104&lt;'Données projet'!$A$114,$BV$205^A104,IF(A104='Données projet'!$A$114,'Données projet'!$B$114,BY103+BX104-CG103)))</f>
        <v>311.19999999999976</v>
      </c>
      <c r="BZ104" s="13">
        <f>BY104*VLOOKUP('Données projet'!$B$12,Paramètres!$A$1:$I$89,3,0)*VLOOKUP('Données projet'!$B$12,Paramètres!$A$1:$I$89,5,0)</f>
        <v>281.57375999999977</v>
      </c>
      <c r="CA104" s="13">
        <f t="shared" si="93"/>
        <v>67.299481043334993</v>
      </c>
      <c r="CB104" s="20">
        <f t="shared" si="64"/>
        <v>607.62089481714133</v>
      </c>
      <c r="CC104" s="59">
        <f t="shared" si="65"/>
        <v>900.95422815047459</v>
      </c>
      <c r="CD104" s="59">
        <f ca="1">AVERAGE(OFFSET($CC$3,0,0,'Données projet'!$E$12+1,1))-AVERAGE(OFFSET($H$3,0,0,'Données projet'!$E$12+1,1))</f>
        <v>360.44607552967267</v>
      </c>
      <c r="CE104" s="59">
        <f t="shared" si="94"/>
        <v>271.54361159160169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41.178601901686449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3.2470432069168741E-8</v>
      </c>
      <c r="CN104" s="22">
        <f t="shared" si="66"/>
        <v>41.17860193415688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309.89554000341082</v>
      </c>
      <c r="CZ104" s="59">
        <f t="shared" si="96"/>
        <v>465.9235824539021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62.178084867565126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1.7626809928869423E-7</v>
      </c>
      <c r="DI104" s="22">
        <f t="shared" si="69"/>
        <v>62.178085043833228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-1.4897523215040567E-13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281.82797419088109</v>
      </c>
      <c r="T105" s="59">
        <f t="shared" si="88"/>
        <v>298.98873283425371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144.98272717678884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5.2254725632920219E-8</v>
      </c>
      <c r="AC105" s="22">
        <f t="shared" si="57"/>
        <v>144.98272722904358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3.2</v>
      </c>
      <c r="AI105" s="13">
        <f>IF('Données projet'!$A$62&gt;35,AI104+AH105-AQ104,IF(A105&lt;'Données projet'!$A$62,$AF$205^A105,IF(A105='Données projet'!$A$62,'Données projet'!$B$62,AI104+AH105-AQ104)))</f>
        <v>208.39999999999966</v>
      </c>
      <c r="AJ105" s="13">
        <f>AI105*VLOOKUP('Données projet'!$B$10,Paramètres!$A$1:$I$89,3,0)*VLOOKUP('Données projet'!$B$10,Paramètres!$A$1:$I$89,5,0)</f>
        <v>208.06655999999967</v>
      </c>
      <c r="AK105" s="13">
        <f t="shared" si="89"/>
        <v>51.512853239344317</v>
      </c>
      <c r="AL105" s="20">
        <f t="shared" si="58"/>
        <v>452.10081139185741</v>
      </c>
      <c r="AM105" s="59">
        <f t="shared" si="59"/>
        <v>745.43414472519066</v>
      </c>
      <c r="AN105" s="59">
        <f ca="1">AVERAGE(OFFSET($AM$3,0,0,'Données projet'!$E$10+1,1))-AVERAGE(OFFSET($H$3,0,0,'Données projet'!$E$10+1,1))</f>
        <v>206.53345322763442</v>
      </c>
      <c r="AO105" s="59">
        <f t="shared" si="90"/>
        <v>96.700732426680929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27.151966882951879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4.0488408023178775E-7</v>
      </c>
      <c r="AX105" s="21">
        <f t="shared" si="60"/>
        <v>27.151967287835959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5.2</v>
      </c>
      <c r="BD105" s="12">
        <f>IF('Données projet'!$A$88&gt;35,BD104+BC105-BL104,IF(A105&lt;'Données projet'!$A$88,$BA$205^A105,IF(A105='Données projet'!$A$88,'Données projet'!$B$88,BD104+BC105-BL104)))</f>
        <v>316.39999999999975</v>
      </c>
      <c r="BE105" s="13">
        <f>BD105*VLOOKUP('Données projet'!$B$11,Paramètres!$A$1:$I$89,3,0)*VLOOKUP('Données projet'!$B$11,Paramètres!$A$1:$I$89,5,0)</f>
        <v>266.5353599999998</v>
      </c>
      <c r="BF105" s="13">
        <f t="shared" si="91"/>
        <v>64.113433471449738</v>
      </c>
      <c r="BG105" s="20">
        <f t="shared" si="61"/>
        <v>575.87998196277465</v>
      </c>
      <c r="BH105" s="59">
        <f t="shared" si="62"/>
        <v>869.21331529610802</v>
      </c>
      <c r="BI105" s="59">
        <f ca="1">AVERAGE(OFFSET($BH$3,0,0,'Données projet'!$E$11+1,1))-AVERAGE(OFFSET($H$3,0,0,'Données projet'!$E$11+1,1))</f>
        <v>328.34986205643321</v>
      </c>
      <c r="BJ105" s="59">
        <f t="shared" si="92"/>
        <v>251.60894449147008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37.586899832457249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2.137661010387901E-8</v>
      </c>
      <c r="BS105" s="22">
        <f t="shared" si="63"/>
        <v>37.586899853833856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5.2</v>
      </c>
      <c r="BY105" s="12">
        <f>IF('Données projet'!$A$114&gt;35,BY104+BX105-CG104,IF(A105&lt;'Données projet'!$A$114,$BV$205^A105,IF(A105='Données projet'!$A$114,'Données projet'!$B$114,BY104+BX105-CG104)))</f>
        <v>316.39999999999975</v>
      </c>
      <c r="BZ105" s="13">
        <f>BY105*VLOOKUP('Données projet'!$B$12,Paramètres!$A$1:$I$89,3,0)*VLOOKUP('Données projet'!$B$12,Paramètres!$A$1:$I$89,5,0)</f>
        <v>286.27871999999974</v>
      </c>
      <c r="CA105" s="13">
        <f t="shared" si="93"/>
        <v>68.292165517667542</v>
      </c>
      <c r="CB105" s="20">
        <f t="shared" si="64"/>
        <v>617.54429227660387</v>
      </c>
      <c r="CC105" s="59">
        <f t="shared" si="65"/>
        <v>910.87762560993724</v>
      </c>
      <c r="CD105" s="59">
        <f ca="1">AVERAGE(OFFSET($CC$3,0,0,'Données projet'!$E$12+1,1))-AVERAGE(OFFSET($H$3,0,0,'Données projet'!$E$12+1,1))</f>
        <v>360.44607552967267</v>
      </c>
      <c r="CE105" s="59">
        <f t="shared" si="94"/>
        <v>271.54361159160169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40.371114634861492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2.2960062704166357E-8</v>
      </c>
      <c r="CN105" s="22">
        <f t="shared" si="66"/>
        <v>40.371114657821558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309.89554000341082</v>
      </c>
      <c r="CZ105" s="59">
        <f t="shared" si="96"/>
        <v>465.9235824539021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60.958810548199175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1.2464036831389934E-7</v>
      </c>
      <c r="DI105" s="22">
        <f t="shared" si="69"/>
        <v>60.95881067283954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-1.4897523215040567E-13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281.82797419088109</v>
      </c>
      <c r="T106" s="59">
        <f t="shared" si="88"/>
        <v>298.98873283425371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142.13970432758379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3.6949670844080393E-8</v>
      </c>
      <c r="AC106" s="22">
        <f t="shared" si="57"/>
        <v>142.13970436453346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3.2</v>
      </c>
      <c r="AI106" s="13">
        <f>IF('Données projet'!$A$62&gt;35,AI105+AH106-AQ105,IF(A106&lt;'Données projet'!$A$62,$AF$205^A106,IF(A106='Données projet'!$A$62,'Données projet'!$B$62,AI105+AH106-AQ105)))</f>
        <v>211.59999999999965</v>
      </c>
      <c r="AJ106" s="13">
        <f>AI106*VLOOKUP('Données projet'!$B$10,Paramètres!$A$1:$I$89,3,0)*VLOOKUP('Données projet'!$B$10,Paramètres!$A$1:$I$89,5,0)</f>
        <v>211.26143999999965</v>
      </c>
      <c r="AK106" s="13">
        <f t="shared" si="89"/>
        <v>52.211145921188368</v>
      </c>
      <c r="AL106" s="20">
        <f t="shared" si="58"/>
        <v>458.88142047940238</v>
      </c>
      <c r="AM106" s="59">
        <f t="shared" si="59"/>
        <v>752.21475381273569</v>
      </c>
      <c r="AN106" s="59">
        <f ca="1">AVERAGE(OFFSET($AM$3,0,0,'Données projet'!$E$10+1,1))-AVERAGE(OFFSET($H$3,0,0,'Données projet'!$E$10+1,1))</f>
        <v>206.53345322763442</v>
      </c>
      <c r="AO106" s="59">
        <f t="shared" si="90"/>
        <v>96.700732426680929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26.619533373441723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2.8629627872637529E-7</v>
      </c>
      <c r="AX106" s="21">
        <f t="shared" si="60"/>
        <v>26.619533659738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5.2</v>
      </c>
      <c r="BD106" s="12">
        <f>IF('Données projet'!$A$88&gt;35,BD105+BC106-BL105,IF(A106&lt;'Données projet'!$A$88,$BA$205^A106,IF(A106='Données projet'!$A$88,'Données projet'!$B$88,BD105+BC106-BL105)))</f>
        <v>321.59999999999974</v>
      </c>
      <c r="BE106" s="13">
        <f>BD106*VLOOKUP('Données projet'!$B$11,Paramètres!$A$1:$I$89,3,0)*VLOOKUP('Données projet'!$B$11,Paramètres!$A$1:$I$89,5,0)</f>
        <v>270.91583999999983</v>
      </c>
      <c r="BF106" s="13">
        <f t="shared" si="91"/>
        <v>65.043595328112488</v>
      </c>
      <c r="BG106" s="20">
        <f t="shared" si="61"/>
        <v>585.12934986312894</v>
      </c>
      <c r="BH106" s="59">
        <f t="shared" si="62"/>
        <v>878.46268319646219</v>
      </c>
      <c r="BI106" s="59">
        <f ca="1">AVERAGE(OFFSET($BH$3,0,0,'Données projet'!$E$11+1,1))-AVERAGE(OFFSET($H$3,0,0,'Données projet'!$E$11+1,1))</f>
        <v>328.34986205643321</v>
      </c>
      <c r="BJ106" s="59">
        <f t="shared" si="92"/>
        <v>251.60894449147008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36.849843652487934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1.5115545963233716E-8</v>
      </c>
      <c r="BS106" s="22">
        <f t="shared" si="63"/>
        <v>36.84984366760348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5.2</v>
      </c>
      <c r="BY106" s="12">
        <f>IF('Données projet'!$A$114&gt;35,BY105+BX106-CG105,IF(A106&lt;'Données projet'!$A$114,$BV$205^A106,IF(A106='Données projet'!$A$114,'Données projet'!$B$114,BY105+BX106-CG105)))</f>
        <v>321.59999999999974</v>
      </c>
      <c r="BZ106" s="13">
        <f>BY106*VLOOKUP('Données projet'!$B$12,Paramètres!$A$1:$I$89,3,0)*VLOOKUP('Données projet'!$B$12,Paramètres!$A$1:$I$89,5,0)</f>
        <v>290.98367999999977</v>
      </c>
      <c r="CA106" s="13">
        <f t="shared" si="93"/>
        <v>69.282952690245352</v>
      </c>
      <c r="CB106" s="20">
        <f t="shared" si="64"/>
        <v>627.46438526884356</v>
      </c>
      <c r="CC106" s="59">
        <f t="shared" si="65"/>
        <v>920.79771860217693</v>
      </c>
      <c r="CD106" s="59">
        <f ca="1">AVERAGE(OFFSET($CC$3,0,0,'Données projet'!$E$12+1,1))-AVERAGE(OFFSET($H$3,0,0,'Données projet'!$E$12+1,1))</f>
        <v>360.44607552967267</v>
      </c>
      <c r="CE106" s="59">
        <f t="shared" si="94"/>
        <v>271.54361159160169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39.579461700820374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1.6235216034584371E-8</v>
      </c>
      <c r="CN106" s="22">
        <f t="shared" si="66"/>
        <v>39.579461717055594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309.89554000341082</v>
      </c>
      <c r="CZ106" s="59">
        <f t="shared" si="96"/>
        <v>465.9235824539021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59.763445454552084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8.8134049644347114E-8</v>
      </c>
      <c r="DI106" s="22">
        <f t="shared" si="69"/>
        <v>59.763445542686135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-1.4897523215040567E-13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281.82797419088109</v>
      </c>
      <c r="T107" s="59">
        <f t="shared" si="88"/>
        <v>298.98873283425371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139.35243142237891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2.6127362816460109E-8</v>
      </c>
      <c r="AC107" s="22">
        <f t="shared" si="57"/>
        <v>139.35243144850628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3.2</v>
      </c>
      <c r="AI107" s="13">
        <f>IF('Données projet'!$A$62&gt;35,AI106+AH107-AQ106,IF(A107&lt;'Données projet'!$A$62,$AF$205^A107,IF(A107='Données projet'!$A$62,'Données projet'!$B$62,AI106+AH107-AQ106)))</f>
        <v>214.79999999999964</v>
      </c>
      <c r="AJ107" s="13">
        <f>AI107*VLOOKUP('Données projet'!$B$10,Paramètres!$A$1:$I$89,3,0)*VLOOKUP('Données projet'!$B$10,Paramètres!$A$1:$I$89,5,0)</f>
        <v>214.45631999999966</v>
      </c>
      <c r="AK107" s="13">
        <f t="shared" si="89"/>
        <v>52.908210428463541</v>
      </c>
      <c r="AL107" s="20">
        <f t="shared" si="58"/>
        <v>465.65989049624</v>
      </c>
      <c r="AM107" s="59">
        <f t="shared" si="59"/>
        <v>758.99322382957325</v>
      </c>
      <c r="AN107" s="59">
        <f ca="1">AVERAGE(OFFSET($AM$3,0,0,'Données projet'!$E$10+1,1))-AVERAGE(OFFSET($H$3,0,0,'Données projet'!$E$10+1,1))</f>
        <v>206.53345322763442</v>
      </c>
      <c r="AO107" s="59">
        <f t="shared" si="90"/>
        <v>96.700732426680929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26.097540560300686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2.0244204011589387E-7</v>
      </c>
      <c r="AX107" s="21">
        <f t="shared" si="60"/>
        <v>26.097540762742728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5.2</v>
      </c>
      <c r="BD107" s="12">
        <f>IF('Données projet'!$A$88&gt;35,BD106+BC107-BL106,IF(A107&lt;'Données projet'!$A$88,$BA$205^A107,IF(A107='Données projet'!$A$88,'Données projet'!$B$88,BD106+BC107-BL106)))</f>
        <v>326.79999999999973</v>
      </c>
      <c r="BE107" s="13">
        <f>BD107*VLOOKUP('Données projet'!$B$11,Paramètres!$A$1:$I$89,3,0)*VLOOKUP('Données projet'!$B$11,Paramètres!$A$1:$I$89,5,0)</f>
        <v>275.29631999999981</v>
      </c>
      <c r="BF107" s="13">
        <f t="shared" si="91"/>
        <v>65.972008102689301</v>
      </c>
      <c r="BG107" s="20">
        <f t="shared" si="61"/>
        <v>594.37567144551679</v>
      </c>
      <c r="BH107" s="59">
        <f t="shared" si="62"/>
        <v>887.70900477885016</v>
      </c>
      <c r="BI107" s="59">
        <f ca="1">AVERAGE(OFFSET($BH$3,0,0,'Données projet'!$E$11+1,1))-AVERAGE(OFFSET($H$3,0,0,'Données projet'!$E$11+1,1))</f>
        <v>328.34986205643321</v>
      </c>
      <c r="BJ107" s="59">
        <f t="shared" si="92"/>
        <v>251.60894449147008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36.127240694647938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1.0688305051939505E-8</v>
      </c>
      <c r="BS107" s="22">
        <f t="shared" si="63"/>
        <v>36.127240705336241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5.2</v>
      </c>
      <c r="BY107" s="12">
        <f>IF('Données projet'!$A$114&gt;35,BY106+BX107-CG106,IF(A107&lt;'Données projet'!$A$114,$BV$205^A107,IF(A107='Données projet'!$A$114,'Données projet'!$B$114,BY106+BX107-CG106)))</f>
        <v>326.79999999999973</v>
      </c>
      <c r="BZ107" s="13">
        <f>BY107*VLOOKUP('Données projet'!$B$12,Paramètres!$A$1:$I$89,3,0)*VLOOKUP('Données projet'!$B$12,Paramètres!$A$1:$I$89,5,0)</f>
        <v>295.68863999999974</v>
      </c>
      <c r="CA107" s="13">
        <f t="shared" si="93"/>
        <v>70.271876780519676</v>
      </c>
      <c r="CB107" s="20">
        <f t="shared" si="64"/>
        <v>637.38123339273795</v>
      </c>
      <c r="CC107" s="59">
        <f t="shared" si="65"/>
        <v>930.71456672607133</v>
      </c>
      <c r="CD107" s="59">
        <f ca="1">AVERAGE(OFFSET($CC$3,0,0,'Données projet'!$E$12+1,1))-AVERAGE(OFFSET($H$3,0,0,'Données projet'!$E$12+1,1))</f>
        <v>360.44607552967267</v>
      </c>
      <c r="CE107" s="59">
        <f t="shared" si="94"/>
        <v>271.54361159160169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38.80333259795519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1.1480031352083178E-8</v>
      </c>
      <c r="CN107" s="22">
        <f t="shared" si="66"/>
        <v>38.803332609435223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309.89554000341082</v>
      </c>
      <c r="CZ107" s="59">
        <f t="shared" si="96"/>
        <v>465.9235824539021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58.591520741290701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6.232018415694967E-8</v>
      </c>
      <c r="DI107" s="22">
        <f t="shared" si="69"/>
        <v>58.591520803610884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-1.4897523215040567E-13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281.82797419088109</v>
      </c>
      <c r="T108" s="59">
        <f t="shared" si="88"/>
        <v>298.98873283425371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136.61981523877651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1.8474835422040196E-8</v>
      </c>
      <c r="AC108" s="22">
        <f t="shared" si="57"/>
        <v>136.61981525725133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3.2</v>
      </c>
      <c r="AI108" s="13">
        <f>IF('Données projet'!$A$62&gt;35,AI107+AH108-AQ107,IF(A108&lt;'Données projet'!$A$62,$AF$205^A108,IF(A108='Données projet'!$A$62,'Données projet'!$B$62,AI107+AH108-AQ107)))</f>
        <v>217.99999999999963</v>
      </c>
      <c r="AJ108" s="13">
        <f>AI108*VLOOKUP('Données projet'!$B$10,Paramètres!$A$1:$I$89,3,0)*VLOOKUP('Données projet'!$B$10,Paramètres!$A$1:$I$89,5,0)</f>
        <v>217.65119999999962</v>
      </c>
      <c r="AK108" s="13">
        <f t="shared" si="89"/>
        <v>53.604067171568147</v>
      </c>
      <c r="AL108" s="20">
        <f t="shared" si="58"/>
        <v>472.43625699048044</v>
      </c>
      <c r="AM108" s="59">
        <f t="shared" si="59"/>
        <v>765.76959032381376</v>
      </c>
      <c r="AN108" s="59">
        <f ca="1">AVERAGE(OFFSET($AM$3,0,0,'Données projet'!$E$10+1,1))-AVERAGE(OFFSET($H$3,0,0,'Données projet'!$E$10+1,1))</f>
        <v>206.53345322763442</v>
      </c>
      <c r="AO108" s="59">
        <f t="shared" si="90"/>
        <v>96.700732426680929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25.585783707841166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1.4314813936318764E-7</v>
      </c>
      <c r="AX108" s="21">
        <f t="shared" si="60"/>
        <v>25.585783850989305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5.2</v>
      </c>
      <c r="BD108" s="12">
        <f>IF('Données projet'!$A$88&gt;35,BD107+BC108-BL107,IF(A108&lt;'Données projet'!$A$88,$BA$205^A108,IF(A108='Données projet'!$A$88,'Données projet'!$B$88,BD107+BC108-BL107)))</f>
        <v>331.99999999999972</v>
      </c>
      <c r="BE108" s="13">
        <f>BD108*VLOOKUP('Données projet'!$B$11,Paramètres!$A$1:$I$89,3,0)*VLOOKUP('Données projet'!$B$11,Paramètres!$A$1:$I$89,5,0)</f>
        <v>279.67679999999979</v>
      </c>
      <c r="BF108" s="13">
        <f t="shared" si="91"/>
        <v>66.898702839782985</v>
      </c>
      <c r="BG108" s="20">
        <f t="shared" si="61"/>
        <v>603.61900077928829</v>
      </c>
      <c r="BH108" s="59">
        <f t="shared" si="62"/>
        <v>896.95233411262166</v>
      </c>
      <c r="BI108" s="59">
        <f ca="1">AVERAGE(OFFSET($BH$3,0,0,'Données projet'!$E$11+1,1))-AVERAGE(OFFSET($H$3,0,0,'Données projet'!$E$11+1,1))</f>
        <v>328.34986205643321</v>
      </c>
      <c r="BJ108" s="59">
        <f t="shared" si="92"/>
        <v>251.60894449147008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35.418807540066894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7.5577729816168582E-9</v>
      </c>
      <c r="BS108" s="22">
        <f t="shared" si="63"/>
        <v>35.418807547624667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5.2</v>
      </c>
      <c r="BY108" s="12">
        <f>IF('Données projet'!$A$114&gt;35,BY107+BX108-CG107,IF(A108&lt;'Données projet'!$A$114,$BV$205^A108,IF(A108='Données projet'!$A$114,'Données projet'!$B$114,BY107+BX108-CG107)))</f>
        <v>331.99999999999972</v>
      </c>
      <c r="BZ108" s="13">
        <f>BY108*VLOOKUP('Données projet'!$B$12,Paramètres!$A$1:$I$89,3,0)*VLOOKUP('Données projet'!$B$12,Paramètres!$A$1:$I$89,5,0)</f>
        <v>300.39359999999976</v>
      </c>
      <c r="CA108" s="13">
        <f t="shared" si="93"/>
        <v>71.258970856492667</v>
      </c>
      <c r="CB108" s="20">
        <f t="shared" si="64"/>
        <v>647.29489424172436</v>
      </c>
      <c r="CC108" s="59">
        <f t="shared" si="65"/>
        <v>940.62822757505774</v>
      </c>
      <c r="CD108" s="59">
        <f ca="1">AVERAGE(OFFSET($CC$3,0,0,'Données projet'!$E$12+1,1))-AVERAGE(OFFSET($H$3,0,0,'Données projet'!$E$12+1,1))</f>
        <v>360.44607552967267</v>
      </c>
      <c r="CE108" s="59">
        <f t="shared" si="94"/>
        <v>271.54361159160169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38.042422913405183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8.1176080172921853E-9</v>
      </c>
      <c r="CN108" s="22">
        <f t="shared" si="66"/>
        <v>38.042422921522792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309.89554000341082</v>
      </c>
      <c r="CZ108" s="59">
        <f t="shared" si="96"/>
        <v>465.9235824539021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57.44257675685288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4.4067024822173557E-8</v>
      </c>
      <c r="DI108" s="22">
        <f t="shared" si="69"/>
        <v>57.442576800919902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-1.4897523215040567E-13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281.82797419088109</v>
      </c>
      <c r="T109" s="59">
        <f t="shared" si="88"/>
        <v>298.98873283425371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133.94078399180327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1.3063681408230055E-8</v>
      </c>
      <c r="AC109" s="22">
        <f t="shared" si="57"/>
        <v>133.94078400486694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3.2</v>
      </c>
      <c r="AI109" s="13">
        <f>IF('Données projet'!$A$62&gt;35,AI108+AH109-AQ108,IF(A109&lt;'Données projet'!$A$62,$AF$205^A109,IF(A109='Données projet'!$A$62,'Données projet'!$B$62,AI108+AH109-AQ108)))</f>
        <v>221.19999999999962</v>
      </c>
      <c r="AJ109" s="13">
        <f>AI109*VLOOKUP('Données projet'!$B$10,Paramètres!$A$1:$I$89,3,0)*VLOOKUP('Données projet'!$B$10,Paramètres!$A$1:$I$89,5,0)</f>
        <v>220.84607999999963</v>
      </c>
      <c r="AK109" s="13">
        <f t="shared" si="89"/>
        <v>54.298735927295922</v>
      </c>
      <c r="AL109" s="20">
        <f t="shared" si="58"/>
        <v>479.21055440670642</v>
      </c>
      <c r="AM109" s="59">
        <f t="shared" si="59"/>
        <v>772.54388774003974</v>
      </c>
      <c r="AN109" s="59">
        <f ca="1">AVERAGE(OFFSET($AM$3,0,0,'Données projet'!$E$10+1,1))-AVERAGE(OFFSET($H$3,0,0,'Données projet'!$E$10+1,1))</f>
        <v>206.53345322763442</v>
      </c>
      <c r="AO109" s="59">
        <f t="shared" si="90"/>
        <v>96.700732426680929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25.08406209511752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1.0122102005794694E-7</v>
      </c>
      <c r="AX109" s="21">
        <f t="shared" si="60"/>
        <v>25.08406219633854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5.2</v>
      </c>
      <c r="BD109" s="12">
        <f>IF('Données projet'!$A$88&gt;35,BD108+BC109-BL108,IF(A109&lt;'Données projet'!$A$88,$BA$205^A109,IF(A109='Données projet'!$A$88,'Données projet'!$B$88,BD108+BC109-BL108)))</f>
        <v>337.1999999999997</v>
      </c>
      <c r="BE109" s="13">
        <f>BD109*VLOOKUP('Données projet'!$B$11,Paramètres!$A$1:$I$89,3,0)*VLOOKUP('Données projet'!$B$11,Paramètres!$A$1:$I$89,5,0)</f>
        <v>284.05727999999976</v>
      </c>
      <c r="BF109" s="13">
        <f t="shared" si="91"/>
        <v>67.823709555728385</v>
      </c>
      <c r="BG109" s="20">
        <f t="shared" si="61"/>
        <v>612.85939014289318</v>
      </c>
      <c r="BH109" s="59">
        <f t="shared" si="62"/>
        <v>906.19272347622655</v>
      </c>
      <c r="BI109" s="59">
        <f ca="1">AVERAGE(OFFSET($BH$3,0,0,'Données projet'!$E$11+1,1))-AVERAGE(OFFSET($H$3,0,0,'Données projet'!$E$11+1,1))</f>
        <v>328.34986205643321</v>
      </c>
      <c r="BJ109" s="59">
        <f t="shared" si="92"/>
        <v>251.60894449147008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34.724266327545628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5.3441525259697526E-9</v>
      </c>
      <c r="BS109" s="22">
        <f t="shared" si="63"/>
        <v>34.724266332889783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5.2</v>
      </c>
      <c r="BY109" s="12">
        <f>IF('Données projet'!$A$114&gt;35,BY108+BX109-CG108,IF(A109&lt;'Données projet'!$A$114,$BV$205^A109,IF(A109='Données projet'!$A$114,'Données projet'!$B$114,BY108+BX109-CG108)))</f>
        <v>337.1999999999997</v>
      </c>
      <c r="BZ109" s="13">
        <f>BY109*VLOOKUP('Données projet'!$B$12,Paramètres!$A$1:$I$89,3,0)*VLOOKUP('Données projet'!$B$12,Paramètres!$A$1:$I$89,5,0)</f>
        <v>305.09855999999974</v>
      </c>
      <c r="CA109" s="13">
        <f t="shared" si="93"/>
        <v>72.244266890878734</v>
      </c>
      <c r="CB109" s="20">
        <f t="shared" si="64"/>
        <v>657.20542350161338</v>
      </c>
      <c r="CC109" s="59">
        <f t="shared" si="65"/>
        <v>950.53875683494675</v>
      </c>
      <c r="CD109" s="59">
        <f ca="1">AVERAGE(OFFSET($CC$3,0,0,'Données projet'!$E$12+1,1))-AVERAGE(OFFSET($H$3,0,0,'Données projet'!$E$12+1,1))</f>
        <v>360.44607552967267</v>
      </c>
      <c r="CE109" s="59">
        <f t="shared" si="94"/>
        <v>271.54361159160169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37.29643420366012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5.7400156760415892E-9</v>
      </c>
      <c r="CN109" s="22">
        <f t="shared" si="66"/>
        <v>37.296434209400132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309.89554000341082</v>
      </c>
      <c r="CZ109" s="59">
        <f t="shared" si="96"/>
        <v>465.9235824539021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56.31616286316325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3.1160092078474835E-8</v>
      </c>
      <c r="DI109" s="22">
        <f t="shared" si="69"/>
        <v>56.316162894323341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-1.4897523215040567E-13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281.82797419088109</v>
      </c>
      <c r="T110" s="59">
        <f t="shared" si="88"/>
        <v>298.98873283425371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131.31428691353545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9.2374177110200982E-9</v>
      </c>
      <c r="AC110" s="22">
        <f t="shared" si="57"/>
        <v>131.31428692277288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3.2</v>
      </c>
      <c r="AI110" s="13">
        <f>IF('Données projet'!$A$62&gt;35,AI109+AH110-AQ109,IF(A110&lt;'Données projet'!$A$62,$AF$205^A110,IF(A110='Données projet'!$A$62,'Données projet'!$B$62,AI109+AH110-AQ109)))</f>
        <v>224.39999999999961</v>
      </c>
      <c r="AJ110" s="13">
        <f>AI110*VLOOKUP('Données projet'!$B$10,Paramètres!$A$1:$I$89,3,0)*VLOOKUP('Données projet'!$B$10,Paramètres!$A$1:$I$89,5,0)</f>
        <v>224.04095999999964</v>
      </c>
      <c r="AK110" s="13">
        <f t="shared" si="89"/>
        <v>54.992235867381183</v>
      </c>
      <c r="AL110" s="20">
        <f t="shared" si="58"/>
        <v>485.98281613568821</v>
      </c>
      <c r="AM110" s="59">
        <f t="shared" si="59"/>
        <v>779.31614946902152</v>
      </c>
      <c r="AN110" s="59">
        <f ca="1">AVERAGE(OFFSET($AM$3,0,0,'Données projet'!$E$10+1,1))-AVERAGE(OFFSET($H$3,0,0,'Données projet'!$E$10+1,1))</f>
        <v>206.53345322763442</v>
      </c>
      <c r="AO110" s="59">
        <f t="shared" si="90"/>
        <v>96.700732426680929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24.592178937199417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7.1574069681593822E-8</v>
      </c>
      <c r="AX110" s="21">
        <f t="shared" si="60"/>
        <v>24.592179008773488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5.2</v>
      </c>
      <c r="BD110" s="12">
        <f>IF('Données projet'!$A$88&gt;35,BD109+BC110-BL109,IF(A110&lt;'Données projet'!$A$88,$BA$205^A110,IF(A110='Données projet'!$A$88,'Données projet'!$B$88,BD109+BC110-BL109)))</f>
        <v>342.39999999999969</v>
      </c>
      <c r="BE110" s="13">
        <f>BD110*VLOOKUP('Données projet'!$B$11,Paramètres!$A$1:$I$89,3,0)*VLOOKUP('Données projet'!$B$11,Paramètres!$A$1:$I$89,5,0)</f>
        <v>288.43775999999974</v>
      </c>
      <c r="BF110" s="13">
        <f t="shared" si="91"/>
        <v>68.747057287972595</v>
      </c>
      <c r="BG110" s="20">
        <f t="shared" si="61"/>
        <v>622.09689010988507</v>
      </c>
      <c r="BH110" s="59">
        <f t="shared" si="62"/>
        <v>915.43022344321844</v>
      </c>
      <c r="BI110" s="59">
        <f ca="1">AVERAGE(OFFSET($BH$3,0,0,'Données projet'!$E$11+1,1))-AVERAGE(OFFSET($H$3,0,0,'Données projet'!$E$11+1,1))</f>
        <v>328.34986205643321</v>
      </c>
      <c r="BJ110" s="59">
        <f t="shared" si="92"/>
        <v>251.60894449147008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34.043344644573594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3.7788864908084291E-9</v>
      </c>
      <c r="BS110" s="22">
        <f t="shared" si="63"/>
        <v>34.04334464835248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5.2</v>
      </c>
      <c r="BY110" s="12">
        <f>IF('Données projet'!$A$114&gt;35,BY109+BX110-CG109,IF(A110&lt;'Données projet'!$A$114,$BV$205^A110,IF(A110='Données projet'!$A$114,'Données projet'!$B$114,BY109+BX110-CG109)))</f>
        <v>342.39999999999969</v>
      </c>
      <c r="BZ110" s="13">
        <f>BY110*VLOOKUP('Données projet'!$B$12,Paramètres!$A$1:$I$89,3,0)*VLOOKUP('Données projet'!$B$12,Paramètres!$A$1:$I$89,5,0)</f>
        <v>309.80351999999971</v>
      </c>
      <c r="CA110" s="13">
        <f t="shared" si="93"/>
        <v>73.227795813703693</v>
      </c>
      <c r="CB110" s="20">
        <f t="shared" si="64"/>
        <v>667.11287504220002</v>
      </c>
      <c r="CC110" s="59">
        <f t="shared" si="65"/>
        <v>960.44620837553339</v>
      </c>
      <c r="CD110" s="59">
        <f ca="1">AVERAGE(OFFSET($CC$3,0,0,'Données projet'!$E$12+1,1))-AVERAGE(OFFSET($H$3,0,0,'Données projet'!$E$12+1,1))</f>
        <v>360.44607552967267</v>
      </c>
      <c r="CE110" s="59">
        <f t="shared" si="94"/>
        <v>271.54361159160169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36.565073877504972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4.0588040086460927E-9</v>
      </c>
      <c r="CN110" s="22">
        <f t="shared" si="66"/>
        <v>36.565073881563777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309.89554000341082</v>
      </c>
      <c r="CZ110" s="59">
        <f t="shared" si="96"/>
        <v>465.9235824539021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55.211837258884238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2.2033512411086779E-8</v>
      </c>
      <c r="DI110" s="22">
        <f t="shared" si="69"/>
        <v>55.211837280917749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-1.4897523215040567E-13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281.82797419088109</v>
      </c>
      <c r="T111" s="59">
        <f t="shared" si="88"/>
        <v>298.98873283425371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128.73929384096743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6.5318407041150274E-9</v>
      </c>
      <c r="AC111" s="22">
        <f t="shared" si="57"/>
        <v>128.73929384749928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3.2</v>
      </c>
      <c r="AI111" s="13">
        <f>IF('Données projet'!$A$62&gt;35,AI110+AH111-AQ110,IF(A111&lt;'Données projet'!$A$62,$AF$205^A111,IF(A111='Données projet'!$A$62,'Données projet'!$B$62,AI110+AH111-AQ110)))</f>
        <v>227.5999999999996</v>
      </c>
      <c r="AJ111" s="13">
        <f>AI111*VLOOKUP('Données projet'!$B$10,Paramètres!$A$1:$I$89,3,0)*VLOOKUP('Données projet'!$B$10,Paramètres!$A$1:$I$89,5,0)</f>
        <v>227.2358399999996</v>
      </c>
      <c r="AK111" s="13">
        <f t="shared" si="89"/>
        <v>55.684585585369177</v>
      </c>
      <c r="AL111" s="20">
        <f t="shared" si="58"/>
        <v>492.75307456118395</v>
      </c>
      <c r="AM111" s="59">
        <f t="shared" si="59"/>
        <v>786.08640789451727</v>
      </c>
      <c r="AN111" s="59">
        <f ca="1">AVERAGE(OFFSET($AM$3,0,0,'Données projet'!$E$10+1,1))-AVERAGE(OFFSET($H$3,0,0,'Données projet'!$E$10+1,1))</f>
        <v>206.53345322763442</v>
      </c>
      <c r="AO111" s="59">
        <f t="shared" si="90"/>
        <v>96.700732426680929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24.109941307988986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5.0610510028973468E-8</v>
      </c>
      <c r="AX111" s="21">
        <f t="shared" si="60"/>
        <v>24.109941358599496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5.2</v>
      </c>
      <c r="BD111" s="12">
        <f>IF('Données projet'!$A$88&gt;35,BD110+BC111-BL110,IF(A111&lt;'Données projet'!$A$88,$BA$205^A111,IF(A111='Données projet'!$A$88,'Données projet'!$B$88,BD110+BC111-BL110)))</f>
        <v>347.59999999999968</v>
      </c>
      <c r="BE111" s="13">
        <f>BD111*VLOOKUP('Données projet'!$B$11,Paramètres!$A$1:$I$89,3,0)*VLOOKUP('Données projet'!$B$11,Paramètres!$A$1:$I$89,5,0)</f>
        <v>292.81823999999978</v>
      </c>
      <c r="BF111" s="13">
        <f t="shared" si="91"/>
        <v>69.668774141370633</v>
      </c>
      <c r="BG111" s="20">
        <f t="shared" si="61"/>
        <v>631.33154962955348</v>
      </c>
      <c r="BH111" s="59">
        <f t="shared" si="62"/>
        <v>924.66488296288685</v>
      </c>
      <c r="BI111" s="59">
        <f ca="1">AVERAGE(OFFSET($BH$3,0,0,'Données projet'!$E$11+1,1))-AVERAGE(OFFSET($H$3,0,0,'Données projet'!$E$11+1,1))</f>
        <v>328.34986205643321</v>
      </c>
      <c r="BJ111" s="59">
        <f t="shared" si="92"/>
        <v>251.60894449147008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33.375775420483428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2.6720762629848763E-9</v>
      </c>
      <c r="BS111" s="22">
        <f t="shared" si="63"/>
        <v>33.375775423155503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5.2</v>
      </c>
      <c r="BY111" s="12">
        <f>IF('Données projet'!$A$114&gt;35,BY110+BX111-CG110,IF(A111&lt;'Données projet'!$A$114,$BV$205^A111,IF(A111='Données projet'!$A$114,'Données projet'!$B$114,BY110+BX111-CG110)))</f>
        <v>347.59999999999968</v>
      </c>
      <c r="BZ111" s="13">
        <f>BY111*VLOOKUP('Données projet'!$B$12,Paramètres!$A$1:$I$89,3,0)*VLOOKUP('Données projet'!$B$12,Paramètres!$A$1:$I$89,5,0)</f>
        <v>314.50847999999968</v>
      </c>
      <c r="CA111" s="13">
        <f t="shared" si="93"/>
        <v>74.209587561617383</v>
      </c>
      <c r="CB111" s="20">
        <f t="shared" si="64"/>
        <v>677.01730100314978</v>
      </c>
      <c r="CC111" s="59">
        <f t="shared" si="65"/>
        <v>970.35063433648315</v>
      </c>
      <c r="CD111" s="59">
        <f ca="1">AVERAGE(OFFSET($CC$3,0,0,'Données projet'!$E$12+1,1))-AVERAGE(OFFSET($H$3,0,0,'Données projet'!$E$12+1,1))</f>
        <v>360.44607552967267</v>
      </c>
      <c r="CE111" s="59">
        <f t="shared" si="94"/>
        <v>271.54361159160169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35.848055081259979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2.8700078380207946E-9</v>
      </c>
      <c r="CN111" s="22">
        <f t="shared" si="66"/>
        <v>35.848055084129989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309.89554000341082</v>
      </c>
      <c r="CZ111" s="59">
        <f t="shared" si="96"/>
        <v>465.9235824539021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54.129166806133028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1.5580046039237418E-8</v>
      </c>
      <c r="DI111" s="22">
        <f t="shared" si="69"/>
        <v>54.129166821713078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-1.4897523215040567E-13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281.82797419088109</v>
      </c>
      <c r="T112" s="59">
        <f t="shared" si="88"/>
        <v>298.98873283425371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126.21479481196178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4.6187088555100491E-9</v>
      </c>
      <c r="AC112" s="22">
        <f t="shared" si="57"/>
        <v>126.21479481658049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3.2</v>
      </c>
      <c r="AI112" s="13">
        <f>IF('Données projet'!$A$62&gt;35,AI111+AH112-AQ111,IF(A112&lt;'Données projet'!$A$62,$AF$205^A112,IF(A112='Données projet'!$A$62,'Données projet'!$B$62,AI111+AH112-AQ111)))</f>
        <v>230.79999999999959</v>
      </c>
      <c r="AJ112" s="13">
        <f>AI112*VLOOKUP('Données projet'!$B$10,Paramètres!$A$1:$I$89,3,0)*VLOOKUP('Données projet'!$B$10,Paramètres!$A$1:$I$89,5,0)</f>
        <v>230.43071999999958</v>
      </c>
      <c r="AK112" s="13">
        <f t="shared" si="89"/>
        <v>56.375803121932726</v>
      </c>
      <c r="AL112" s="20">
        <f t="shared" si="58"/>
        <v>499.521361104032</v>
      </c>
      <c r="AM112" s="59">
        <f t="shared" si="59"/>
        <v>792.85469443736531</v>
      </c>
      <c r="AN112" s="59">
        <f ca="1">AVERAGE(OFFSET($AM$3,0,0,'Données projet'!$E$10+1,1))-AVERAGE(OFFSET($H$3,0,0,'Données projet'!$E$10+1,1))</f>
        <v>206.53345322763442</v>
      </c>
      <c r="AO112" s="59">
        <f t="shared" si="90"/>
        <v>96.700732426680929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23.637160064551463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3.5787034840796911E-8</v>
      </c>
      <c r="AX112" s="21">
        <f t="shared" si="60"/>
        <v>23.637160100338498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5.2</v>
      </c>
      <c r="BD112" s="12">
        <f>IF('Données projet'!$A$88&gt;35,BD111+BC112-BL111,IF(A112&lt;'Données projet'!$A$88,$BA$205^A112,IF(A112='Données projet'!$A$88,'Données projet'!$B$88,BD111+BC112-BL111)))</f>
        <v>352.79999999999967</v>
      </c>
      <c r="BE112" s="13">
        <f>BD112*VLOOKUP('Données projet'!$B$11,Paramètres!$A$1:$I$89,3,0)*VLOOKUP('Données projet'!$B$11,Paramètres!$A$1:$I$89,5,0)</f>
        <v>297.19871999999975</v>
      </c>
      <c r="BF112" s="13">
        <f t="shared" si="91"/>
        <v>70.588887331631497</v>
      </c>
      <c r="BG112" s="20">
        <f t="shared" si="61"/>
        <v>640.56341610259108</v>
      </c>
      <c r="BH112" s="59">
        <f t="shared" si="62"/>
        <v>933.89674943592445</v>
      </c>
      <c r="BI112" s="59">
        <f ca="1">AVERAGE(OFFSET($BH$3,0,0,'Données projet'!$E$11+1,1))-AVERAGE(OFFSET($H$3,0,0,'Données projet'!$E$11+1,1))</f>
        <v>328.34986205643321</v>
      </c>
      <c r="BJ112" s="59">
        <f t="shared" si="92"/>
        <v>251.60894449147008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32.721296821700648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1.8894432454042145E-9</v>
      </c>
      <c r="BS112" s="22">
        <f t="shared" si="63"/>
        <v>32.721296823590087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5.2</v>
      </c>
      <c r="BY112" s="12">
        <f>IF('Données projet'!$A$114&gt;35,BY111+BX112-CG111,IF(A112&lt;'Données projet'!$A$114,$BV$205^A112,IF(A112='Données projet'!$A$114,'Données projet'!$B$114,BY111+BX112-CG111)))</f>
        <v>352.79999999999967</v>
      </c>
      <c r="BZ112" s="13">
        <f>BY112*VLOOKUP('Données projet'!$B$12,Paramètres!$A$1:$I$89,3,0)*VLOOKUP('Données projet'!$B$12,Paramètres!$A$1:$I$89,5,0)</f>
        <v>319.21343999999971</v>
      </c>
      <c r="CA112" s="13">
        <f t="shared" si="93"/>
        <v>75.189671124171639</v>
      </c>
      <c r="CB112" s="20">
        <f t="shared" si="64"/>
        <v>686.91875187459846</v>
      </c>
      <c r="CC112" s="59">
        <f t="shared" si="65"/>
        <v>980.25208520793171</v>
      </c>
      <c r="CD112" s="59">
        <f ca="1">AVERAGE(OFFSET($CC$3,0,0,'Données projet'!$E$12+1,1))-AVERAGE(OFFSET($H$3,0,0,'Données projet'!$E$12+1,1))</f>
        <v>360.44607552967267</v>
      </c>
      <c r="CE112" s="59">
        <f t="shared" si="94"/>
        <v>271.54361159160169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35.145096586271066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2.0294020043230463E-9</v>
      </c>
      <c r="CN112" s="22">
        <f t="shared" si="66"/>
        <v>35.145096588300468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309.89554000341082</v>
      </c>
      <c r="CZ112" s="59">
        <f t="shared" si="96"/>
        <v>465.9235824539021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53.067726860596501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1.1016756205543389E-8</v>
      </c>
      <c r="DI112" s="22">
        <f t="shared" si="69"/>
        <v>53.06772687161326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-1.4897523215040567E-13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281.82797419088109</v>
      </c>
      <c r="T113" s="59">
        <f t="shared" si="88"/>
        <v>298.98873283425371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123.73979966912256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3.2659203520575137E-9</v>
      </c>
      <c r="AC113" s="22">
        <f t="shared" si="57"/>
        <v>123.73979967238849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234</v>
      </c>
      <c r="AG113" s="12">
        <f>VLOOKUP(A113,'Données projet'!$A$61:$I$81,9,0)</f>
        <v>3.2</v>
      </c>
      <c r="AH113" s="12">
        <f t="array" ref="AH113">INDEX(AG:AG,MIN(IF(ISNUMBER(AG113:AG309),ROW(AG113:AG309),"")))</f>
        <v>3.2</v>
      </c>
      <c r="AI113" s="13">
        <f>IF('Données projet'!$A$62&gt;35,AI112+AH113-AQ112,IF(A113&lt;'Données projet'!$A$62,$AF$205^A113,IF(A113='Données projet'!$A$62,'Données projet'!$B$62,AI112+AH113-AQ112)))</f>
        <v>233.99999999999957</v>
      </c>
      <c r="AJ113" s="13">
        <f>AI113*VLOOKUP('Données projet'!$B$10,Paramètres!$A$1:$I$89,3,0)*VLOOKUP('Données projet'!$B$10,Paramètres!$A$1:$I$89,5,0)</f>
        <v>233.62559999999959</v>
      </c>
      <c r="AK113" s="13">
        <f t="shared" si="89"/>
        <v>57.065905988744511</v>
      </c>
      <c r="AL113" s="20">
        <f t="shared" si="58"/>
        <v>506.28770626372926</v>
      </c>
      <c r="AM113" s="59">
        <f t="shared" si="59"/>
        <v>799.62103959706258</v>
      </c>
      <c r="AN113" s="59">
        <f ca="1">AVERAGE(OFFSET($AM$3,0,0,'Données projet'!$E$10+1,1))-AVERAGE(OFFSET($H$3,0,0,'Données projet'!$E$10+1,1))</f>
        <v>206.53345322763442</v>
      </c>
      <c r="AO113" s="59">
        <f t="shared" si="90"/>
        <v>96.700732426680929</v>
      </c>
      <c r="AP113" s="15">
        <f>IF(ISNA(VLOOKUP(A113,'Données projet'!$A$61:$I$81,3,0)),0,VLOOKUP(A113,'Données projet'!$A$61:$I$81,3,0))</f>
        <v>9</v>
      </c>
      <c r="AQ113" s="15">
        <f>IF(ISNA(VLOOKUP(A113,'Données projet'!$A$61:$I$81,4,0)),0,VLOOKUP(A113,'Données projet'!$A$61:$I$81,4,0))</f>
        <v>27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23.173649772929664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2.5305255014486734E-8</v>
      </c>
      <c r="AX113" s="21">
        <f t="shared" si="60"/>
        <v>23.173649798234919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358</v>
      </c>
      <c r="BB113" s="12">
        <f>VLOOKUP(A113,'Données projet'!$A$87:$I$107,9,0)</f>
        <v>5.2</v>
      </c>
      <c r="BC113" s="12">
        <f t="array" ref="BC113">INDEX(BB:BB,MIN(IF(ISNUMBER(BB113:BB309),ROW(BB113:BB309),"")))</f>
        <v>5.2</v>
      </c>
      <c r="BD113" s="12">
        <f>IF('Données projet'!$A$88&gt;35,BD112+BC113-BL112,IF(A113&lt;'Données projet'!$A$88,$BA$205^A113,IF(A113='Données projet'!$A$88,'Données projet'!$B$88,BD112+BC113-BL112)))</f>
        <v>357.99999999999966</v>
      </c>
      <c r="BE113" s="13">
        <f>BD113*VLOOKUP('Données projet'!$B$11,Paramètres!$A$1:$I$89,3,0)*VLOOKUP('Données projet'!$B$11,Paramètres!$A$1:$I$89,5,0)</f>
        <v>301.57919999999973</v>
      </c>
      <c r="BF113" s="13">
        <f t="shared" si="91"/>
        <v>71.507423226130868</v>
      </c>
      <c r="BG113" s="20">
        <f t="shared" si="61"/>
        <v>649.79253545217739</v>
      </c>
      <c r="BH113" s="59">
        <f t="shared" si="62"/>
        <v>943.12586878551065</v>
      </c>
      <c r="BI113" s="59">
        <f ca="1">AVERAGE(OFFSET($BH$3,0,0,'Données projet'!$E$11+1,1))-AVERAGE(OFFSET($H$3,0,0,'Données projet'!$E$11+1,1))</f>
        <v>328.34986205643321</v>
      </c>
      <c r="BJ113" s="59">
        <f t="shared" si="92"/>
        <v>251.60894449147008</v>
      </c>
      <c r="BK113" s="15">
        <f>IF(ISNA(VLOOKUP(A113,'Données projet'!$A$87:$I$107,3,0)),0,VLOOKUP(A113,'Données projet'!$A$87:$I$107,3,0))</f>
        <v>10</v>
      </c>
      <c r="BL113" s="15">
        <f>IF(ISNA(VLOOKUP(A113,'Données projet'!$A$87:$I$107,4,0)),0,VLOOKUP(A113,'Données projet'!$A$87:$I$107,4,0))</f>
        <v>51</v>
      </c>
      <c r="BM113" s="16">
        <f>IF(ISNA(VLOOKUP(A113,'Données projet'!$A$87:$I$107,5,0)),0%,VLOOKUP(A113,'Données projet'!$A$87:$I$107,5,0)*VLOOKUP('Données projet'!$B$11,Paramètres!$A$1:$I$89,7,0))</f>
        <v>0.43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52.501926221515426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1.3360381314924382E-9</v>
      </c>
      <c r="BS113" s="22">
        <f t="shared" si="63"/>
        <v>52.501926222851466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358</v>
      </c>
      <c r="BW113" s="12">
        <f>VLOOKUP(A113,'Données projet'!$A$113:$I$133,9,0)</f>
        <v>5.2</v>
      </c>
      <c r="BX113" s="12">
        <f t="array" ref="BX113">INDEX(BW:BW,MIN(IF(ISNUMBER(BW113:BW309),ROW(BW113:BW309),"")))</f>
        <v>5.2</v>
      </c>
      <c r="BY113" s="12">
        <f>IF('Données projet'!$A$114&gt;35,BY112+BX113-CG112,IF(A113&lt;'Données projet'!$A$114,$BV$205^A113,IF(A113='Données projet'!$A$114,'Données projet'!$B$114,BY112+BX113-CG112)))</f>
        <v>357.99999999999966</v>
      </c>
      <c r="BZ113" s="13">
        <f>BY113*VLOOKUP('Données projet'!$B$12,Paramètres!$A$1:$I$89,3,0)*VLOOKUP('Données projet'!$B$12,Paramètres!$A$1:$I$89,5,0)</f>
        <v>323.91839999999968</v>
      </c>
      <c r="CA113" s="13">
        <f t="shared" si="93"/>
        <v>76.168074587293034</v>
      </c>
      <c r="CB113" s="20">
        <f t="shared" si="64"/>
        <v>696.8172765728682</v>
      </c>
      <c r="CC113" s="59">
        <f t="shared" si="65"/>
        <v>990.15060990620145</v>
      </c>
      <c r="CD113" s="59">
        <f ca="1">AVERAGE(OFFSET($CC$3,0,0,'Données projet'!$E$12+1,1))-AVERAGE(OFFSET($H$3,0,0,'Données projet'!$E$12+1,1))</f>
        <v>360.44607552967267</v>
      </c>
      <c r="CE113" s="59">
        <f t="shared" si="94"/>
        <v>271.54361159160169</v>
      </c>
      <c r="CF113" s="15">
        <f>IF(ISNA(VLOOKUP(A113,'Données projet'!$A$113:$I$133,3,0)),0,VLOOKUP(A113,'Données projet'!$A$113:$I$133,3,0))</f>
        <v>10</v>
      </c>
      <c r="CG113" s="15">
        <f>IF(ISNA(VLOOKUP(A113,'Données projet'!$A$113:$I$133,4,0)),0,VLOOKUP(A113,'Données projet'!$A$113:$I$133,4,0))</f>
        <v>51</v>
      </c>
      <c r="CH113" s="16">
        <f>IF(ISNA(VLOOKUP(A113,'Données projet'!$A$113:$I$133,5,0)),0%,VLOOKUP(A113,'Données projet'!$A$113:$I$133,5,0)*VLOOKUP('Données projet'!$B$12,Paramètres!$A$1:$I$89,7,0))</f>
        <v>0.43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56.390957793479529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1.4350039190103973E-9</v>
      </c>
      <c r="CN113" s="22">
        <f t="shared" si="66"/>
        <v>56.390957794914534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309.89554000341082</v>
      </c>
      <c r="CZ113" s="59">
        <f t="shared" si="96"/>
        <v>465.9235824539021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52.027101104977504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7.7900230196187088E-9</v>
      </c>
      <c r="DI113" s="22">
        <f t="shared" si="69"/>
        <v>52.027101112767525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-1.4897523215040567E-13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281.82797419088109</v>
      </c>
      <c r="T114" s="59">
        <f t="shared" si="88"/>
        <v>298.98873283425371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121.31333767143644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2.3093544277550246E-9</v>
      </c>
      <c r="AC114" s="22">
        <f t="shared" si="57"/>
        <v>121.31333767374579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2.6</v>
      </c>
      <c r="AI114" s="13">
        <f>IF('Données projet'!$A$62&gt;35,AI113+AH114-AQ113,IF(A114&lt;'Données projet'!$A$62,$AF$205^A114,IF(A114='Données projet'!$A$62,'Données projet'!$B$62,AI113+AH114-AQ113)))</f>
        <v>209.59999999999957</v>
      </c>
      <c r="AJ114" s="13">
        <f>AI114*VLOOKUP('Données projet'!$B$10,Paramètres!$A$1:$I$89,3,0)*VLOOKUP('Données projet'!$B$10,Paramètres!$A$1:$I$89,5,0)</f>
        <v>209.26463999999956</v>
      </c>
      <c r="AK114" s="13">
        <f t="shared" si="89"/>
        <v>51.774858244622237</v>
      </c>
      <c r="AL114" s="20">
        <f t="shared" si="58"/>
        <v>454.64379277604957</v>
      </c>
      <c r="AM114" s="59">
        <f t="shared" si="59"/>
        <v>747.97712610938288</v>
      </c>
      <c r="AN114" s="59">
        <f ca="1">AVERAGE(OFFSET($AM$3,0,0,'Données projet'!$E$10+1,1))-AVERAGE(OFFSET($H$3,0,0,'Données projet'!$E$10+1,1))</f>
        <v>206.53345322763442</v>
      </c>
      <c r="AO114" s="59">
        <f t="shared" si="90"/>
        <v>96.700732426680929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22.719228635413206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1.7893517420398456E-8</v>
      </c>
      <c r="AX114" s="21">
        <f t="shared" si="60"/>
        <v>22.719228653306722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4.5</v>
      </c>
      <c r="BD114" s="12">
        <f>IF('Données projet'!$A$88&gt;35,BD113+BC114-BL113,IF(A114&lt;'Données projet'!$A$88,$BA$205^A114,IF(A114='Données projet'!$A$88,'Données projet'!$B$88,BD113+BC114-BL113)))</f>
        <v>311.49999999999966</v>
      </c>
      <c r="BE114" s="13">
        <f>BD114*VLOOKUP('Données projet'!$B$11,Paramètres!$A$1:$I$89,3,0)*VLOOKUP('Données projet'!$B$11,Paramètres!$A$1:$I$89,5,0)</f>
        <v>262.40759999999977</v>
      </c>
      <c r="BF114" s="13">
        <f t="shared" si="91"/>
        <v>63.235305349754363</v>
      </c>
      <c r="BG114" s="20">
        <f t="shared" si="61"/>
        <v>567.16139348415504</v>
      </c>
      <c r="BH114" s="59">
        <f t="shared" si="62"/>
        <v>860.4947268174883</v>
      </c>
      <c r="BI114" s="59">
        <f ca="1">AVERAGE(OFFSET($BH$3,0,0,'Données projet'!$E$11+1,1))-AVERAGE(OFFSET($H$3,0,0,'Données projet'!$E$11+1,1))</f>
        <v>328.34986205643321</v>
      </c>
      <c r="BJ114" s="59">
        <f t="shared" si="92"/>
        <v>251.60894449147008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51.472395471324496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9.4472162270210727E-10</v>
      </c>
      <c r="BS114" s="22">
        <f t="shared" si="63"/>
        <v>51.47239547226922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4.5</v>
      </c>
      <c r="BY114" s="12">
        <f>IF('Données projet'!$A$114&gt;35,BY113+BX114-CG113,IF(A114&lt;'Données projet'!$A$114,$BV$205^A114,IF(A114='Données projet'!$A$114,'Données projet'!$B$114,BY113+BX114-CG113)))</f>
        <v>311.49999999999966</v>
      </c>
      <c r="BZ114" s="13">
        <f>BY114*VLOOKUP('Données projet'!$B$12,Paramètres!$A$1:$I$89,3,0)*VLOOKUP('Données projet'!$B$12,Paramètres!$A$1:$I$89,5,0)</f>
        <v>281.84519999999969</v>
      </c>
      <c r="CA114" s="13">
        <f t="shared" si="93"/>
        <v>67.356803491560427</v>
      </c>
      <c r="CB114" s="20">
        <f t="shared" si="64"/>
        <v>608.19348941446708</v>
      </c>
      <c r="CC114" s="59">
        <f t="shared" si="65"/>
        <v>901.52682274780045</v>
      </c>
      <c r="CD114" s="59">
        <f ca="1">AVERAGE(OFFSET($CC$3,0,0,'Données projet'!$E$12+1,1))-AVERAGE(OFFSET($H$3,0,0,'Données projet'!$E$12+1,1))</f>
        <v>360.44607552967267</v>
      </c>
      <c r="CE114" s="59">
        <f t="shared" si="94"/>
        <v>271.54361159160169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55.285165506237419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1.0147010021615232E-9</v>
      </c>
      <c r="CN114" s="22">
        <f t="shared" si="66"/>
        <v>55.285165507252117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309.89554000341082</v>
      </c>
      <c r="CZ114" s="59">
        <f t="shared" si="96"/>
        <v>465.9235824539021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51.006881385707153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5.5083781027716946E-9</v>
      </c>
      <c r="DI114" s="22">
        <f t="shared" si="69"/>
        <v>51.006881391215529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-1.4897523215040567E-13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281.82797419088109</v>
      </c>
      <c r="T115" s="59">
        <f t="shared" si="88"/>
        <v>298.98873283425371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118.93445711352928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1.6329601760287568E-9</v>
      </c>
      <c r="AC115" s="22">
        <f t="shared" si="57"/>
        <v>118.93445711516223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2.6</v>
      </c>
      <c r="AI115" s="13">
        <f>IF('Données projet'!$A$62&gt;35,AI114+AH115-AQ114,IF(A115&lt;'Données projet'!$A$62,$AF$205^A115,IF(A115='Données projet'!$A$62,'Données projet'!$B$62,AI114+AH115-AQ114)))</f>
        <v>212.19999999999956</v>
      </c>
      <c r="AJ115" s="13">
        <f>AI115*VLOOKUP('Données projet'!$B$10,Paramètres!$A$1:$I$89,3,0)*VLOOKUP('Données projet'!$B$10,Paramètres!$A$1:$I$89,5,0)</f>
        <v>211.86047999999954</v>
      </c>
      <c r="AK115" s="13">
        <f t="shared" si="89"/>
        <v>52.341938444376254</v>
      </c>
      <c r="AL115" s="20">
        <f t="shared" si="58"/>
        <v>460.15254545728777</v>
      </c>
      <c r="AM115" s="59">
        <f t="shared" si="59"/>
        <v>753.48587879062109</v>
      </c>
      <c r="AN115" s="59">
        <f ca="1">AVERAGE(OFFSET($AM$3,0,0,'Données projet'!$E$10+1,1))-AVERAGE(OFFSET($H$3,0,0,'Données projet'!$E$10+1,1))</f>
        <v>206.53345322763442</v>
      </c>
      <c r="AO115" s="59">
        <f t="shared" si="90"/>
        <v>96.700732426680929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22.273718419233919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1.2652627507243367E-8</v>
      </c>
      <c r="AX115" s="21">
        <f t="shared" si="60"/>
        <v>22.273718431886547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4.5</v>
      </c>
      <c r="BD115" s="12">
        <f>IF('Données projet'!$A$88&gt;35,BD114+BC115-BL114,IF(A115&lt;'Données projet'!$A$88,$BA$205^A115,IF(A115='Données projet'!$A$88,'Données projet'!$B$88,BD114+BC115-BL114)))</f>
        <v>315.99999999999966</v>
      </c>
      <c r="BE115" s="13">
        <f>BD115*VLOOKUP('Données projet'!$B$11,Paramètres!$A$1:$I$89,3,0)*VLOOKUP('Données projet'!$B$11,Paramètres!$A$1:$I$89,5,0)</f>
        <v>266.19839999999971</v>
      </c>
      <c r="BF115" s="13">
        <f t="shared" si="91"/>
        <v>64.041809198373159</v>
      </c>
      <c r="BG115" s="20">
        <f t="shared" si="61"/>
        <v>575.16836435383277</v>
      </c>
      <c r="BH115" s="59">
        <f t="shared" si="62"/>
        <v>868.50169768716614</v>
      </c>
      <c r="BI115" s="59">
        <f ca="1">AVERAGE(OFFSET($BH$3,0,0,'Données projet'!$E$11+1,1))-AVERAGE(OFFSET($H$3,0,0,'Données projet'!$E$11+1,1))</f>
        <v>328.34986205643321</v>
      </c>
      <c r="BJ115" s="59">
        <f t="shared" si="92"/>
        <v>251.60894449147008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50.463053191193055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6.6801906574621908E-10</v>
      </c>
      <c r="BS115" s="22">
        <f t="shared" si="63"/>
        <v>50.463053191861071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4.5</v>
      </c>
      <c r="BY115" s="12">
        <f>IF('Données projet'!$A$114&gt;35,BY114+BX115-CG114,IF(A115&lt;'Données projet'!$A$114,$BV$205^A115,IF(A115='Données projet'!$A$114,'Données projet'!$B$114,BY114+BX115-CG114)))</f>
        <v>315.99999999999966</v>
      </c>
      <c r="BZ115" s="13">
        <f>BY115*VLOOKUP('Données projet'!$B$12,Paramètres!$A$1:$I$89,3,0)*VLOOKUP('Données projet'!$B$12,Paramètres!$A$1:$I$89,5,0)</f>
        <v>285.91679999999968</v>
      </c>
      <c r="CA115" s="13">
        <f t="shared" si="93"/>
        <v>68.215872977287475</v>
      </c>
      <c r="CB115" s="20">
        <f t="shared" si="64"/>
        <v>616.7810721021084</v>
      </c>
      <c r="CC115" s="59">
        <f t="shared" si="65"/>
        <v>910.11440543544177</v>
      </c>
      <c r="CD115" s="59">
        <f ca="1">AVERAGE(OFFSET($CC$3,0,0,'Données projet'!$E$12+1,1))-AVERAGE(OFFSET($H$3,0,0,'Données projet'!$E$12+1,1))</f>
        <v>360.44607552967267</v>
      </c>
      <c r="CE115" s="59">
        <f t="shared" si="94"/>
        <v>271.54361159160169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54.201057131281431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7.1750195950519865E-10</v>
      </c>
      <c r="CN115" s="22">
        <f t="shared" si="66"/>
        <v>54.20105713199893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309.89554000341082</v>
      </c>
      <c r="CZ115" s="59">
        <f t="shared" si="96"/>
        <v>465.9235824539021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50.006667552859113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3.8950115098093544E-9</v>
      </c>
      <c r="DI115" s="22">
        <f t="shared" si="69"/>
        <v>50.006667556754124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-1.4897523215040567E-13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281.82797419088109</v>
      </c>
      <c r="T116" s="59">
        <f t="shared" si="88"/>
        <v>298.98873283425371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116.6022249523888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1.1546772138775123E-9</v>
      </c>
      <c r="AC116" s="22">
        <f t="shared" si="57"/>
        <v>116.60222495354347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2.6</v>
      </c>
      <c r="AI116" s="13">
        <f>IF('Données projet'!$A$62&gt;35,AI115+AH116-AQ115,IF(A116&lt;'Données projet'!$A$62,$AF$205^A116,IF(A116='Données projet'!$A$62,'Données projet'!$B$62,AI115+AH116-AQ115)))</f>
        <v>214.79999999999956</v>
      </c>
      <c r="AJ116" s="13">
        <f>AI116*VLOOKUP('Données projet'!$B$10,Paramètres!$A$1:$I$89,3,0)*VLOOKUP('Données projet'!$B$10,Paramètres!$A$1:$I$89,5,0)</f>
        <v>214.45631999999958</v>
      </c>
      <c r="AK116" s="13">
        <f t="shared" si="89"/>
        <v>52.908210428463541</v>
      </c>
      <c r="AL116" s="20">
        <f t="shared" si="58"/>
        <v>465.65989049623994</v>
      </c>
      <c r="AM116" s="59">
        <f t="shared" si="59"/>
        <v>758.99322382957325</v>
      </c>
      <c r="AN116" s="59">
        <f ca="1">AVERAGE(OFFSET($AM$3,0,0,'Données projet'!$E$10+1,1))-AVERAGE(OFFSET($H$3,0,0,'Données projet'!$E$10+1,1))</f>
        <v>206.53345322763442</v>
      </c>
      <c r="AO116" s="59">
        <f t="shared" si="90"/>
        <v>96.700732426680929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21.836944386659507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8.9467587101992278E-9</v>
      </c>
      <c r="AX116" s="21">
        <f t="shared" si="60"/>
        <v>21.836944395606267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4.5</v>
      </c>
      <c r="BD116" s="12">
        <f>IF('Données projet'!$A$88&gt;35,BD115+BC116-BL115,IF(A116&lt;'Données projet'!$A$88,$BA$205^A116,IF(A116='Données projet'!$A$88,'Données projet'!$B$88,BD115+BC116-BL115)))</f>
        <v>320.49999999999966</v>
      </c>
      <c r="BE116" s="13">
        <f>BD116*VLOOKUP('Données projet'!$B$11,Paramètres!$A$1:$I$89,3,0)*VLOOKUP('Données projet'!$B$11,Paramètres!$A$1:$I$89,5,0)</f>
        <v>269.98919999999976</v>
      </c>
      <c r="BF116" s="13">
        <f t="shared" si="91"/>
        <v>64.846977249929026</v>
      </c>
      <c r="BG116" s="20">
        <f t="shared" si="61"/>
        <v>583.17300871029261</v>
      </c>
      <c r="BH116" s="59">
        <f t="shared" si="62"/>
        <v>876.50634204362586</v>
      </c>
      <c r="BI116" s="59">
        <f ca="1">AVERAGE(OFFSET($BH$3,0,0,'Données projet'!$E$11+1,1))-AVERAGE(OFFSET($H$3,0,0,'Données projet'!$E$11+1,1))</f>
        <v>328.34986205643321</v>
      </c>
      <c r="BJ116" s="59">
        <f t="shared" si="92"/>
        <v>251.60894449147008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49.473503497536989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4.7236081135105364E-10</v>
      </c>
      <c r="BS116" s="22">
        <f t="shared" si="63"/>
        <v>49.47350349800935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4.5</v>
      </c>
      <c r="BY116" s="12">
        <f>IF('Données projet'!$A$114&gt;35,BY115+BX116-CG115,IF(A116&lt;'Données projet'!$A$114,$BV$205^A116,IF(A116='Données projet'!$A$114,'Données projet'!$B$114,BY115+BX116-CG115)))</f>
        <v>320.49999999999966</v>
      </c>
      <c r="BZ116" s="13">
        <f>BY116*VLOOKUP('Données projet'!$B$12,Paramètres!$A$1:$I$89,3,0)*VLOOKUP('Données projet'!$B$12,Paramètres!$A$1:$I$89,5,0)</f>
        <v>289.98839999999967</v>
      </c>
      <c r="CA116" s="13">
        <f t="shared" si="93"/>
        <v>69.073519602481454</v>
      </c>
      <c r="CB116" s="20">
        <f t="shared" si="64"/>
        <v>625.36617664098787</v>
      </c>
      <c r="CC116" s="59">
        <f t="shared" si="65"/>
        <v>918.69950997432124</v>
      </c>
      <c r="CD116" s="59">
        <f ca="1">AVERAGE(OFFSET($CC$3,0,0,'Données projet'!$E$12+1,1))-AVERAGE(OFFSET($H$3,0,0,'Données projet'!$E$12+1,1))</f>
        <v>360.44607552967267</v>
      </c>
      <c r="CE116" s="59">
        <f t="shared" si="94"/>
        <v>271.54361159160169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53.13820746031751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5.0735050108076158E-10</v>
      </c>
      <c r="CN116" s="22">
        <f t="shared" si="66"/>
        <v>53.138207460824859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309.89554000341082</v>
      </c>
      <c r="CZ116" s="59">
        <f t="shared" si="96"/>
        <v>465.9235824539021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49.026067303203021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2.7541890513858473E-9</v>
      </c>
      <c r="DI116" s="22">
        <f t="shared" si="69"/>
        <v>49.026067305957213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-1.4897523215040567E-13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281.82797419088109</v>
      </c>
      <c r="T117" s="59">
        <f t="shared" si="88"/>
        <v>298.98873283425371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114.31572644140712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8.1648008801437842E-10</v>
      </c>
      <c r="AC117" s="22">
        <f t="shared" si="57"/>
        <v>114.31572644222361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2.6</v>
      </c>
      <c r="AI117" s="13">
        <f>IF('Données projet'!$A$62&gt;35,AI116+AH117-AQ116,IF(A117&lt;'Données projet'!$A$62,$AF$205^A117,IF(A117='Données projet'!$A$62,'Données projet'!$B$62,AI116+AH117-AQ116)))</f>
        <v>217.39999999999955</v>
      </c>
      <c r="AJ117" s="13">
        <f>AI117*VLOOKUP('Données projet'!$B$10,Paramètres!$A$1:$I$89,3,0)*VLOOKUP('Données projet'!$B$10,Paramètres!$A$1:$I$89,5,0)</f>
        <v>217.05215999999956</v>
      </c>
      <c r="AK117" s="13">
        <f t="shared" si="89"/>
        <v>53.473685111327079</v>
      </c>
      <c r="AL117" s="20">
        <f t="shared" si="58"/>
        <v>471.16584690222726</v>
      </c>
      <c r="AM117" s="59">
        <f t="shared" si="59"/>
        <v>764.49918023556052</v>
      </c>
      <c r="AN117" s="59">
        <f ca="1">AVERAGE(OFFSET($AM$3,0,0,'Données projet'!$E$10+1,1))-AVERAGE(OFFSET($H$3,0,0,'Données projet'!$E$10+1,1))</f>
        <v>206.53345322763442</v>
      </c>
      <c r="AO117" s="59">
        <f t="shared" si="90"/>
        <v>96.700732426680929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21.408735226458028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6.3263137536216835E-9</v>
      </c>
      <c r="AX117" s="21">
        <f t="shared" si="60"/>
        <v>21.408735232784341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4.5</v>
      </c>
      <c r="BD117" s="12">
        <f>IF('Données projet'!$A$88&gt;35,BD116+BC117-BL116,IF(A117&lt;'Données projet'!$A$88,$BA$205^A117,IF(A117='Données projet'!$A$88,'Données projet'!$B$88,BD116+BC117-BL116)))</f>
        <v>324.99999999999966</v>
      </c>
      <c r="BE117" s="13">
        <f>BD117*VLOOKUP('Données projet'!$B$11,Paramètres!$A$1:$I$89,3,0)*VLOOKUP('Données projet'!$B$11,Paramètres!$A$1:$I$89,5,0)</f>
        <v>273.77999999999975</v>
      </c>
      <c r="BF117" s="13">
        <f t="shared" si="91"/>
        <v>65.650830427167435</v>
      </c>
      <c r="BG117" s="20">
        <f t="shared" si="61"/>
        <v>591.17536299398284</v>
      </c>
      <c r="BH117" s="59">
        <f t="shared" si="62"/>
        <v>884.5086963273161</v>
      </c>
      <c r="BI117" s="59">
        <f ca="1">AVERAGE(OFFSET($BH$3,0,0,'Données projet'!$E$11+1,1))-AVERAGE(OFFSET($H$3,0,0,'Données projet'!$E$11+1,1))</f>
        <v>328.34986205643321</v>
      </c>
      <c r="BJ117" s="59">
        <f t="shared" si="92"/>
        <v>251.60894449147008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48.503358269807805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3.3400953287310954E-10</v>
      </c>
      <c r="BS117" s="22">
        <f t="shared" si="63"/>
        <v>48.503358270141817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4.5</v>
      </c>
      <c r="BY117" s="12">
        <f>IF('Données projet'!$A$114&gt;35,BY116+BX117-CG116,IF(A117&lt;'Données projet'!$A$114,$BV$205^A117,IF(A117='Données projet'!$A$114,'Données projet'!$B$114,BY116+BX117-CG116)))</f>
        <v>324.99999999999966</v>
      </c>
      <c r="BZ117" s="13">
        <f>BY117*VLOOKUP('Données projet'!$B$12,Paramètres!$A$1:$I$89,3,0)*VLOOKUP('Données projet'!$B$12,Paramètres!$A$1:$I$89,5,0)</f>
        <v>294.05999999999972</v>
      </c>
      <c r="CA117" s="13">
        <f t="shared" si="93"/>
        <v>69.929765653573313</v>
      </c>
      <c r="CB117" s="20">
        <f t="shared" si="64"/>
        <v>633.94884184663977</v>
      </c>
      <c r="CC117" s="59">
        <f t="shared" si="65"/>
        <v>927.28217517997314</v>
      </c>
      <c r="CD117" s="59">
        <f ca="1">AVERAGE(OFFSET($CC$3,0,0,'Données projet'!$E$12+1,1))-AVERAGE(OFFSET($H$3,0,0,'Données projet'!$E$12+1,1))</f>
        <v>360.44607552967267</v>
      </c>
      <c r="CE117" s="59">
        <f t="shared" si="94"/>
        <v>271.54361159160169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52.096199623126907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3.5875097975259933E-10</v>
      </c>
      <c r="CN117" s="22">
        <f t="shared" si="66"/>
        <v>52.09619962348566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309.89554000341082</v>
      </c>
      <c r="CZ117" s="59">
        <f t="shared" si="96"/>
        <v>465.9235824539021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48.064696026335596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1.9475057549046772E-9</v>
      </c>
      <c r="DI117" s="22">
        <f t="shared" si="69"/>
        <v>48.064696028283102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-1.4897523215040567E-13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281.82797419088109</v>
      </c>
      <c r="T118" s="59">
        <f t="shared" si="88"/>
        <v>298.98873283425371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112.07406477159941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5.7733860693875614E-10</v>
      </c>
      <c r="AC118" s="22">
        <f t="shared" si="57"/>
        <v>112.07406477217675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2.6</v>
      </c>
      <c r="AI118" s="13">
        <f>IF('Données projet'!$A$62&gt;35,AI117+AH118-AQ117,IF(A118&lt;'Données projet'!$A$62,$AF$205^A118,IF(A118='Données projet'!$A$62,'Données projet'!$B$62,AI117+AH118-AQ117)))</f>
        <v>219.99999999999955</v>
      </c>
      <c r="AJ118" s="13">
        <f>AI118*VLOOKUP('Données projet'!$B$10,Paramètres!$A$1:$I$89,3,0)*VLOOKUP('Données projet'!$B$10,Paramètres!$A$1:$I$89,5,0)</f>
        <v>219.64799999999954</v>
      </c>
      <c r="AK118" s="13">
        <f t="shared" si="89"/>
        <v>54.038373131325578</v>
      </c>
      <c r="AL118" s="20">
        <f t="shared" si="58"/>
        <v>476.67043320372454</v>
      </c>
      <c r="AM118" s="59">
        <f t="shared" si="59"/>
        <v>770.0037665370578</v>
      </c>
      <c r="AN118" s="59">
        <f ca="1">AVERAGE(OFFSET($AM$3,0,0,'Données projet'!$E$10+1,1))-AVERAGE(OFFSET($H$3,0,0,'Données projet'!$E$10+1,1))</f>
        <v>206.53345322763442</v>
      </c>
      <c r="AO118" s="59">
        <f t="shared" si="90"/>
        <v>96.700732426680929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20.988922986706299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4.4733793550996139E-9</v>
      </c>
      <c r="AX118" s="21">
        <f t="shared" si="60"/>
        <v>20.988922991179678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4.5</v>
      </c>
      <c r="BD118" s="12">
        <f>IF('Données projet'!$A$88&gt;35,BD117+BC118-BL117,IF(A118&lt;'Données projet'!$A$88,$BA$205^A118,IF(A118='Données projet'!$A$88,'Données projet'!$B$88,BD117+BC118-BL117)))</f>
        <v>329.49999999999966</v>
      </c>
      <c r="BE118" s="13">
        <f>BD118*VLOOKUP('Données projet'!$B$11,Paramètres!$A$1:$I$89,3,0)*VLOOKUP('Données projet'!$B$11,Paramètres!$A$1:$I$89,5,0)</f>
        <v>277.57079999999974</v>
      </c>
      <c r="BF118" s="13">
        <f t="shared" si="91"/>
        <v>66.453389040149148</v>
      </c>
      <c r="BG118" s="20">
        <f t="shared" si="61"/>
        <v>599.17546257825927</v>
      </c>
      <c r="BH118" s="59">
        <f t="shared" si="62"/>
        <v>892.50879591159264</v>
      </c>
      <c r="BI118" s="59">
        <f ca="1">AVERAGE(OFFSET($BH$3,0,0,'Données projet'!$E$11+1,1))-AVERAGE(OFFSET($H$3,0,0,'Données projet'!$E$11+1,1))</f>
        <v>328.34986205643321</v>
      </c>
      <c r="BJ118" s="59">
        <f t="shared" si="92"/>
        <v>251.60894449147008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47.552236998264227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2.3618040567552682E-10</v>
      </c>
      <c r="BS118" s="22">
        <f t="shared" si="63"/>
        <v>47.552236998500405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4.5</v>
      </c>
      <c r="BY118" s="12">
        <f>IF('Données projet'!$A$114&gt;35,BY117+BX118-CG117,IF(A118&lt;'Données projet'!$A$114,$BV$205^A118,IF(A118='Données projet'!$A$114,'Données projet'!$B$114,BY117+BX118-CG117)))</f>
        <v>329.49999999999966</v>
      </c>
      <c r="BZ118" s="13">
        <f>BY118*VLOOKUP('Données projet'!$B$12,Paramètres!$A$1:$I$89,3,0)*VLOOKUP('Données projet'!$B$12,Paramètres!$A$1:$I$89,5,0)</f>
        <v>298.13159999999965</v>
      </c>
      <c r="CA118" s="13">
        <f t="shared" si="93"/>
        <v>70.784632764375971</v>
      </c>
      <c r="CB118" s="20">
        <f t="shared" si="64"/>
        <v>642.52910539795425</v>
      </c>
      <c r="CC118" s="59">
        <f t="shared" si="65"/>
        <v>935.86243873128751</v>
      </c>
      <c r="CD118" s="59">
        <f ca="1">AVERAGE(OFFSET($CC$3,0,0,'Données projet'!$E$12+1,1))-AVERAGE(OFFSET($H$3,0,0,'Données projet'!$E$12+1,1))</f>
        <v>360.44607552967267</v>
      </c>
      <c r="CE118" s="59">
        <f t="shared" si="94"/>
        <v>271.54361159160169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51.074624924061581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2.5367525054038079E-10</v>
      </c>
      <c r="CN118" s="22">
        <f t="shared" si="66"/>
        <v>51.074624924315259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309.89554000341082</v>
      </c>
      <c r="CZ118" s="59">
        <f t="shared" si="96"/>
        <v>465.9235824539021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47.122176653828959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1.3770945256929237E-9</v>
      </c>
      <c r="DI118" s="22">
        <f t="shared" si="69"/>
        <v>47.122176655206054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-1.4897523215040567E-13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281.82797419088109</v>
      </c>
      <c r="T119" s="59">
        <f t="shared" si="88"/>
        <v>298.98873283425371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109.87636071985803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4.0824004400718921E-10</v>
      </c>
      <c r="AC119" s="22">
        <f t="shared" si="57"/>
        <v>109.87636072026626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2.6</v>
      </c>
      <c r="AI119" s="13">
        <f>IF('Données projet'!$A$62&gt;35,AI118+AH119-AQ118,IF(A119&lt;'Données projet'!$A$62,$AF$205^A119,IF(A119='Données projet'!$A$62,'Données projet'!$B$62,AI118+AH119-AQ118)))</f>
        <v>222.59999999999954</v>
      </c>
      <c r="AJ119" s="13">
        <f>AI119*VLOOKUP('Données projet'!$B$10,Paramètres!$A$1:$I$89,3,0)*VLOOKUP('Données projet'!$B$10,Paramètres!$A$1:$I$89,5,0)</f>
        <v>222.24383999999955</v>
      </c>
      <c r="AK119" s="13">
        <f t="shared" si="89"/>
        <v>54.6022848608958</v>
      </c>
      <c r="AL119" s="20">
        <f t="shared" si="58"/>
        <v>482.17366746605938</v>
      </c>
      <c r="AM119" s="59">
        <f t="shared" si="59"/>
        <v>775.5070007993927</v>
      </c>
      <c r="AN119" s="59">
        <f ca="1">AVERAGE(OFFSET($AM$3,0,0,'Données projet'!$E$10+1,1))-AVERAGE(OFFSET($H$3,0,0,'Données projet'!$E$10+1,1))</f>
        <v>206.53345322763442</v>
      </c>
      <c r="AO119" s="59">
        <f t="shared" si="90"/>
        <v>96.700732426680929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20.577343008915921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3.1631568768108418E-9</v>
      </c>
      <c r="AX119" s="21">
        <f t="shared" si="60"/>
        <v>20.57734301207908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4.5</v>
      </c>
      <c r="BD119" s="12">
        <f>IF('Données projet'!$A$88&gt;35,BD118+BC119-BL118,IF(A119&lt;'Données projet'!$A$88,$BA$205^A119,IF(A119='Données projet'!$A$88,'Données projet'!$B$88,BD118+BC119-BL118)))</f>
        <v>333.99999999999966</v>
      </c>
      <c r="BE119" s="13">
        <f>BD119*VLOOKUP('Données projet'!$B$11,Paramètres!$A$1:$I$89,3,0)*VLOOKUP('Données projet'!$B$11,Paramètres!$A$1:$I$89,5,0)</f>
        <v>281.36159999999973</v>
      </c>
      <c r="BF119" s="13">
        <f t="shared" si="91"/>
        <v>67.254672812309238</v>
      </c>
      <c r="BG119" s="20">
        <f t="shared" si="61"/>
        <v>607.17334181477145</v>
      </c>
      <c r="BH119" s="59">
        <f t="shared" si="62"/>
        <v>900.5066751481047</v>
      </c>
      <c r="BI119" s="59">
        <f ca="1">AVERAGE(OFFSET($BH$3,0,0,'Données projet'!$E$11+1,1))-AVERAGE(OFFSET($H$3,0,0,'Données projet'!$E$11+1,1))</f>
        <v>328.34986205643321</v>
      </c>
      <c r="BJ119" s="59">
        <f t="shared" si="92"/>
        <v>251.60894449147008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46.619766634728926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1.6700476643655477E-10</v>
      </c>
      <c r="BS119" s="22">
        <f t="shared" si="63"/>
        <v>46.619766634895932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4.5</v>
      </c>
      <c r="BY119" s="12">
        <f>IF('Données projet'!$A$114&gt;35,BY118+BX119-CG118,IF(A119&lt;'Données projet'!$A$114,$BV$205^A119,IF(A119='Données projet'!$A$114,'Données projet'!$B$114,BY118+BX119-CG118)))</f>
        <v>333.99999999999966</v>
      </c>
      <c r="BZ119" s="13">
        <f>BY119*VLOOKUP('Données projet'!$B$12,Paramètres!$A$1:$I$89,3,0)*VLOOKUP('Données projet'!$B$12,Paramètres!$A$1:$I$89,5,0)</f>
        <v>302.2031999999997</v>
      </c>
      <c r="CA119" s="13">
        <f t="shared" si="93"/>
        <v>71.638141943842228</v>
      </c>
      <c r="CB119" s="20">
        <f t="shared" si="64"/>
        <v>651.1070038855247</v>
      </c>
      <c r="CC119" s="59">
        <f t="shared" si="65"/>
        <v>944.44033721885808</v>
      </c>
      <c r="CD119" s="59">
        <f ca="1">AVERAGE(OFFSET($CC$3,0,0,'Données projet'!$E$12+1,1))-AVERAGE(OFFSET($H$3,0,0,'Données projet'!$E$12+1,1))</f>
        <v>360.44607552967267</v>
      </c>
      <c r="CE119" s="59">
        <f t="shared" si="94"/>
        <v>271.54361159160169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50.073082681745888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1.7937548987629966E-10</v>
      </c>
      <c r="CN119" s="22">
        <f t="shared" si="66"/>
        <v>50.073082681925264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309.89554000341082</v>
      </c>
      <c r="CZ119" s="59">
        <f t="shared" si="96"/>
        <v>465.9235824539021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46.198139511337125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9.737528774523386E-10</v>
      </c>
      <c r="DI119" s="22">
        <f t="shared" si="69"/>
        <v>46.198139512310881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-1.4897523215040567E-13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281.82797419088109</v>
      </c>
      <c r="T120" s="59">
        <f t="shared" si="88"/>
        <v>298.98873283425371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107.72175230410417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2.8866930346937807E-10</v>
      </c>
      <c r="AC120" s="22">
        <f t="shared" si="57"/>
        <v>107.72175230439284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2.6</v>
      </c>
      <c r="AI120" s="13">
        <f>IF('Données projet'!$A$62&gt;35,AI119+AH120-AQ119,IF(A120&lt;'Données projet'!$A$62,$AF$205^A120,IF(A120='Données projet'!$A$62,'Données projet'!$B$62,AI119+AH120-AQ119)))</f>
        <v>225.19999999999953</v>
      </c>
      <c r="AJ120" s="13">
        <f>AI120*VLOOKUP('Données projet'!$B$10,Paramètres!$A$1:$I$89,3,0)*VLOOKUP('Données projet'!$B$10,Paramètres!$A$1:$I$89,5,0)</f>
        <v>224.83967999999953</v>
      </c>
      <c r="AK120" s="13">
        <f t="shared" si="89"/>
        <v>55.165430416225988</v>
      </c>
      <c r="AL120" s="20">
        <f t="shared" si="58"/>
        <v>487.67556730825953</v>
      </c>
      <c r="AM120" s="59">
        <f t="shared" si="59"/>
        <v>781.00890064159285</v>
      </c>
      <c r="AN120" s="59">
        <f ca="1">AVERAGE(OFFSET($AM$3,0,0,'Données projet'!$E$10+1,1))-AVERAGE(OFFSET($H$3,0,0,'Données projet'!$E$10+1,1))</f>
        <v>206.53345322763442</v>
      </c>
      <c r="AO120" s="59">
        <f t="shared" si="90"/>
        <v>96.700732426680929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20.173833863451012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2.2366896775498069E-9</v>
      </c>
      <c r="AX120" s="21">
        <f t="shared" si="60"/>
        <v>20.173833865687701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4.5</v>
      </c>
      <c r="BD120" s="12">
        <f>IF('Données projet'!$A$88&gt;35,BD119+BC120-BL119,IF(A120&lt;'Données projet'!$A$88,$BA$205^A120,IF(A120='Données projet'!$A$88,'Données projet'!$B$88,BD119+BC120-BL119)))</f>
        <v>338.49999999999966</v>
      </c>
      <c r="BE120" s="13">
        <f>BD120*VLOOKUP('Données projet'!$B$11,Paramètres!$A$1:$I$89,3,0)*VLOOKUP('Données projet'!$B$11,Paramètres!$A$1:$I$89,5,0)</f>
        <v>285.15239999999972</v>
      </c>
      <c r="BF120" s="13">
        <f t="shared" si="91"/>
        <v>68.054700905071442</v>
      </c>
      <c r="BG120" s="20">
        <f t="shared" si="61"/>
        <v>615.1690340763322</v>
      </c>
      <c r="BH120" s="59">
        <f t="shared" si="62"/>
        <v>908.50236740966557</v>
      </c>
      <c r="BI120" s="59">
        <f ca="1">AVERAGE(OFFSET($BH$3,0,0,'Données projet'!$E$11+1,1))-AVERAGE(OFFSET($H$3,0,0,'Données projet'!$E$11+1,1))</f>
        <v>328.34986205643321</v>
      </c>
      <c r="BJ120" s="59">
        <f t="shared" si="92"/>
        <v>251.60894449147008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45.705581446271793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1.1809020283776341E-10</v>
      </c>
      <c r="BS120" s="22">
        <f t="shared" si="63"/>
        <v>45.705581446389886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4.5</v>
      </c>
      <c r="BY120" s="12">
        <f>IF('Données projet'!$A$114&gt;35,BY119+BX120-CG119,IF(A120&lt;'Données projet'!$A$114,$BV$205^A120,IF(A120='Données projet'!$A$114,'Données projet'!$B$114,BY119+BX120-CG119)))</f>
        <v>338.49999999999966</v>
      </c>
      <c r="BZ120" s="13">
        <f>BY120*VLOOKUP('Données projet'!$B$12,Paramètres!$A$1:$I$89,3,0)*VLOOKUP('Données projet'!$B$12,Paramètres!$A$1:$I$89,5,0)</f>
        <v>306.27479999999969</v>
      </c>
      <c r="CA120" s="13">
        <f t="shared" si="93"/>
        <v>72.490313602282981</v>
      </c>
      <c r="CB120" s="20">
        <f t="shared" si="64"/>
        <v>659.68257285730897</v>
      </c>
      <c r="CC120" s="59">
        <f t="shared" si="65"/>
        <v>953.01590619064223</v>
      </c>
      <c r="CD120" s="59">
        <f ca="1">AVERAGE(OFFSET($CC$3,0,0,'Données projet'!$E$12+1,1))-AVERAGE(OFFSET($H$3,0,0,'Données projet'!$E$12+1,1))</f>
        <v>360.44607552967267</v>
      </c>
      <c r="CE120" s="59">
        <f t="shared" si="94"/>
        <v>271.54361159160169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49.091180071921556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1.268376252701904E-10</v>
      </c>
      <c r="CN120" s="22">
        <f t="shared" si="66"/>
        <v>49.091180072048395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309.89554000341082</v>
      </c>
      <c r="CZ120" s="59">
        <f t="shared" si="96"/>
        <v>465.9235824539021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45.292222173602553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6.8854726284646183E-10</v>
      </c>
      <c r="DI120" s="22">
        <f t="shared" si="69"/>
        <v>45.292222174291098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-1.4897523215040567E-13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281.82797419088109</v>
      </c>
      <c r="T121" s="59">
        <f t="shared" si="88"/>
        <v>298.98873283425371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105.60939444520189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2.0412002200359461E-10</v>
      </c>
      <c r="AC121" s="22">
        <f t="shared" si="57"/>
        <v>105.60939444540601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2.6</v>
      </c>
      <c r="AI121" s="13">
        <f>IF('Données projet'!$A$62&gt;35,AI120+AH121-AQ120,IF(A121&lt;'Données projet'!$A$62,$AF$205^A121,IF(A121='Données projet'!$A$62,'Données projet'!$B$62,AI120+AH121-AQ120)))</f>
        <v>227.79999999999953</v>
      </c>
      <c r="AJ121" s="13">
        <f>AI121*VLOOKUP('Données projet'!$B$10,Paramètres!$A$1:$I$89,3,0)*VLOOKUP('Données projet'!$B$10,Paramètres!$A$1:$I$89,5,0)</f>
        <v>227.43551999999951</v>
      </c>
      <c r="AK121" s="13">
        <f t="shared" si="89"/>
        <v>55.727819666470666</v>
      </c>
      <c r="AL121" s="20">
        <f t="shared" si="58"/>
        <v>493.17614991910222</v>
      </c>
      <c r="AM121" s="59">
        <f t="shared" si="59"/>
        <v>786.50948325243553</v>
      </c>
      <c r="AN121" s="59">
        <f ca="1">AVERAGE(OFFSET($AM$3,0,0,'Données projet'!$E$10+1,1))-AVERAGE(OFFSET($H$3,0,0,'Données projet'!$E$10+1,1))</f>
        <v>206.53345322763442</v>
      </c>
      <c r="AO121" s="59">
        <f t="shared" si="90"/>
        <v>96.700732426680929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19.778237286212395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1.5815784384054209E-9</v>
      </c>
      <c r="AX121" s="21">
        <f t="shared" si="60"/>
        <v>19.778237287793974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4.5</v>
      </c>
      <c r="BD121" s="12">
        <f>IF('Données projet'!$A$88&gt;35,BD120+BC121-BL120,IF(A121&lt;'Données projet'!$A$88,$BA$205^A121,IF(A121='Données projet'!$A$88,'Données projet'!$B$88,BD120+BC121-BL120)))</f>
        <v>342.99999999999966</v>
      </c>
      <c r="BE121" s="13">
        <f>BD121*VLOOKUP('Données projet'!$B$11,Paramètres!$A$1:$I$89,3,0)*VLOOKUP('Données projet'!$B$11,Paramètres!$A$1:$I$89,5,0)</f>
        <v>288.94319999999976</v>
      </c>
      <c r="BF121" s="13">
        <f t="shared" si="91"/>
        <v>68.853491941116658</v>
      </c>
      <c r="BG121" s="20">
        <f t="shared" si="61"/>
        <v>623.16257179744446</v>
      </c>
      <c r="BH121" s="59">
        <f t="shared" si="62"/>
        <v>916.49590513077783</v>
      </c>
      <c r="BI121" s="59">
        <f ca="1">AVERAGE(OFFSET($BH$3,0,0,'Données projet'!$E$11+1,1))-AVERAGE(OFFSET($H$3,0,0,'Données projet'!$E$11+1,1))</f>
        <v>328.34986205643321</v>
      </c>
      <c r="BJ121" s="59">
        <f t="shared" si="92"/>
        <v>251.60894449147008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44.809322871762397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8.3502383218277385E-11</v>
      </c>
      <c r="BS121" s="22">
        <f t="shared" si="63"/>
        <v>44.8093228718459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4.5</v>
      </c>
      <c r="BY121" s="12">
        <f>IF('Données projet'!$A$114&gt;35,BY120+BX121-CG120,IF(A121&lt;'Données projet'!$A$114,$BV$205^A121,IF(A121='Données projet'!$A$114,'Données projet'!$B$114,BY120+BX121-CG120)))</f>
        <v>342.99999999999966</v>
      </c>
      <c r="BZ121" s="13">
        <f>BY121*VLOOKUP('Données projet'!$B$12,Paramètres!$A$1:$I$89,3,0)*VLOOKUP('Données projet'!$B$12,Paramètres!$A$1:$I$89,5,0)</f>
        <v>310.34639999999968</v>
      </c>
      <c r="CA121" s="13">
        <f t="shared" si="93"/>
        <v>73.341167576152998</v>
      </c>
      <c r="CB121" s="20">
        <f t="shared" si="64"/>
        <v>668.25584686179923</v>
      </c>
      <c r="CC121" s="59">
        <f t="shared" si="65"/>
        <v>961.58918019513249</v>
      </c>
      <c r="CD121" s="59">
        <f ca="1">AVERAGE(OFFSET($CC$3,0,0,'Données projet'!$E$12+1,1))-AVERAGE(OFFSET($H$3,0,0,'Données projet'!$E$12+1,1))</f>
        <v>360.44607552967267</v>
      </c>
      <c r="CE121" s="59">
        <f t="shared" si="94"/>
        <v>271.54361159160169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48.128531973374429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8.9687744938149831E-11</v>
      </c>
      <c r="CN121" s="22">
        <f t="shared" si="66"/>
        <v>48.128531973464113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309.89554000341082</v>
      </c>
      <c r="CZ121" s="59">
        <f t="shared" si="96"/>
        <v>465.9235824539021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44.404069322305936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4.868764387261693E-10</v>
      </c>
      <c r="DI121" s="22">
        <f t="shared" si="69"/>
        <v>44.404069322792814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-1.4897523215040567E-13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281.82797419088109</v>
      </c>
      <c r="T122" s="59">
        <f t="shared" si="88"/>
        <v>298.98873283425371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103.5384586355016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1.4433465173468903E-10</v>
      </c>
      <c r="AC122" s="22">
        <f t="shared" si="57"/>
        <v>103.53845863564594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2.6</v>
      </c>
      <c r="AI122" s="13">
        <f>IF('Données projet'!$A$62&gt;35,AI121+AH122-AQ121,IF(A122&lt;'Données projet'!$A$62,$AF$205^A122,IF(A122='Données projet'!$A$62,'Données projet'!$B$62,AI121+AH122-AQ121)))</f>
        <v>230.39999999999952</v>
      </c>
      <c r="AJ122" s="13">
        <f>AI122*VLOOKUP('Données projet'!$B$10,Paramètres!$A$1:$I$89,3,0)*VLOOKUP('Données projet'!$B$10,Paramètres!$A$1:$I$89,5,0)</f>
        <v>230.03135999999955</v>
      </c>
      <c r="AK122" s="13">
        <f t="shared" si="89"/>
        <v>56.289462242532174</v>
      </c>
      <c r="AL122" s="20">
        <f t="shared" si="58"/>
        <v>498.67543207240942</v>
      </c>
      <c r="AM122" s="59">
        <f t="shared" si="59"/>
        <v>792.00876540574268</v>
      </c>
      <c r="AN122" s="59">
        <f ca="1">AVERAGE(OFFSET($AM$3,0,0,'Données projet'!$E$10+1,1))-AVERAGE(OFFSET($H$3,0,0,'Données projet'!$E$10+1,1))</f>
        <v>206.53345322763442</v>
      </c>
      <c r="AO122" s="59">
        <f t="shared" si="90"/>
        <v>96.700732426680929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19.39039811656334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1.1183448387749035E-9</v>
      </c>
      <c r="AX122" s="21">
        <f t="shared" si="60"/>
        <v>19.390398117681684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4.5</v>
      </c>
      <c r="BD122" s="12">
        <f>IF('Données projet'!$A$88&gt;35,BD121+BC122-BL121,IF(A122&lt;'Données projet'!$A$88,$BA$205^A122,IF(A122='Données projet'!$A$88,'Données projet'!$B$88,BD121+BC122-BL121)))</f>
        <v>347.49999999999966</v>
      </c>
      <c r="BE122" s="13">
        <f>BD122*VLOOKUP('Données projet'!$B$11,Paramètres!$A$1:$I$89,3,0)*VLOOKUP('Données projet'!$B$11,Paramètres!$A$1:$I$89,5,0)</f>
        <v>292.73399999999975</v>
      </c>
      <c r="BF122" s="13">
        <f t="shared" si="91"/>
        <v>69.651064026395574</v>
      </c>
      <c r="BG122" s="20">
        <f t="shared" si="61"/>
        <v>631.15398651263843</v>
      </c>
      <c r="BH122" s="59">
        <f t="shared" si="62"/>
        <v>924.4873198459718</v>
      </c>
      <c r="BI122" s="59">
        <f ca="1">AVERAGE(OFFSET($BH$3,0,0,'Données projet'!$E$11+1,1))-AVERAGE(OFFSET($H$3,0,0,'Données projet'!$E$11+1,1))</f>
        <v>328.34986205643321</v>
      </c>
      <c r="BJ122" s="59">
        <f t="shared" si="92"/>
        <v>251.60894449147008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43.93063938123538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5.9045101418881705E-11</v>
      </c>
      <c r="BS122" s="22">
        <f t="shared" si="63"/>
        <v>43.930639381294426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4.5</v>
      </c>
      <c r="BY122" s="12">
        <f>IF('Données projet'!$A$114&gt;35,BY121+BX122-CG121,IF(A122&lt;'Données projet'!$A$114,$BV$205^A122,IF(A122='Données projet'!$A$114,'Données projet'!$B$114,BY121+BX122-CG121)))</f>
        <v>347.49999999999966</v>
      </c>
      <c r="BZ122" s="13">
        <f>BY122*VLOOKUP('Données projet'!$B$12,Paramètres!$A$1:$I$89,3,0)*VLOOKUP('Données projet'!$B$12,Paramètres!$A$1:$I$89,5,0)</f>
        <v>314.41799999999967</v>
      </c>
      <c r="CA122" s="13">
        <f t="shared" si="93"/>
        <v>74.190723151497266</v>
      </c>
      <c r="CB122" s="20">
        <f t="shared" si="64"/>
        <v>676.82685948885705</v>
      </c>
      <c r="CC122" s="59">
        <f t="shared" si="65"/>
        <v>970.16019282219031</v>
      </c>
      <c r="CD122" s="59">
        <f ca="1">AVERAGE(OFFSET($CC$3,0,0,'Données projet'!$E$12+1,1))-AVERAGE(OFFSET($H$3,0,0,'Données projet'!$E$12+1,1))</f>
        <v>360.44607552967267</v>
      </c>
      <c r="CE122" s="59">
        <f t="shared" si="94"/>
        <v>271.54361159160169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47.184760816882445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6.3418812635095198E-11</v>
      </c>
      <c r="CN122" s="22">
        <f t="shared" si="66"/>
        <v>47.184760816945861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309.89554000341082</v>
      </c>
      <c r="CZ122" s="59">
        <f t="shared" si="96"/>
        <v>465.9235824539021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43.533332606703503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3.4427363142323092E-10</v>
      </c>
      <c r="DI122" s="22">
        <f t="shared" si="69"/>
        <v>43.533332607047775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-1.4897523215040567E-13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281.82797419088109</v>
      </c>
      <c r="T123" s="59">
        <f t="shared" si="88"/>
        <v>298.98873283425371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101.50813261388342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1.020600110017973E-10</v>
      </c>
      <c r="AC123" s="22">
        <f t="shared" si="57"/>
        <v>101.50813261398548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233</v>
      </c>
      <c r="AG123" s="12">
        <f>VLOOKUP(A123,'Données projet'!$A$61:$I$81,9,0)</f>
        <v>2.6</v>
      </c>
      <c r="AH123" s="12">
        <f t="array" ref="AH123">INDEX(AG:AG,MIN(IF(ISNUMBER(AG123:AG319),ROW(AG123:AG319),"")))</f>
        <v>2.6</v>
      </c>
      <c r="AI123" s="13">
        <f>IF('Données projet'!$A$62&gt;35,AI122+AH123-AQ122,IF(A123&lt;'Données projet'!$A$62,$AF$205^A123,IF(A123='Données projet'!$A$62,'Données projet'!$B$62,AI122+AH123-AQ122)))</f>
        <v>232.99999999999952</v>
      </c>
      <c r="AJ123" s="13">
        <f>AI123*VLOOKUP('Données projet'!$B$10,Paramètres!$A$1:$I$89,3,0)*VLOOKUP('Données projet'!$B$10,Paramètres!$A$1:$I$89,5,0)</f>
        <v>232.62719999999953</v>
      </c>
      <c r="AK123" s="13">
        <f t="shared" si="89"/>
        <v>56.850367545434558</v>
      </c>
      <c r="AL123" s="20">
        <f t="shared" si="58"/>
        <v>504.17343014163106</v>
      </c>
      <c r="AM123" s="59">
        <f t="shared" si="59"/>
        <v>797.50676347496437</v>
      </c>
      <c r="AN123" s="59">
        <f ca="1">AVERAGE(OFFSET($AM$3,0,0,'Données projet'!$E$10+1,1))-AVERAGE(OFFSET($H$3,0,0,'Données projet'!$E$10+1,1))</f>
        <v>206.53345322763442</v>
      </c>
      <c r="AO123" s="59">
        <f t="shared" si="90"/>
        <v>96.700732426680929</v>
      </c>
      <c r="AP123" s="15">
        <f>IF(ISNA(VLOOKUP(A123,'Données projet'!$A$61:$I$81,3,0)),0,VLOOKUP(A123,'Données projet'!$A$61:$I$81,3,0))</f>
        <v>10</v>
      </c>
      <c r="AQ123" s="15">
        <f>IF(ISNA(VLOOKUP(A123,'Données projet'!$A$61:$I$81,4,0)),0,VLOOKUP(A123,'Données projet'!$A$61:$I$81,4,0))</f>
        <v>25</v>
      </c>
      <c r="AR123" s="16">
        <f>IF(ISNA(VLOOKUP(A123,'Données projet'!$A$61:$I$81,5,0)),0%,VLOOKUP(A123,'Données projet'!$A$61:$I$81,5,0)*VLOOKUP('Données projet'!$B$10,Paramètres!$A$1:$I$89,7,0))</f>
        <v>0.43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30.874956725923813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7.9078921920271044E-10</v>
      </c>
      <c r="AX123" s="21">
        <f t="shared" si="60"/>
        <v>30.874956726714601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352</v>
      </c>
      <c r="BB123" s="12">
        <f>VLOOKUP(A123,'Données projet'!$A$87:$I$107,9,0)</f>
        <v>4.5</v>
      </c>
      <c r="BC123" s="12">
        <f t="array" ref="BC123">INDEX(BB:BB,MIN(IF(ISNUMBER(BB123:BB319),ROW(BB123:BB319),"")))</f>
        <v>4.5</v>
      </c>
      <c r="BD123" s="12">
        <f>IF('Données projet'!$A$88&gt;35,BD122+BC123-BL122,IF(A123&lt;'Données projet'!$A$88,$BA$205^A123,IF(A123='Données projet'!$A$88,'Données projet'!$B$88,BD122+BC123-BL122)))</f>
        <v>351.99999999999966</v>
      </c>
      <c r="BE123" s="13">
        <f>BD123*VLOOKUP('Données projet'!$B$11,Paramètres!$A$1:$I$89,3,0)*VLOOKUP('Données projet'!$B$11,Paramètres!$A$1:$I$89,5,0)</f>
        <v>296.52479999999974</v>
      </c>
      <c r="BF123" s="13">
        <f t="shared" si="91"/>
        <v>70.447434770968471</v>
      </c>
      <c r="BG123" s="20">
        <f t="shared" si="61"/>
        <v>639.1433088927696</v>
      </c>
      <c r="BH123" s="59">
        <f t="shared" si="62"/>
        <v>932.47664222610297</v>
      </c>
      <c r="BI123" s="59">
        <f ca="1">AVERAGE(OFFSET($BH$3,0,0,'Données projet'!$E$11+1,1))-AVERAGE(OFFSET($H$3,0,0,'Données projet'!$E$11+1,1))</f>
        <v>328.34986205643321</v>
      </c>
      <c r="BJ123" s="59">
        <f t="shared" si="92"/>
        <v>251.60894449147008</v>
      </c>
      <c r="BK123" s="15">
        <f>IF(ISNA(VLOOKUP(A123,'Données projet'!$A$87:$I$107,3,0)),0,VLOOKUP(A123,'Données projet'!$A$87:$I$107,3,0))</f>
        <v>11</v>
      </c>
      <c r="BL123" s="15">
        <f>IF(ISNA(VLOOKUP(A123,'Données projet'!$A$87:$I$107,4,0)),0,VLOOKUP(A123,'Données projet'!$A$87:$I$107,4,0))</f>
        <v>47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43.069186338013587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4.1751191609138692E-11</v>
      </c>
      <c r="BS123" s="22">
        <f t="shared" si="63"/>
        <v>43.069186338055339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352</v>
      </c>
      <c r="BW123" s="12">
        <f>VLOOKUP(A123,'Données projet'!$A$113:$I$133,9,0)</f>
        <v>4.5</v>
      </c>
      <c r="BX123" s="12">
        <f t="array" ref="BX123">INDEX(BW:BW,MIN(IF(ISNUMBER(BW123:BW319),ROW(BW123:BW319),"")))</f>
        <v>4.5</v>
      </c>
      <c r="BY123" s="12">
        <f>IF('Données projet'!$A$114&gt;35,BY122+BX123-CG122,IF(A123&lt;'Données projet'!$A$114,$BV$205^A123,IF(A123='Données projet'!$A$114,'Données projet'!$B$114,BY122+BX123-CG122)))</f>
        <v>351.99999999999966</v>
      </c>
      <c r="BZ123" s="13">
        <f>BY123*VLOOKUP('Données projet'!$B$12,Paramètres!$A$1:$I$89,3,0)*VLOOKUP('Données projet'!$B$12,Paramètres!$A$1:$I$89,5,0)</f>
        <v>318.48959999999971</v>
      </c>
      <c r="CA123" s="13">
        <f t="shared" si="93"/>
        <v>75.038999086150227</v>
      </c>
      <c r="CB123" s="20">
        <f t="shared" si="64"/>
        <v>685.39564340837785</v>
      </c>
      <c r="CC123" s="59">
        <f t="shared" si="65"/>
        <v>978.72897674171122</v>
      </c>
      <c r="CD123" s="59">
        <f ca="1">AVERAGE(OFFSET($CC$3,0,0,'Données projet'!$E$12+1,1))-AVERAGE(OFFSET($H$3,0,0,'Données projet'!$E$12+1,1))</f>
        <v>360.44607552967267</v>
      </c>
      <c r="CE123" s="59">
        <f t="shared" si="94"/>
        <v>271.54361159160169</v>
      </c>
      <c r="CF123" s="15">
        <f>IF(ISNA(VLOOKUP(A123,'Données projet'!$A$113:$I$133,3,0)),0,VLOOKUP(A123,'Données projet'!$A$113:$I$133,3,0))</f>
        <v>11</v>
      </c>
      <c r="CG123" s="15">
        <f>IF(ISNA(VLOOKUP(A123,'Données projet'!$A$113:$I$133,4,0)),0,VLOOKUP(A123,'Données projet'!$A$113:$I$133,4,0))</f>
        <v>47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46.259496437125705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4.4843872469074916E-11</v>
      </c>
      <c r="CN123" s="22">
        <f t="shared" si="66"/>
        <v>46.259496437170547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309.89554000341082</v>
      </c>
      <c r="CZ123" s="59">
        <f t="shared" si="96"/>
        <v>465.9235824539021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42.679670506997077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2.4343821936308465E-10</v>
      </c>
      <c r="DI123" s="22">
        <f t="shared" si="69"/>
        <v>42.679670507240516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-1.4897523215040567E-13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281.82797419088109</v>
      </c>
      <c r="T124" s="59">
        <f t="shared" si="88"/>
        <v>298.98873283425371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99.517620047172571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7.2167325867344517E-11</v>
      </c>
      <c r="AC124" s="22">
        <f t="shared" si="57"/>
        <v>99.517620047244733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2.2000000000000002</v>
      </c>
      <c r="AI124" s="13">
        <f>IF('Données projet'!$A$62&gt;35,AI123+AH124-AQ123,IF(A124&lt;'Données projet'!$A$62,$AF$205^A124,IF(A124='Données projet'!$A$62,'Données projet'!$B$62,AI123+AH124-AQ123)))</f>
        <v>210.19999999999951</v>
      </c>
      <c r="AJ124" s="13">
        <f>AI124*VLOOKUP('Données projet'!$B$10,Paramètres!$A$1:$I$89,3,0)*VLOOKUP('Données projet'!$B$10,Paramètres!$A$1:$I$89,5,0)</f>
        <v>209.8636799999995</v>
      </c>
      <c r="AK124" s="13">
        <f t="shared" si="89"/>
        <v>51.905795222822604</v>
      </c>
      <c r="AL124" s="20">
        <f t="shared" si="58"/>
        <v>455.9151693464151</v>
      </c>
      <c r="AM124" s="59">
        <f t="shared" si="59"/>
        <v>749.24850267974841</v>
      </c>
      <c r="AN124" s="59">
        <f ca="1">AVERAGE(OFFSET($AM$3,0,0,'Données projet'!$E$10+1,1))-AVERAGE(OFFSET($H$3,0,0,'Données projet'!$E$10+1,1))</f>
        <v>206.53345322763442</v>
      </c>
      <c r="AO124" s="59">
        <f t="shared" si="90"/>
        <v>96.700732426680929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30.269517656392559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5.5917241938745174E-10</v>
      </c>
      <c r="AX124" s="21">
        <f t="shared" si="60"/>
        <v>30.269517656951731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4.0999999999999996</v>
      </c>
      <c r="BD124" s="12">
        <f>IF('Données projet'!$A$88&gt;35,BD123+BC124-BL123,IF(A124&lt;'Données projet'!$A$88,$BA$205^A124,IF(A124='Données projet'!$A$88,'Données projet'!$B$88,BD123+BC124-BL123)))</f>
        <v>309.09999999999968</v>
      </c>
      <c r="BE124" s="13">
        <f>BD124*VLOOKUP('Données projet'!$B$11,Paramètres!$A$1:$I$89,3,0)*VLOOKUP('Données projet'!$B$11,Paramètres!$A$1:$I$89,5,0)</f>
        <v>260.38583999999975</v>
      </c>
      <c r="BF124" s="13">
        <f t="shared" si="91"/>
        <v>62.804616352490115</v>
      </c>
      <c r="BG124" s="20">
        <f t="shared" si="61"/>
        <v>562.89004481391976</v>
      </c>
      <c r="BH124" s="59">
        <f t="shared" si="62"/>
        <v>856.22337814725302</v>
      </c>
      <c r="BI124" s="59">
        <f ca="1">AVERAGE(OFFSET($BH$3,0,0,'Données projet'!$E$11+1,1))-AVERAGE(OFFSET($H$3,0,0,'Données projet'!$E$11+1,1))</f>
        <v>328.34986205643321</v>
      </c>
      <c r="BJ124" s="59">
        <f t="shared" si="92"/>
        <v>251.60894449147008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42.224625863534897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2.9522550709440852E-11</v>
      </c>
      <c r="BS124" s="22">
        <f t="shared" si="63"/>
        <v>42.22462586356442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4.0999999999999996</v>
      </c>
      <c r="BY124" s="12">
        <f>IF('Données projet'!$A$114&gt;35,BY123+BX124-CG123,IF(A124&lt;'Données projet'!$A$114,$BV$205^A124,IF(A124='Données projet'!$A$114,'Données projet'!$B$114,BY123+BX124-CG123)))</f>
        <v>309.09999999999968</v>
      </c>
      <c r="BZ124" s="13">
        <f>BY124*VLOOKUP('Données projet'!$B$12,Paramètres!$A$1:$I$89,3,0)*VLOOKUP('Données projet'!$B$12,Paramètres!$A$1:$I$89,5,0)</f>
        <v>279.67367999999971</v>
      </c>
      <c r="CA124" s="13">
        <f t="shared" si="93"/>
        <v>66.898043405019408</v>
      </c>
      <c r="CB124" s="20">
        <f t="shared" si="64"/>
        <v>603.61241826374157</v>
      </c>
      <c r="CC124" s="59">
        <f t="shared" si="65"/>
        <v>896.94575159707483</v>
      </c>
      <c r="CD124" s="59">
        <f ca="1">AVERAGE(OFFSET($CC$3,0,0,'Données projet'!$E$12+1,1))-AVERAGE(OFFSET($H$3,0,0,'Données projet'!$E$12+1,1))</f>
        <v>360.44607552967267</v>
      </c>
      <c r="CE124" s="59">
        <f t="shared" si="94"/>
        <v>271.54361159160169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45.352375927500447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3.1709406317547599E-11</v>
      </c>
      <c r="CN124" s="22">
        <f t="shared" si="66"/>
        <v>45.352375927532158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309.89554000341082</v>
      </c>
      <c r="CZ124" s="59">
        <f t="shared" si="96"/>
        <v>465.9235824539021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41.842748200383426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1.7213681571161546E-10</v>
      </c>
      <c r="DI124" s="22">
        <f t="shared" si="69"/>
        <v>41.842748200555562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-1.4897523215040567E-13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281.82797419088109</v>
      </c>
      <c r="T125" s="59">
        <f t="shared" si="88"/>
        <v>298.98873283425371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97.566140217802143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5.1030005500898651E-11</v>
      </c>
      <c r="AC125" s="22">
        <f t="shared" si="57"/>
        <v>97.566140217853174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2.2000000000000002</v>
      </c>
      <c r="AI125" s="13">
        <f>IF('Données projet'!$A$62&gt;35,AI124+AH125-AQ124,IF(A125&lt;'Données projet'!$A$62,$AF$205^A125,IF(A125='Données projet'!$A$62,'Données projet'!$B$62,AI124+AH125-AQ124)))</f>
        <v>212.39999999999949</v>
      </c>
      <c r="AJ125" s="13">
        <f>AI125*VLOOKUP('Données projet'!$B$10,Paramètres!$A$1:$I$89,3,0)*VLOOKUP('Données projet'!$B$10,Paramètres!$A$1:$I$89,5,0)</f>
        <v>212.06015999999948</v>
      </c>
      <c r="AK125" s="13">
        <f t="shared" si="89"/>
        <v>52.385526380984935</v>
      </c>
      <c r="AL125" s="20">
        <f t="shared" si="58"/>
        <v>460.57623711354785</v>
      </c>
      <c r="AM125" s="59">
        <f t="shared" si="59"/>
        <v>753.90957044688116</v>
      </c>
      <c r="AN125" s="59">
        <f ca="1">AVERAGE(OFFSET($AM$3,0,0,'Données projet'!$E$10+1,1))-AVERAGE(OFFSET($H$3,0,0,'Données projet'!$E$10+1,1))</f>
        <v>206.53345322763442</v>
      </c>
      <c r="AO125" s="59">
        <f t="shared" si="90"/>
        <v>96.700732426680929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29.675950877733442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3.9539460960135522E-10</v>
      </c>
      <c r="AX125" s="21">
        <f t="shared" si="60"/>
        <v>29.675950878128837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4.0999999999999996</v>
      </c>
      <c r="BD125" s="12">
        <f>IF('Données projet'!$A$88&gt;35,BD124+BC125-BL124,IF(A125&lt;'Données projet'!$A$88,$BA$205^A125,IF(A125='Données projet'!$A$88,'Données projet'!$B$88,BD124+BC125-BL124)))</f>
        <v>313.1999999999997</v>
      </c>
      <c r="BE125" s="13">
        <f>BD125*VLOOKUP('Données projet'!$B$11,Paramètres!$A$1:$I$89,3,0)*VLOOKUP('Données projet'!$B$11,Paramètres!$A$1:$I$89,5,0)</f>
        <v>263.83967999999976</v>
      </c>
      <c r="BF125" s="13">
        <f t="shared" si="91"/>
        <v>63.540142934904779</v>
      </c>
      <c r="BG125" s="20">
        <f t="shared" si="61"/>
        <v>570.18652494495871</v>
      </c>
      <c r="BH125" s="59">
        <f t="shared" si="62"/>
        <v>863.51985827829208</v>
      </c>
      <c r="BI125" s="59">
        <f ca="1">AVERAGE(OFFSET($BH$3,0,0,'Données projet'!$E$11+1,1))-AVERAGE(OFFSET($H$3,0,0,'Données projet'!$E$11+1,1))</f>
        <v>328.34986205643321</v>
      </c>
      <c r="BJ125" s="59">
        <f t="shared" si="92"/>
        <v>251.60894449147008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41.396626704829707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2.0875595804569346E-11</v>
      </c>
      <c r="BS125" s="22">
        <f t="shared" si="63"/>
        <v>41.396626704850583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4.0999999999999996</v>
      </c>
      <c r="BY125" s="12">
        <f>IF('Données projet'!$A$114&gt;35,BY124+BX125-CG124,IF(A125&lt;'Données projet'!$A$114,$BV$205^A125,IF(A125='Données projet'!$A$114,'Données projet'!$B$114,BY124+BX125-CG124)))</f>
        <v>313.1999999999997</v>
      </c>
      <c r="BZ125" s="13">
        <f>BY125*VLOOKUP('Données projet'!$B$12,Paramètres!$A$1:$I$89,3,0)*VLOOKUP('Données projet'!$B$12,Paramètres!$A$1:$I$89,5,0)</f>
        <v>283.3833599999997</v>
      </c>
      <c r="CA125" s="13">
        <f t="shared" si="93"/>
        <v>67.681509527314518</v>
      </c>
      <c r="CB125" s="20">
        <f t="shared" si="64"/>
        <v>611.4379810934056</v>
      </c>
      <c r="CC125" s="59">
        <f t="shared" si="65"/>
        <v>904.77131442673885</v>
      </c>
      <c r="CD125" s="59">
        <f ca="1">AVERAGE(OFFSET($CC$3,0,0,'Données projet'!$E$12+1,1))-AVERAGE(OFFSET($H$3,0,0,'Données projet'!$E$12+1,1))</f>
        <v>360.44607552967267</v>
      </c>
      <c r="CE125" s="59">
        <f t="shared" si="94"/>
        <v>271.54361159160169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44.463043497780063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2.2421936234537458E-11</v>
      </c>
      <c r="CN125" s="22">
        <f t="shared" si="66"/>
        <v>44.463043497802488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309.89554000341082</v>
      </c>
      <c r="CZ125" s="59">
        <f t="shared" si="96"/>
        <v>465.9235824539021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41.022237429730268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1.2171910968154232E-10</v>
      </c>
      <c r="DI125" s="22">
        <f t="shared" si="69"/>
        <v>41.022237429851984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-1.4897523215040567E-13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281.82797419088109</v>
      </c>
      <c r="T126" s="59">
        <f t="shared" si="88"/>
        <v>298.98873283425371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95.652927717600505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3.6083662933672259E-11</v>
      </c>
      <c r="AC126" s="22">
        <f t="shared" si="57"/>
        <v>95.652927717636587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2.2000000000000002</v>
      </c>
      <c r="AI126" s="13">
        <f>IF('Données projet'!$A$62&gt;35,AI125+AH126-AQ125,IF(A126&lt;'Données projet'!$A$62,$AF$205^A126,IF(A126='Données projet'!$A$62,'Données projet'!$B$62,AI125+AH126-AQ125)))</f>
        <v>214.59999999999948</v>
      </c>
      <c r="AJ126" s="13">
        <f>AI126*VLOOKUP('Données projet'!$B$10,Paramètres!$A$1:$I$89,3,0)*VLOOKUP('Données projet'!$B$10,Paramètres!$A$1:$I$89,5,0)</f>
        <v>214.25663999999952</v>
      </c>
      <c r="AK126" s="13">
        <f t="shared" si="89"/>
        <v>52.864679489007138</v>
      </c>
      <c r="AL126" s="20">
        <f t="shared" si="58"/>
        <v>465.23629811001996</v>
      </c>
      <c r="AM126" s="59">
        <f t="shared" si="59"/>
        <v>758.56963144335327</v>
      </c>
      <c r="AN126" s="59">
        <f ca="1">AVERAGE(OFFSET($AM$3,0,0,'Données projet'!$E$10+1,1))-AVERAGE(OFFSET($H$3,0,0,'Données projet'!$E$10+1,1))</f>
        <v>206.53345322763442</v>
      </c>
      <c r="AO126" s="59">
        <f t="shared" si="90"/>
        <v>96.700732426680929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29.094023581563846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2.7958620969372587E-10</v>
      </c>
      <c r="AX126" s="21">
        <f t="shared" si="60"/>
        <v>29.094023581843434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4.0999999999999996</v>
      </c>
      <c r="BD126" s="12">
        <f>IF('Données projet'!$A$88&gt;35,BD125+BC126-BL125,IF(A126&lt;'Données projet'!$A$88,$BA$205^A126,IF(A126='Données projet'!$A$88,'Données projet'!$B$88,BD125+BC126-BL125)))</f>
        <v>317.29999999999973</v>
      </c>
      <c r="BE126" s="13">
        <f>BD126*VLOOKUP('Données projet'!$B$11,Paramètres!$A$1:$I$89,3,0)*VLOOKUP('Données projet'!$B$11,Paramètres!$A$1:$I$89,5,0)</f>
        <v>267.29351999999983</v>
      </c>
      <c r="BF126" s="13">
        <f t="shared" si="91"/>
        <v>64.274549574792829</v>
      </c>
      <c r="BG126" s="20">
        <f t="shared" si="61"/>
        <v>577.48105450943058</v>
      </c>
      <c r="BH126" s="59">
        <f t="shared" si="62"/>
        <v>870.81438784276384</v>
      </c>
      <c r="BI126" s="59">
        <f ca="1">AVERAGE(OFFSET($BH$3,0,0,'Données projet'!$E$11+1,1))-AVERAGE(OFFSET($H$3,0,0,'Données projet'!$E$11+1,1))</f>
        <v>328.34986205643321</v>
      </c>
      <c r="BJ126" s="59">
        <f t="shared" si="92"/>
        <v>251.60894449147008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40.584864104597109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1.4761275354720426E-11</v>
      </c>
      <c r="BS126" s="22">
        <f t="shared" si="63"/>
        <v>40.584864104611867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4.0999999999999996</v>
      </c>
      <c r="BY126" s="12">
        <f>IF('Données projet'!$A$114&gt;35,BY125+BX126-CG125,IF(A126&lt;'Données projet'!$A$114,$BV$205^A126,IF(A126='Données projet'!$A$114,'Données projet'!$B$114,BY125+BX126-CG125)))</f>
        <v>317.29999999999973</v>
      </c>
      <c r="BZ126" s="13">
        <f>BY126*VLOOKUP('Données projet'!$B$12,Paramètres!$A$1:$I$89,3,0)*VLOOKUP('Données projet'!$B$12,Paramètres!$A$1:$I$89,5,0)</f>
        <v>287.09303999999975</v>
      </c>
      <c r="CA126" s="13">
        <f t="shared" si="93"/>
        <v>68.463782712400501</v>
      </c>
      <c r="CB126" s="20">
        <f t="shared" si="64"/>
        <v>619.26146622409715</v>
      </c>
      <c r="CC126" s="59">
        <f t="shared" si="65"/>
        <v>912.59479955743041</v>
      </c>
      <c r="CD126" s="59">
        <f ca="1">AVERAGE(OFFSET($CC$3,0,0,'Données projet'!$E$12+1,1))-AVERAGE(OFFSET($H$3,0,0,'Données projet'!$E$12+1,1))</f>
        <v>360.44607552967267</v>
      </c>
      <c r="CE126" s="59">
        <f t="shared" si="94"/>
        <v>271.54361159160169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43.591150334567274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1.5854703158773799E-11</v>
      </c>
      <c r="CN126" s="22">
        <f t="shared" si="66"/>
        <v>43.591150334583126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309.89554000341082</v>
      </c>
      <c r="CZ126" s="59">
        <f t="shared" si="96"/>
        <v>465.9235824539021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40.217816374827464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8.6068407855807729E-11</v>
      </c>
      <c r="DI126" s="22">
        <f t="shared" si="69"/>
        <v>40.217816374913532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-1.4897523215040567E-13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281.82797419088109</v>
      </c>
      <c r="T127" s="59">
        <f t="shared" si="88"/>
        <v>298.98873283425371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93.777232147583419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2.5515002750449326E-11</v>
      </c>
      <c r="AC127" s="22">
        <f t="shared" si="57"/>
        <v>93.777232147608927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2.2000000000000002</v>
      </c>
      <c r="AI127" s="13">
        <f>IF('Données projet'!$A$62&gt;35,AI126+AH127-AQ126,IF(A127&lt;'Données projet'!$A$62,$AF$205^A127,IF(A127='Données projet'!$A$62,'Données projet'!$B$62,AI126+AH127-AQ126)))</f>
        <v>216.79999999999947</v>
      </c>
      <c r="AJ127" s="13">
        <f>AI127*VLOOKUP('Données projet'!$B$10,Paramètres!$A$1:$I$89,3,0)*VLOOKUP('Données projet'!$B$10,Paramètres!$A$1:$I$89,5,0)</f>
        <v>216.4531199999995</v>
      </c>
      <c r="AK127" s="13">
        <f t="shared" si="89"/>
        <v>53.343261158914352</v>
      </c>
      <c r="AL127" s="20">
        <f t="shared" si="58"/>
        <v>469.89536385177502</v>
      </c>
      <c r="AM127" s="59">
        <f t="shared" si="59"/>
        <v>763.22869718510833</v>
      </c>
      <c r="AN127" s="59">
        <f ca="1">AVERAGE(OFFSET($AM$3,0,0,'Données projet'!$E$10+1,1))-AVERAGE(OFFSET($H$3,0,0,'Données projet'!$E$10+1,1))</f>
        <v>206.53345322763442</v>
      </c>
      <c r="AO127" s="59">
        <f t="shared" si="90"/>
        <v>96.700732426680929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28.523507524731532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1.9769730480067761E-10</v>
      </c>
      <c r="AX127" s="21">
        <f t="shared" si="60"/>
        <v>28.523507524929229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4.0999999999999996</v>
      </c>
      <c r="BD127" s="12">
        <f>IF('Données projet'!$A$88&gt;35,BD126+BC127-BL126,IF(A127&lt;'Données projet'!$A$88,$BA$205^A127,IF(A127='Données projet'!$A$88,'Données projet'!$B$88,BD126+BC127-BL126)))</f>
        <v>321.39999999999975</v>
      </c>
      <c r="BE127" s="13">
        <f>BD127*VLOOKUP('Données projet'!$B$11,Paramètres!$A$1:$I$89,3,0)*VLOOKUP('Données projet'!$B$11,Paramètres!$A$1:$I$89,5,0)</f>
        <v>270.74735999999979</v>
      </c>
      <c r="BF127" s="13">
        <f t="shared" si="91"/>
        <v>65.007852416747056</v>
      </c>
      <c r="BG127" s="20">
        <f t="shared" si="61"/>
        <v>584.77366162583417</v>
      </c>
      <c r="BH127" s="59">
        <f t="shared" si="62"/>
        <v>878.10699495916742</v>
      </c>
      <c r="BI127" s="59">
        <f ca="1">AVERAGE(OFFSET($BH$3,0,0,'Données projet'!$E$11+1,1))-AVERAGE(OFFSET($H$3,0,0,'Données projet'!$E$11+1,1))</f>
        <v>328.34986205643321</v>
      </c>
      <c r="BJ127" s="59">
        <f t="shared" si="92"/>
        <v>251.60894449147008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39.789019673828776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1.0437797902284673E-11</v>
      </c>
      <c r="BS127" s="22">
        <f t="shared" si="63"/>
        <v>39.789019673839213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4.0999999999999996</v>
      </c>
      <c r="BY127" s="12">
        <f>IF('Données projet'!$A$114&gt;35,BY126+BX127-CG126,IF(A127&lt;'Données projet'!$A$114,$BV$205^A127,IF(A127='Données projet'!$A$114,'Données projet'!$B$114,BY126+BX127-CG126)))</f>
        <v>321.39999999999975</v>
      </c>
      <c r="BZ127" s="13">
        <f>BY127*VLOOKUP('Données projet'!$B$12,Paramètres!$A$1:$I$89,3,0)*VLOOKUP('Données projet'!$B$12,Paramètres!$A$1:$I$89,5,0)</f>
        <v>290.80271999999974</v>
      </c>
      <c r="CA127" s="13">
        <f t="shared" si="93"/>
        <v>69.244880157128961</v>
      </c>
      <c r="CB127" s="20">
        <f t="shared" si="64"/>
        <v>627.08290360699914</v>
      </c>
      <c r="CC127" s="59">
        <f t="shared" si="65"/>
        <v>920.41623694033251</v>
      </c>
      <c r="CD127" s="59">
        <f ca="1">AVERAGE(OFFSET($CC$3,0,0,'Données projet'!$E$12+1,1))-AVERAGE(OFFSET($H$3,0,0,'Données projet'!$E$12+1,1))</f>
        <v>360.44607552967267</v>
      </c>
      <c r="CE127" s="59">
        <f t="shared" si="94"/>
        <v>271.54361159160169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42.736354464482773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1.1210968117268729E-11</v>
      </c>
      <c r="CN127" s="22">
        <f t="shared" si="66"/>
        <v>42.736354464493985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309.89554000341082</v>
      </c>
      <c r="CZ127" s="59">
        <f t="shared" si="96"/>
        <v>465.9235824539021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39.429169526162909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6.0859554840771162E-11</v>
      </c>
      <c r="DI127" s="22">
        <f t="shared" si="69"/>
        <v>39.429169526223767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-1.4897523215040567E-13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281.82797419088109</v>
      </c>
      <c r="T128" s="59">
        <f t="shared" si="88"/>
        <v>298.98873283425371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91.938317823633042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1.8041831466836129E-11</v>
      </c>
      <c r="AC128" s="22">
        <f t="shared" si="57"/>
        <v>91.93831782365109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2.2000000000000002</v>
      </c>
      <c r="AI128" s="13">
        <f>IF('Données projet'!$A$62&gt;35,AI127+AH128-AQ127,IF(A128&lt;'Données projet'!$A$62,$AF$205^A128,IF(A128='Données projet'!$A$62,'Données projet'!$B$62,AI127+AH128-AQ127)))</f>
        <v>218.99999999999946</v>
      </c>
      <c r="AJ128" s="13">
        <f>AI128*VLOOKUP('Données projet'!$B$10,Paramètres!$A$1:$I$89,3,0)*VLOOKUP('Données projet'!$B$10,Paramètres!$A$1:$I$89,5,0)</f>
        <v>218.64959999999948</v>
      </c>
      <c r="AK128" s="13">
        <f t="shared" si="89"/>
        <v>53.821277860805793</v>
      </c>
      <c r="AL128" s="20">
        <f t="shared" si="58"/>
        <v>474.55344560756913</v>
      </c>
      <c r="AM128" s="59">
        <f t="shared" si="59"/>
        <v>767.88677894090245</v>
      </c>
      <c r="AN128" s="59">
        <f ca="1">AVERAGE(OFFSET($AM$3,0,0,'Données projet'!$E$10+1,1))-AVERAGE(OFFSET($H$3,0,0,'Données projet'!$E$10+1,1))</f>
        <v>206.53345322763442</v>
      </c>
      <c r="AO128" s="59">
        <f t="shared" si="90"/>
        <v>96.700732426680929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27.964178939793264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1.3979310484686293E-10</v>
      </c>
      <c r="AX128" s="21">
        <f t="shared" si="60"/>
        <v>27.964178939933056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4.0999999999999996</v>
      </c>
      <c r="BD128" s="12">
        <f>IF('Données projet'!$A$88&gt;35,BD127+BC128-BL127,IF(A128&lt;'Données projet'!$A$88,$BA$205^A128,IF(A128='Données projet'!$A$88,'Données projet'!$B$88,BD127+BC128-BL127)))</f>
        <v>325.49999999999977</v>
      </c>
      <c r="BE128" s="13">
        <f>BD128*VLOOKUP('Données projet'!$B$11,Paramètres!$A$1:$I$89,3,0)*VLOOKUP('Données projet'!$B$11,Paramètres!$A$1:$I$89,5,0)</f>
        <v>274.20119999999986</v>
      </c>
      <c r="BF128" s="13">
        <f t="shared" si="91"/>
        <v>65.740067169772757</v>
      </c>
      <c r="BG128" s="20">
        <f t="shared" si="61"/>
        <v>592.06437365402064</v>
      </c>
      <c r="BH128" s="59">
        <f t="shared" si="62"/>
        <v>885.39770698735401</v>
      </c>
      <c r="BI128" s="59">
        <f ca="1">AVERAGE(OFFSET($BH$3,0,0,'Données projet'!$E$11+1,1))-AVERAGE(OFFSET($H$3,0,0,'Données projet'!$E$11+1,1))</f>
        <v>328.34986205643321</v>
      </c>
      <c r="BJ128" s="59">
        <f t="shared" si="92"/>
        <v>251.60894449147008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39.00878126693064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7.3806376773602131E-12</v>
      </c>
      <c r="BS128" s="22">
        <f t="shared" si="63"/>
        <v>39.008781266938023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4.0999999999999996</v>
      </c>
      <c r="BY128" s="12">
        <f>IF('Données projet'!$A$114&gt;35,BY127+BX128-CG127,IF(A128&lt;'Données projet'!$A$114,$BV$205^A128,IF(A128='Données projet'!$A$114,'Données projet'!$B$114,BY127+BX128-CG127)))</f>
        <v>325.49999999999977</v>
      </c>
      <c r="BZ128" s="13">
        <f>BY128*VLOOKUP('Données projet'!$B$12,Paramètres!$A$1:$I$89,3,0)*VLOOKUP('Données projet'!$B$12,Paramètres!$A$1:$I$89,5,0)</f>
        <v>294.51239999999979</v>
      </c>
      <c r="CA128" s="13">
        <f t="shared" si="93"/>
        <v>70.024818594373514</v>
      </c>
      <c r="CB128" s="20">
        <f t="shared" si="64"/>
        <v>634.90232238520014</v>
      </c>
      <c r="CC128" s="59">
        <f t="shared" si="65"/>
        <v>928.23565571853351</v>
      </c>
      <c r="CD128" s="59">
        <f ca="1">AVERAGE(OFFSET($CC$3,0,0,'Données projet'!$E$12+1,1))-AVERAGE(OFFSET($H$3,0,0,'Données projet'!$E$12+1,1))</f>
        <v>360.44607552967267</v>
      </c>
      <c r="CE128" s="59">
        <f t="shared" si="94"/>
        <v>271.54361159160169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41.898320620036628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7.9273515793868997E-12</v>
      </c>
      <c r="CN128" s="22">
        <f t="shared" si="66"/>
        <v>41.898320620044558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309.89554000341082</v>
      </c>
      <c r="CZ128" s="59">
        <f t="shared" si="96"/>
        <v>465.9235824539021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38.655987561173582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4.3034203927903864E-11</v>
      </c>
      <c r="DI128" s="22">
        <f t="shared" si="69"/>
        <v>38.655987561216619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-1.4897523215040567E-13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281.82797419088109</v>
      </c>
      <c r="T129" s="59">
        <f t="shared" si="88"/>
        <v>298.98873283425371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90.135463487948343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1.2757501375224663E-11</v>
      </c>
      <c r="AC129" s="22">
        <f t="shared" si="57"/>
        <v>90.135463487961104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2.2000000000000002</v>
      </c>
      <c r="AI129" s="13">
        <f>IF('Données projet'!$A$62&gt;35,AI128+AH129-AQ128,IF(A129&lt;'Données projet'!$A$62,$AF$205^A129,IF(A129='Données projet'!$A$62,'Données projet'!$B$62,AI128+AH129-AQ128)))</f>
        <v>221.19999999999945</v>
      </c>
      <c r="AJ129" s="13">
        <f>AI129*VLOOKUP('Données projet'!$B$10,Paramètres!$A$1:$I$89,3,0)*VLOOKUP('Données projet'!$B$10,Paramètres!$A$1:$I$89,5,0)</f>
        <v>220.84607999999946</v>
      </c>
      <c r="AK129" s="13">
        <f t="shared" si="89"/>
        <v>54.298735927295873</v>
      </c>
      <c r="AL129" s="20">
        <f t="shared" si="58"/>
        <v>479.21055440670602</v>
      </c>
      <c r="AM129" s="59">
        <f t="shared" si="59"/>
        <v>772.54388774003928</v>
      </c>
      <c r="AN129" s="59">
        <f ca="1">AVERAGE(OFFSET($AM$3,0,0,'Données projet'!$E$10+1,1))-AVERAGE(OFFSET($H$3,0,0,'Données projet'!$E$10+1,1))</f>
        <v>206.53345322763442</v>
      </c>
      <c r="AO129" s="59">
        <f t="shared" si="90"/>
        <v>96.700732426680929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27.415818447248885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9.8848652400338805E-11</v>
      </c>
      <c r="AX129" s="21">
        <f t="shared" si="60"/>
        <v>27.415818447347732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4.0999999999999996</v>
      </c>
      <c r="BD129" s="12">
        <f>IF('Données projet'!$A$88&gt;35,BD128+BC129-BL128,IF(A129&lt;'Données projet'!$A$88,$BA$205^A129,IF(A129='Données projet'!$A$88,'Données projet'!$B$88,BD128+BC129-BL128)))</f>
        <v>329.5999999999998</v>
      </c>
      <c r="BE129" s="13">
        <f>BD129*VLOOKUP('Données projet'!$B$11,Paramètres!$A$1:$I$89,3,0)*VLOOKUP('Données projet'!$B$11,Paramètres!$A$1:$I$89,5,0)</f>
        <v>277.65503999999987</v>
      </c>
      <c r="BF129" s="13">
        <f t="shared" si="91"/>
        <v>66.47120912437552</v>
      </c>
      <c r="BG129" s="20">
        <f t="shared" si="61"/>
        <v>599.35321722495371</v>
      </c>
      <c r="BH129" s="59">
        <f t="shared" si="62"/>
        <v>892.68655055828708</v>
      </c>
      <c r="BI129" s="59">
        <f ca="1">AVERAGE(OFFSET($BH$3,0,0,'Données projet'!$E$11+1,1))-AVERAGE(OFFSET($H$3,0,0,'Données projet'!$E$11+1,1))</f>
        <v>328.34986205643321</v>
      </c>
      <c r="BJ129" s="59">
        <f t="shared" si="92"/>
        <v>251.60894449147008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38.243842859293338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5.2188989511423365E-12</v>
      </c>
      <c r="BS129" s="22">
        <f t="shared" si="63"/>
        <v>38.243842859298553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4.0999999999999996</v>
      </c>
      <c r="BY129" s="12">
        <f>IF('Données projet'!$A$114&gt;35,BY128+BX129-CG128,IF(A129&lt;'Données projet'!$A$114,$BV$205^A129,IF(A129='Données projet'!$A$114,'Données projet'!$B$114,BY128+BX129-CG128)))</f>
        <v>329.5999999999998</v>
      </c>
      <c r="BZ129" s="13">
        <f>BY129*VLOOKUP('Données projet'!$B$12,Paramètres!$A$1:$I$89,3,0)*VLOOKUP('Données projet'!$B$12,Paramètres!$A$1:$I$89,5,0)</f>
        <v>298.22207999999978</v>
      </c>
      <c r="CA129" s="13">
        <f t="shared" si="93"/>
        <v>70.803614311231783</v>
      </c>
      <c r="CB129" s="20">
        <f t="shared" si="64"/>
        <v>642.71975092539503</v>
      </c>
      <c r="CC129" s="59">
        <f t="shared" si="65"/>
        <v>936.0530842587284</v>
      </c>
      <c r="CD129" s="59">
        <f ca="1">AVERAGE(OFFSET($CC$3,0,0,'Données projet'!$E$12+1,1))-AVERAGE(OFFSET($H$3,0,0,'Données projet'!$E$12+1,1))</f>
        <v>360.44607552967267</v>
      </c>
      <c r="CE129" s="59">
        <f t="shared" si="94"/>
        <v>271.54361159160169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41.076720108129898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5.6054840586343645E-12</v>
      </c>
      <c r="CN129" s="22">
        <f t="shared" si="66"/>
        <v>41.076720108135504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309.89554000341082</v>
      </c>
      <c r="CZ129" s="59">
        <f t="shared" si="96"/>
        <v>465.9235824539021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37.897967222923263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3.0429777420385581E-11</v>
      </c>
      <c r="DI129" s="22">
        <f t="shared" si="69"/>
        <v>37.897967222953696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-1.4897523215040567E-13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281.82797419088109</v>
      </c>
      <c r="T130" s="59">
        <f t="shared" si="88"/>
        <v>298.98873283425371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88.367962026153862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9.0209157334180647E-12</v>
      </c>
      <c r="AC130" s="22">
        <f t="shared" si="57"/>
        <v>88.367962026162886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2.2000000000000002</v>
      </c>
      <c r="AI130" s="13">
        <f>IF('Données projet'!$A$62&gt;35,AI129+AH130-AQ129,IF(A130&lt;'Données projet'!$A$62,$AF$205^A130,IF(A130='Données projet'!$A$62,'Données projet'!$B$62,AI129+AH130-AQ129)))</f>
        <v>223.39999999999944</v>
      </c>
      <c r="AJ130" s="13">
        <f>AI130*VLOOKUP('Données projet'!$B$10,Paramètres!$A$1:$I$89,3,0)*VLOOKUP('Données projet'!$B$10,Paramètres!$A$1:$I$89,5,0)</f>
        <v>223.04255999999944</v>
      </c>
      <c r="AK130" s="13">
        <f t="shared" si="89"/>
        <v>54.775641557773206</v>
      </c>
      <c r="AL130" s="20">
        <f t="shared" si="58"/>
        <v>483.86670104645395</v>
      </c>
      <c r="AM130" s="59">
        <f t="shared" si="59"/>
        <v>777.20003437978721</v>
      </c>
      <c r="AN130" s="59">
        <f ca="1">AVERAGE(OFFSET($AM$3,0,0,'Données projet'!$E$10+1,1))-AVERAGE(OFFSET($H$3,0,0,'Données projet'!$E$10+1,1))</f>
        <v>206.53345322763442</v>
      </c>
      <c r="AO130" s="59">
        <f t="shared" si="90"/>
        <v>96.700732426680929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26.878210969496426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6.9896552423431467E-11</v>
      </c>
      <c r="AX130" s="21">
        <f t="shared" si="60"/>
        <v>26.878210969566322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4.0999999999999996</v>
      </c>
      <c r="BD130" s="12">
        <f>IF('Données projet'!$A$88&gt;35,BD129+BC130-BL129,IF(A130&lt;'Données projet'!$A$88,$BA$205^A130,IF(A130='Données projet'!$A$88,'Données projet'!$B$88,BD129+BC130-BL129)))</f>
        <v>333.69999999999982</v>
      </c>
      <c r="BE130" s="13">
        <f>BD130*VLOOKUP('Données projet'!$B$11,Paramètres!$A$1:$I$89,3,0)*VLOOKUP('Données projet'!$B$11,Paramètres!$A$1:$I$89,5,0)</f>
        <v>281.10887999999989</v>
      </c>
      <c r="BF130" s="13">
        <f t="shared" si="91"/>
        <v>67.201293168774626</v>
      </c>
      <c r="BG130" s="20">
        <f t="shared" si="61"/>
        <v>606.64021826894884</v>
      </c>
      <c r="BH130" s="59">
        <f t="shared" si="62"/>
        <v>899.97355160228221</v>
      </c>
      <c r="BI130" s="59">
        <f ca="1">AVERAGE(OFFSET($BH$3,0,0,'Données projet'!$E$11+1,1))-AVERAGE(OFFSET($H$3,0,0,'Données projet'!$E$11+1,1))</f>
        <v>328.34986205643321</v>
      </c>
      <c r="BJ130" s="59">
        <f t="shared" si="92"/>
        <v>251.60894449147008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37.493904427263445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3.6903188386801065E-12</v>
      </c>
      <c r="BS130" s="22">
        <f t="shared" si="63"/>
        <v>37.493904427267132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4.0999999999999996</v>
      </c>
      <c r="BY130" s="12">
        <f>IF('Données projet'!$A$114&gt;35,BY129+BX130-CG129,IF(A130&lt;'Données projet'!$A$114,$BV$205^A130,IF(A130='Données projet'!$A$114,'Données projet'!$B$114,BY129+BX130-CG129)))</f>
        <v>333.69999999999982</v>
      </c>
      <c r="BZ130" s="13">
        <f>BY130*VLOOKUP('Données projet'!$B$12,Paramètres!$A$1:$I$89,3,0)*VLOOKUP('Données projet'!$B$12,Paramètres!$A$1:$I$89,5,0)</f>
        <v>301.93175999999983</v>
      </c>
      <c r="CA130" s="13">
        <f t="shared" si="93"/>
        <v>71.581283166294966</v>
      </c>
      <c r="CB130" s="20">
        <f t="shared" si="64"/>
        <v>650.5352168479634</v>
      </c>
      <c r="CC130" s="59">
        <f t="shared" si="65"/>
        <v>943.86855018129677</v>
      </c>
      <c r="CD130" s="59">
        <f ca="1">AVERAGE(OFFSET($CC$3,0,0,'Données projet'!$E$12+1,1))-AVERAGE(OFFSET($H$3,0,0,'Données projet'!$E$12+1,1))</f>
        <v>360.44607552967267</v>
      </c>
      <c r="CE130" s="59">
        <f t="shared" si="94"/>
        <v>271.54361159160169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40.271230681134824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3.9636757896934499E-12</v>
      </c>
      <c r="CN130" s="22">
        <f t="shared" si="66"/>
        <v>40.271230681138789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309.89554000341082</v>
      </c>
      <c r="CZ130" s="59">
        <f t="shared" si="96"/>
        <v>465.9235824539021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37.154811201159283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2.1517101963951932E-11</v>
      </c>
      <c r="DI130" s="22">
        <f t="shared" si="69"/>
        <v>37.154811201180799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-1.4897523215040567E-13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281.82797419088109</v>
      </c>
      <c r="T131" s="59">
        <f t="shared" si="88"/>
        <v>298.98873283425371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86.635120189955728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6.3787506876123314E-12</v>
      </c>
      <c r="AC131" s="22">
        <f t="shared" si="57"/>
        <v>86.635120189962109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2.2000000000000002</v>
      </c>
      <c r="AI131" s="13">
        <f>IF('Données projet'!$A$62&gt;35,AI130+AH131-AQ130,IF(A131&lt;'Données projet'!$A$62,$AF$205^A131,IF(A131='Données projet'!$A$62,'Données projet'!$B$62,AI130+AH131-AQ130)))</f>
        <v>225.59999999999943</v>
      </c>
      <c r="AJ131" s="13">
        <f>AI131*VLOOKUP('Données projet'!$B$10,Paramètres!$A$1:$I$89,3,0)*VLOOKUP('Données projet'!$B$10,Paramètres!$A$1:$I$89,5,0)</f>
        <v>225.23903999999945</v>
      </c>
      <c r="AK131" s="13">
        <f t="shared" si="89"/>
        <v>55.252000822487219</v>
      </c>
      <c r="AL131" s="20">
        <f t="shared" si="58"/>
        <v>488.52189609916417</v>
      </c>
      <c r="AM131" s="59">
        <f t="shared" si="59"/>
        <v>781.85522943249748</v>
      </c>
      <c r="AN131" s="59">
        <f ca="1">AVERAGE(OFFSET($AM$3,0,0,'Données projet'!$E$10+1,1))-AVERAGE(OFFSET($H$3,0,0,'Données projet'!$E$10+1,1))</f>
        <v>206.53345322763442</v>
      </c>
      <c r="AO131" s="59">
        <f t="shared" si="90"/>
        <v>96.700732426680929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26.35114564647451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4.9424326200169403E-11</v>
      </c>
      <c r="AX131" s="21">
        <f t="shared" si="60"/>
        <v>26.351145646523936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4.0999999999999996</v>
      </c>
      <c r="BD131" s="12">
        <f>IF('Données projet'!$A$88&gt;35,BD130+BC131-BL130,IF(A131&lt;'Données projet'!$A$88,$BA$205^A131,IF(A131='Données projet'!$A$88,'Données projet'!$B$88,BD130+BC131-BL130)))</f>
        <v>337.79999999999984</v>
      </c>
      <c r="BE131" s="13">
        <f>BD131*VLOOKUP('Données projet'!$B$11,Paramètres!$A$1:$I$89,3,0)*VLOOKUP('Données projet'!$B$11,Paramètres!$A$1:$I$89,5,0)</f>
        <v>284.5627199999999</v>
      </c>
      <c r="BF131" s="13">
        <f t="shared" si="91"/>
        <v>67.93033380429695</v>
      </c>
      <c r="BG131" s="20">
        <f t="shared" si="61"/>
        <v>613.9254020424836</v>
      </c>
      <c r="BH131" s="59">
        <f t="shared" si="62"/>
        <v>907.25873537581697</v>
      </c>
      <c r="BI131" s="59">
        <f ca="1">AVERAGE(OFFSET($BH$3,0,0,'Données projet'!$E$11+1,1))-AVERAGE(OFFSET($H$3,0,0,'Données projet'!$E$11+1,1))</f>
        <v>328.34986205643321</v>
      </c>
      <c r="BJ131" s="59">
        <f t="shared" si="92"/>
        <v>251.60894449147008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36.75867183046838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2.6094494755711683E-12</v>
      </c>
      <c r="BS131" s="22">
        <f t="shared" si="63"/>
        <v>36.758671830470988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4.0999999999999996</v>
      </c>
      <c r="BY131" s="12">
        <f>IF('Données projet'!$A$114&gt;35,BY130+BX131-CG130,IF(A131&lt;'Données projet'!$A$114,$BV$205^A131,IF(A131='Données projet'!$A$114,'Données projet'!$B$114,BY130+BX131-CG130)))</f>
        <v>337.79999999999984</v>
      </c>
      <c r="BZ131" s="13">
        <f>BY131*VLOOKUP('Données projet'!$B$12,Paramètres!$A$1:$I$89,3,0)*VLOOKUP('Données projet'!$B$12,Paramètres!$A$1:$I$89,5,0)</f>
        <v>305.64143999999982</v>
      </c>
      <c r="CA131" s="13">
        <f t="shared" si="93"/>
        <v>72.357840606045357</v>
      </c>
      <c r="CB131" s="20">
        <f t="shared" si="64"/>
        <v>658.34874705552875</v>
      </c>
      <c r="CC131" s="59">
        <f t="shared" si="65"/>
        <v>951.682080388862</v>
      </c>
      <c r="CD131" s="59">
        <f ca="1">AVERAGE(OFFSET($CC$3,0,0,'Données projet'!$E$12+1,1))-AVERAGE(OFFSET($H$3,0,0,'Données projet'!$E$12+1,1))</f>
        <v>360.44607552967267</v>
      </c>
      <c r="CE131" s="59">
        <f t="shared" si="94"/>
        <v>271.54361159160169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39.481536410503089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2.8027420293171822E-12</v>
      </c>
      <c r="CN131" s="22">
        <f t="shared" si="66"/>
        <v>39.481536410505889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309.89554000341082</v>
      </c>
      <c r="CZ131" s="59">
        <f t="shared" si="96"/>
        <v>465.9235824539021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36.426228015701675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1.5214888710192791E-11</v>
      </c>
      <c r="DI131" s="22">
        <f t="shared" si="69"/>
        <v>36.426228015716887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-1.4897523215040567E-13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281.82797419088109</v>
      </c>
      <c r="T132" s="59">
        <f t="shared" si="88"/>
        <v>298.98873283425371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84.936258325236281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4.5104578667090323E-12</v>
      </c>
      <c r="AC132" s="22">
        <f t="shared" ref="AC132:AC153" si="111">SUM(Z132:AB132)</f>
        <v>84.936258325240786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2.2000000000000002</v>
      </c>
      <c r="AI132" s="13">
        <f>IF('Données projet'!$A$62&gt;35,AI131+AH132-AQ131,IF(A132&lt;'Données projet'!$A$62,$AF$205^A132,IF(A132='Données projet'!$A$62,'Données projet'!$B$62,AI131+AH132-AQ131)))</f>
        <v>227.79999999999941</v>
      </c>
      <c r="AJ132" s="13">
        <f>AI132*VLOOKUP('Données projet'!$B$10,Paramètres!$A$1:$I$89,3,0)*VLOOKUP('Données projet'!$B$10,Paramètres!$A$1:$I$89,5,0)</f>
        <v>227.43551999999943</v>
      </c>
      <c r="AK132" s="13">
        <f t="shared" si="89"/>
        <v>55.727819666470666</v>
      </c>
      <c r="AL132" s="20">
        <f t="shared" ref="AL132:AL153" si="112">(AJ132+AK132)*0.475*44/12</f>
        <v>493.1761499191021</v>
      </c>
      <c r="AM132" s="59">
        <f t="shared" ref="AM132:AM195" si="113">AL132+(AD132+AE132)*44/12</f>
        <v>786.50948325243542</v>
      </c>
      <c r="AN132" s="59">
        <f ca="1">AVERAGE(OFFSET($AM$3,0,0,'Données projet'!$E$10+1,1))-AVERAGE(OFFSET($H$3,0,0,'Données projet'!$E$10+1,1))</f>
        <v>206.53345322763442</v>
      </c>
      <c r="AO132" s="59">
        <f t="shared" si="90"/>
        <v>96.700732426680929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25.83441575295895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3.4948276211715733E-11</v>
      </c>
      <c r="AX132" s="21">
        <f t="shared" ref="AX132:AX153" si="114">SUM(AU132:AW132)</f>
        <v>25.834415752993898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4.0999999999999996</v>
      </c>
      <c r="BD132" s="12">
        <f>IF('Données projet'!$A$88&gt;35,BD131+BC132-BL131,IF(A132&lt;'Données projet'!$A$88,$BA$205^A132,IF(A132='Données projet'!$A$88,'Données projet'!$B$88,BD131+BC132-BL131)))</f>
        <v>341.89999999999986</v>
      </c>
      <c r="BE132" s="13">
        <f>BD132*VLOOKUP('Données projet'!$B$11,Paramètres!$A$1:$I$89,3,0)*VLOOKUP('Données projet'!$B$11,Paramètres!$A$1:$I$89,5,0)</f>
        <v>288.01655999999991</v>
      </c>
      <c r="BF132" s="13">
        <f t="shared" si="91"/>
        <v>68.658345160002241</v>
      </c>
      <c r="BG132" s="20">
        <f t="shared" ref="BG132:BG153" si="115">(BE132+BF132)*0.475*44/12</f>
        <v>621.2087931536704</v>
      </c>
      <c r="BH132" s="59">
        <f t="shared" ref="BH132:BH195" si="116">BG132+(AY132+AZ132)*44/12</f>
        <v>914.54212648700377</v>
      </c>
      <c r="BI132" s="59">
        <f ca="1">AVERAGE(OFFSET($BH$3,0,0,'Données projet'!$E$11+1,1))-AVERAGE(OFFSET($H$3,0,0,'Données projet'!$E$11+1,1))</f>
        <v>328.34986205643321</v>
      </c>
      <c r="BJ132" s="59">
        <f t="shared" si="92"/>
        <v>251.60894449147008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36.037856696448863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1.8451594193400533E-12</v>
      </c>
      <c r="BS132" s="22">
        <f t="shared" ref="BS132:BS153" si="117">SUM(BP132:BR132)</f>
        <v>36.03785669645071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4.0999999999999996</v>
      </c>
      <c r="BY132" s="12">
        <f>IF('Données projet'!$A$114&gt;35,BY131+BX132-CG131,IF(A132&lt;'Données projet'!$A$114,$BV$205^A132,IF(A132='Données projet'!$A$114,'Données projet'!$B$114,BY131+BX132-CG131)))</f>
        <v>341.89999999999986</v>
      </c>
      <c r="BZ132" s="13">
        <f>BY132*VLOOKUP('Données projet'!$B$12,Paramètres!$A$1:$I$89,3,0)*VLOOKUP('Données projet'!$B$12,Paramètres!$A$1:$I$89,5,0)</f>
        <v>309.35111999999987</v>
      </c>
      <c r="CA132" s="13">
        <f t="shared" si="93"/>
        <v>73.133301680434812</v>
      </c>
      <c r="CB132" s="20">
        <f t="shared" ref="CB132:CB153" si="118">(BZ132+CA132)*0.475*44/12</f>
        <v>666.16036776009037</v>
      </c>
      <c r="CC132" s="59">
        <f t="shared" ref="CC132:CC195" si="119">CB132+(BT132+BU132)*44/12</f>
        <v>959.49370109342362</v>
      </c>
      <c r="CD132" s="59">
        <f ca="1">AVERAGE(OFFSET($CC$3,0,0,'Données projet'!$E$12+1,1))-AVERAGE(OFFSET($H$3,0,0,'Données projet'!$E$12+1,1))</f>
        <v>360.44607552967267</v>
      </c>
      <c r="CE132" s="59">
        <f t="shared" si="94"/>
        <v>271.54361159160169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38.707327562852498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1.9818378948467249E-12</v>
      </c>
      <c r="CN132" s="22">
        <f t="shared" ref="CN132:CN153" si="120">SUM(CK132:CM132)</f>
        <v>38.707327562854481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309.89554000341082</v>
      </c>
      <c r="CZ132" s="59">
        <f t="shared" si="96"/>
        <v>465.9235824539021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35.711931902119026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1.0758550981975966E-11</v>
      </c>
      <c r="DI132" s="22">
        <f t="shared" ref="DI132:DI153" si="123">SUM(DF132:DH132)</f>
        <v>35.711931902129784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-1.4897523215040567E-13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281.82797419088109</v>
      </c>
      <c r="T133" s="59">
        <f t="shared" ref="T133:T196" si="142">$T$3</f>
        <v>298.98873283425371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83.270710105480561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3.1893753438061657E-12</v>
      </c>
      <c r="AC133" s="22">
        <f t="shared" si="111"/>
        <v>83.270710105483744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230</v>
      </c>
      <c r="AG133" s="12">
        <f>VLOOKUP(A133,'Données projet'!$A$61:$I$81,9,0)</f>
        <v>2.2000000000000002</v>
      </c>
      <c r="AH133" s="12">
        <f t="array" ref="AH133">INDEX(AG:AG,MIN(IF(ISNUMBER(AG133:AG329),ROW(AG133:AG329),"")))</f>
        <v>2.2000000000000002</v>
      </c>
      <c r="AI133" s="13">
        <f>IF('Données projet'!$A$62&gt;35,AI132+AH133-AQ132,IF(A133&lt;'Données projet'!$A$62,$AF$205^A133,IF(A133='Données projet'!$A$62,'Données projet'!$B$62,AI132+AH133-AQ132)))</f>
        <v>229.9999999999994</v>
      </c>
      <c r="AJ133" s="13">
        <f>AI133*VLOOKUP('Données projet'!$B$10,Paramètres!$A$1:$I$89,3,0)*VLOOKUP('Données projet'!$B$10,Paramètres!$A$1:$I$89,5,0)</f>
        <v>229.63199999999941</v>
      </c>
      <c r="AK133" s="13">
        <f t="shared" ref="AK133:AK153" si="143">EXP(-1.0587+0.8836*LN(AJ133)+0.284)</f>
        <v>56.203103913306521</v>
      </c>
      <c r="AL133" s="20">
        <f t="shared" si="112"/>
        <v>497.82947264900781</v>
      </c>
      <c r="AM133" s="59">
        <f t="shared" si="113"/>
        <v>791.16280598234107</v>
      </c>
      <c r="AN133" s="59">
        <f ca="1">AVERAGE(OFFSET($AM$3,0,0,'Données projet'!$E$10+1,1))-AVERAGE(OFFSET($H$3,0,0,'Données projet'!$E$10+1,1))</f>
        <v>206.53345322763442</v>
      </c>
      <c r="AO133" s="59">
        <f t="shared" ref="AO133:AO196" si="144">$AO$3</f>
        <v>96.700732426680929</v>
      </c>
      <c r="AP133" s="15">
        <f>IF(ISNA(VLOOKUP(A133,'Données projet'!$A$61:$I$81,3,0)),0,VLOOKUP(A133,'Données projet'!$A$61:$I$81,3,0))</f>
        <v>11</v>
      </c>
      <c r="AQ133" s="15">
        <f>IF(ISNA(VLOOKUP(A133,'Données projet'!$A$61:$I$81,4,0)),0,VLOOKUP(A133,'Données projet'!$A$61:$I$81,4,0))</f>
        <v>21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25.327818617481118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2.4712163100084701E-11</v>
      </c>
      <c r="AX133" s="21">
        <f t="shared" si="114"/>
        <v>25.32781861750583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>
        <f>VLOOKUP(A133,'Données projet'!$A$87:$I$107,2,0)</f>
        <v>346</v>
      </c>
      <c r="BB133" s="12">
        <f>VLOOKUP(A133,'Données projet'!$A$87:$I$107,9,0)</f>
        <v>4.0999999999999996</v>
      </c>
      <c r="BC133" s="12">
        <f t="array" ref="BC133">INDEX(BB:BB,MIN(IF(ISNUMBER(BB133:BB329),ROW(BB133:BB329),"")))</f>
        <v>4.0999999999999996</v>
      </c>
      <c r="BD133" s="12">
        <f>IF('Données projet'!$A$88&gt;35,BD132+BC133-BL132,IF(A133&lt;'Données projet'!$A$88,$BA$205^A133,IF(A133='Données projet'!$A$88,'Données projet'!$B$88,BD132+BC133-BL132)))</f>
        <v>345.99999999999989</v>
      </c>
      <c r="BE133" s="13">
        <f>BD133*VLOOKUP('Données projet'!$B$11,Paramètres!$A$1:$I$89,3,0)*VLOOKUP('Données projet'!$B$11,Paramètres!$A$1:$I$89,5,0)</f>
        <v>291.47039999999993</v>
      </c>
      <c r="BF133" s="13">
        <f t="shared" ref="BF133:BF153" si="145">EXP(-1.0587+0.8836*LN(BE133)+0.284)</f>
        <v>69.38534100658697</v>
      </c>
      <c r="BG133" s="20">
        <f t="shared" si="115"/>
        <v>628.49041558647207</v>
      </c>
      <c r="BH133" s="59">
        <f t="shared" si="116"/>
        <v>921.82374891980544</v>
      </c>
      <c r="BI133" s="59">
        <f ca="1">AVERAGE(OFFSET($BH$3,0,0,'Données projet'!$E$11+1,1))-AVERAGE(OFFSET($H$3,0,0,'Données projet'!$E$11+1,1))</f>
        <v>328.34986205643321</v>
      </c>
      <c r="BJ133" s="59">
        <f t="shared" ref="BJ133:BJ196" si="146">$BJ$3</f>
        <v>251.60894449147008</v>
      </c>
      <c r="BK133" s="15">
        <f>IF(ISNA(VLOOKUP(A133,'Données projet'!$A$87:$I$107,3,0)),0,VLOOKUP(A133,'Données projet'!$A$87:$I$107,3,0))</f>
        <v>12</v>
      </c>
      <c r="BL133" s="15">
        <f>IF(ISNA(VLOOKUP(A133,'Données projet'!$A$87:$I$107,4,0)),0,VLOOKUP(A133,'Données projet'!$A$87:$I$107,4,0))</f>
        <v>44</v>
      </c>
      <c r="BM133" s="16">
        <f>IF(ISNA(VLOOKUP(A133,'Données projet'!$A$87:$I$107,5,0)),0%,VLOOKUP(A133,'Données projet'!$A$87:$I$107,5,0)*VLOOKUP('Données projet'!$B$11,Paramètres!$A$1:$I$89,7,0))</f>
        <v>0.43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52.950393154388749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1.3047247377855841E-12</v>
      </c>
      <c r="BS133" s="22">
        <f t="shared" si="117"/>
        <v>52.950393154390056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>
        <f>VLOOKUP(A133,'Données projet'!$A$113:$I$133,2,0)</f>
        <v>346</v>
      </c>
      <c r="BW133" s="12">
        <f>VLOOKUP(A133,'Données projet'!$A$113:$I$133,9,0)</f>
        <v>4.0999999999999996</v>
      </c>
      <c r="BX133" s="12">
        <f t="array" ref="BX133">INDEX(BW:BW,MIN(IF(ISNUMBER(BW133:BW329),ROW(BW133:BW329),"")))</f>
        <v>4.0999999999999996</v>
      </c>
      <c r="BY133" s="12">
        <f>IF('Données projet'!$A$114&gt;35,BY132+BX133-CG132,IF(A133&lt;'Données projet'!$A$114,$BV$205^A133,IF(A133='Données projet'!$A$114,'Données projet'!$B$114,BY132+BX133-CG132)))</f>
        <v>345.99999999999989</v>
      </c>
      <c r="BZ133" s="13">
        <f>BY133*VLOOKUP('Données projet'!$B$12,Paramètres!$A$1:$I$89,3,0)*VLOOKUP('Données projet'!$B$12,Paramètres!$A$1:$I$89,5,0)</f>
        <v>313.06079999999992</v>
      </c>
      <c r="CA133" s="13">
        <f t="shared" ref="CA133:CA153" si="147">EXP(-1.0587+0.8836*LN(BZ133)+0.284)</f>
        <v>73.907681057694802</v>
      </c>
      <c r="CB133" s="20">
        <f t="shared" si="118"/>
        <v>673.97010450881828</v>
      </c>
      <c r="CC133" s="59">
        <f t="shared" si="119"/>
        <v>967.30343784215165</v>
      </c>
      <c r="CD133" s="59">
        <f ca="1">AVERAGE(OFFSET($CC$3,0,0,'Données projet'!$E$12+1,1))-AVERAGE(OFFSET($H$3,0,0,'Données projet'!$E$12+1,1))</f>
        <v>360.44607552967267</v>
      </c>
      <c r="CE133" s="59">
        <f t="shared" ref="CE133:CE196" si="148">$CE$3</f>
        <v>271.54361159160169</v>
      </c>
      <c r="CF133" s="15">
        <f>IF(ISNA(VLOOKUP(A133,'Données projet'!$A$113:$I$133,3,0)),0,VLOOKUP(A133,'Données projet'!$A$113:$I$133,3,0))</f>
        <v>12</v>
      </c>
      <c r="CG133" s="15">
        <f>IF(ISNA(VLOOKUP(A133,'Données projet'!$A$113:$I$133,4,0)),0,VLOOKUP(A133,'Données projet'!$A$113:$I$133,4,0))</f>
        <v>44</v>
      </c>
      <c r="CH133" s="16">
        <f>IF(ISNA(VLOOKUP(A133,'Données projet'!$A$113:$I$133,5,0)),0%,VLOOKUP(A133,'Données projet'!$A$113:$I$133,5,0)*VLOOKUP('Données projet'!$B$12,Paramètres!$A$1:$I$89,7,0))</f>
        <v>0.43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56.872644499158312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1.4013710146585911E-12</v>
      </c>
      <c r="CN133" s="22">
        <f t="shared" si="120"/>
        <v>56.872644499159712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309.89554000341082</v>
      </c>
      <c r="CZ133" s="59">
        <f t="shared" ref="CZ133:CZ196" si="150">$CZ$3</f>
        <v>465.9235824539021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35.011642699646124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7.6074443550963953E-12</v>
      </c>
      <c r="DI133" s="22">
        <f t="shared" si="123"/>
        <v>35.011642699653734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-1.4897523215040567E-13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281.82797419088109</v>
      </c>
      <c r="T134" s="59">
        <f t="shared" si="142"/>
        <v>298.98873283425371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81.637822270430149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2.2552289333545162E-12</v>
      </c>
      <c r="AC134" s="22">
        <f t="shared" si="111"/>
        <v>81.637822270432409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1.8</v>
      </c>
      <c r="AI134" s="13">
        <f>IF('Données projet'!$A$62&gt;35,AI133+AH134-AQ133,IF(A134&lt;'Données projet'!$A$62,$AF$205^A134,IF(A134='Données projet'!$A$62,'Données projet'!$B$62,AI133+AH134-AQ133)))</f>
        <v>210.79999999999941</v>
      </c>
      <c r="AJ134" s="13">
        <f>AI134*VLOOKUP('Données projet'!$B$10,Paramètres!$A$1:$I$89,3,0)*VLOOKUP('Données projet'!$B$10,Paramètres!$A$1:$I$89,5,0)</f>
        <v>210.46271999999945</v>
      </c>
      <c r="AK134" s="13">
        <f t="shared" si="143"/>
        <v>52.036688703721858</v>
      </c>
      <c r="AL134" s="20">
        <f t="shared" si="112"/>
        <v>457.18647015898131</v>
      </c>
      <c r="AM134" s="59">
        <f t="shared" si="113"/>
        <v>750.51980349231462</v>
      </c>
      <c r="AN134" s="59">
        <f ca="1">AVERAGE(OFFSET($AM$3,0,0,'Données projet'!$E$10+1,1))-AVERAGE(OFFSET($H$3,0,0,'Données projet'!$E$10+1,1))</f>
        <v>206.53345322763442</v>
      </c>
      <c r="AO134" s="59">
        <f t="shared" si="144"/>
        <v>96.700732426680929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24.831155542836264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1.7474138105857867E-11</v>
      </c>
      <c r="AX134" s="21">
        <f t="shared" si="114"/>
        <v>24.83115554285374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3.8</v>
      </c>
      <c r="BD134" s="12">
        <f>IF('Données projet'!$A$88&gt;35,BD133+BC134-BL133,IF(A134&lt;'Données projet'!$A$88,$BA$205^A134,IF(A134='Données projet'!$A$88,'Données projet'!$B$88,BD133+BC134-BL133)))</f>
        <v>305.7999999999999</v>
      </c>
      <c r="BE134" s="13">
        <f>BD134*VLOOKUP('Données projet'!$B$11,Paramètres!$A$1:$I$89,3,0)*VLOOKUP('Données projet'!$B$11,Paramètres!$A$1:$I$89,5,0)</f>
        <v>257.60591999999991</v>
      </c>
      <c r="BF134" s="13">
        <f t="shared" si="145"/>
        <v>62.21178242147321</v>
      </c>
      <c r="BG134" s="20">
        <f t="shared" si="115"/>
        <v>557.01583171739901</v>
      </c>
      <c r="BH134" s="59">
        <f t="shared" si="116"/>
        <v>850.34916505073238</v>
      </c>
      <c r="BI134" s="59">
        <f ca="1">AVERAGE(OFFSET($BH$3,0,0,'Données projet'!$E$11+1,1))-AVERAGE(OFFSET($H$3,0,0,'Données projet'!$E$11+1,1))</f>
        <v>328.34986205643321</v>
      </c>
      <c r="BJ134" s="59">
        <f t="shared" si="146"/>
        <v>251.60894449147008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51.912068241181991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9.2257970967002663E-13</v>
      </c>
      <c r="BS134" s="22">
        <f t="shared" si="117"/>
        <v>51.912068241182915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3.8</v>
      </c>
      <c r="BY134" s="12">
        <f>IF('Données projet'!$A$114&gt;35,BY133+BX134-CG133,IF(A134&lt;'Données projet'!$A$114,$BV$205^A134,IF(A134='Données projet'!$A$114,'Données projet'!$B$114,BY133+BX134-CG133)))</f>
        <v>305.7999999999999</v>
      </c>
      <c r="BZ134" s="13">
        <f>BY134*VLOOKUP('Données projet'!$B$12,Paramètres!$A$1:$I$89,3,0)*VLOOKUP('Données projet'!$B$12,Paramètres!$A$1:$I$89,5,0)</f>
        <v>276.68783999999988</v>
      </c>
      <c r="CA134" s="13">
        <f t="shared" si="147"/>
        <v>66.266570237082931</v>
      </c>
      <c r="CB134" s="20">
        <f t="shared" si="118"/>
        <v>597.31226449625251</v>
      </c>
      <c r="CC134" s="59">
        <f t="shared" si="119"/>
        <v>890.64559782958577</v>
      </c>
      <c r="CD134" s="59">
        <f ca="1">AVERAGE(OFFSET($CC$3,0,0,'Données projet'!$E$12+1,1))-AVERAGE(OFFSET($H$3,0,0,'Données projet'!$E$12+1,1))</f>
        <v>360.44607552967267</v>
      </c>
      <c r="CE134" s="59">
        <f t="shared" si="148"/>
        <v>271.54361159160169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55.757406629417716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9.9091894742336246E-13</v>
      </c>
      <c r="CN134" s="22">
        <f t="shared" si="120"/>
        <v>55.757406629418703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309.89554000341082</v>
      </c>
      <c r="CZ134" s="59">
        <f t="shared" si="150"/>
        <v>465.9235824539021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34.325085741299482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5.379275490987983E-12</v>
      </c>
      <c r="DI134" s="22">
        <f t="shared" si="123"/>
        <v>34.325085741304861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-1.4897523215040567E-13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281.82797419088109</v>
      </c>
      <c r="T135" s="59">
        <f t="shared" si="142"/>
        <v>298.98873283425371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80.036954369861832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1.5946876719030829E-12</v>
      </c>
      <c r="AC135" s="22">
        <f t="shared" si="111"/>
        <v>80.036954369863423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1.8</v>
      </c>
      <c r="AI135" s="13">
        <f>IF('Données projet'!$A$62&gt;35,AI134+AH135-AQ134,IF(A135&lt;'Données projet'!$A$62,$AF$205^A135,IF(A135='Données projet'!$A$62,'Données projet'!$B$62,AI134+AH135-AQ134)))</f>
        <v>212.59999999999943</v>
      </c>
      <c r="AJ135" s="13">
        <f>AI135*VLOOKUP('Données projet'!$B$10,Paramètres!$A$1:$I$89,3,0)*VLOOKUP('Données projet'!$B$10,Paramètres!$A$1:$I$89,5,0)</f>
        <v>212.25983999999943</v>
      </c>
      <c r="AK135" s="13">
        <f t="shared" si="143"/>
        <v>52.42910954041978</v>
      </c>
      <c r="AL135" s="20">
        <f t="shared" si="112"/>
        <v>460.99992044956343</v>
      </c>
      <c r="AM135" s="59">
        <f t="shared" si="113"/>
        <v>754.33325378289669</v>
      </c>
      <c r="AN135" s="59">
        <f ca="1">AVERAGE(OFFSET($AM$3,0,0,'Données projet'!$E$10+1,1))-AVERAGE(OFFSET($H$3,0,0,'Données projet'!$E$10+1,1))</f>
        <v>206.53345322763442</v>
      </c>
      <c r="AO135" s="59">
        <f t="shared" si="144"/>
        <v>96.700732426680929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24.344231728150632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1.2356081550042351E-11</v>
      </c>
      <c r="AX135" s="21">
        <f t="shared" si="114"/>
        <v>24.344231728162988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3.8</v>
      </c>
      <c r="BD135" s="12">
        <f>IF('Données projet'!$A$88&gt;35,BD134+BC135-BL134,IF(A135&lt;'Données projet'!$A$88,$BA$205^A135,IF(A135='Données projet'!$A$88,'Données projet'!$B$88,BD134+BC135-BL134)))</f>
        <v>309.59999999999991</v>
      </c>
      <c r="BE135" s="13">
        <f>BD135*VLOOKUP('Données projet'!$B$11,Paramètres!$A$1:$I$89,3,0)*VLOOKUP('Données projet'!$B$11,Paramètres!$A$1:$I$89,5,0)</f>
        <v>260.80703999999997</v>
      </c>
      <c r="BF135" s="13">
        <f t="shared" si="145"/>
        <v>62.894375229379683</v>
      </c>
      <c r="BG135" s="20">
        <f t="shared" si="115"/>
        <v>563.77996485783626</v>
      </c>
      <c r="BH135" s="59">
        <f t="shared" si="116"/>
        <v>857.11329819116963</v>
      </c>
      <c r="BI135" s="59">
        <f ca="1">AVERAGE(OFFSET($BH$3,0,0,'Données projet'!$E$11+1,1))-AVERAGE(OFFSET($H$3,0,0,'Données projet'!$E$11+1,1))</f>
        <v>328.34986205643321</v>
      </c>
      <c r="BJ135" s="59">
        <f t="shared" si="146"/>
        <v>251.60894449147008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50.894104246207554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6.5236236889279207E-13</v>
      </c>
      <c r="BS135" s="22">
        <f t="shared" si="117"/>
        <v>50.894104246208208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3.8</v>
      </c>
      <c r="BY135" s="12">
        <f>IF('Données projet'!$A$114&gt;35,BY134+BX135-CG134,IF(A135&lt;'Données projet'!$A$114,$BV$205^A135,IF(A135='Données projet'!$A$114,'Données projet'!$B$114,BY134+BX135-CG134)))</f>
        <v>309.59999999999991</v>
      </c>
      <c r="BZ135" s="13">
        <f>BY135*VLOOKUP('Données projet'!$B$12,Paramètres!$A$1:$I$89,3,0)*VLOOKUP('Données projet'!$B$12,Paramètres!$A$1:$I$89,5,0)</f>
        <v>280.12607999999989</v>
      </c>
      <c r="CA135" s="13">
        <f t="shared" si="147"/>
        <v>66.993652511337999</v>
      </c>
      <c r="CB135" s="20">
        <f t="shared" si="118"/>
        <v>604.56686745724676</v>
      </c>
      <c r="CC135" s="59">
        <f t="shared" si="119"/>
        <v>897.90020079058013</v>
      </c>
      <c r="CD135" s="59">
        <f ca="1">AVERAGE(OFFSET($CC$3,0,0,'Données projet'!$E$12+1,1))-AVERAGE(OFFSET($H$3,0,0,'Données projet'!$E$12+1,1))</f>
        <v>360.44607552967267</v>
      </c>
      <c r="CE135" s="59">
        <f t="shared" si="148"/>
        <v>271.54361159160169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54.664037894074802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7.0068550732929556E-13</v>
      </c>
      <c r="CN135" s="22">
        <f t="shared" si="120"/>
        <v>54.664037894075506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309.89554000341082</v>
      </c>
      <c r="CZ135" s="59">
        <f t="shared" si="150"/>
        <v>465.9235824539021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33.651991746147623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3.8037221775481976E-12</v>
      </c>
      <c r="DI135" s="22">
        <f t="shared" si="123"/>
        <v>33.651991746151424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-1.4897523215040567E-13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281.82797419088109</v>
      </c>
      <c r="T136" s="59">
        <f t="shared" si="142"/>
        <v>298.98873283425371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78.467478512390656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1.1276144666772581E-12</v>
      </c>
      <c r="AC136" s="22">
        <f t="shared" si="111"/>
        <v>78.467478512391779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1.8</v>
      </c>
      <c r="AI136" s="13">
        <f>IF('Données projet'!$A$62&gt;35,AI135+AH136-AQ135,IF(A136&lt;'Données projet'!$A$62,$AF$205^A136,IF(A136='Données projet'!$A$62,'Données projet'!$B$62,AI135+AH136-AQ135)))</f>
        <v>214.39999999999944</v>
      </c>
      <c r="AJ136" s="13">
        <f>AI136*VLOOKUP('Données projet'!$B$10,Paramètres!$A$1:$I$89,3,0)*VLOOKUP('Données projet'!$B$10,Paramètres!$A$1:$I$89,5,0)</f>
        <v>214.05695999999944</v>
      </c>
      <c r="AK136" s="13">
        <f t="shared" si="143"/>
        <v>52.821143827018581</v>
      </c>
      <c r="AL136" s="20">
        <f t="shared" si="112"/>
        <v>464.81269749872303</v>
      </c>
      <c r="AM136" s="59">
        <f t="shared" si="113"/>
        <v>758.14603083205634</v>
      </c>
      <c r="AN136" s="59">
        <f ca="1">AVERAGE(OFFSET($AM$3,0,0,'Données projet'!$E$10+1,1))-AVERAGE(OFFSET($H$3,0,0,'Données projet'!$E$10+1,1))</f>
        <v>206.53345322763442</v>
      </c>
      <c r="AO136" s="59">
        <f t="shared" si="144"/>
        <v>96.700732426680929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23.866856192476781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8.7370690529289334E-12</v>
      </c>
      <c r="AX136" s="21">
        <f t="shared" si="114"/>
        <v>23.866856192485518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3.8</v>
      </c>
      <c r="BD136" s="12">
        <f>IF('Données projet'!$A$88&gt;35,BD135+BC136-BL135,IF(A136&lt;'Données projet'!$A$88,$BA$205^A136,IF(A136='Données projet'!$A$88,'Données projet'!$B$88,BD135+BC136-BL135)))</f>
        <v>313.39999999999992</v>
      </c>
      <c r="BE136" s="13">
        <f>BD136*VLOOKUP('Données projet'!$B$11,Paramètres!$A$1:$I$89,3,0)*VLOOKUP('Données projet'!$B$11,Paramètres!$A$1:$I$89,5,0)</f>
        <v>264.00815999999998</v>
      </c>
      <c r="BF136" s="13">
        <f t="shared" si="145"/>
        <v>63.575993499536125</v>
      </c>
      <c r="BG136" s="20">
        <f t="shared" si="115"/>
        <v>570.5424006783586</v>
      </c>
      <c r="BH136" s="59">
        <f t="shared" si="116"/>
        <v>863.87573401169197</v>
      </c>
      <c r="BI136" s="59">
        <f ca="1">AVERAGE(OFFSET($BH$3,0,0,'Données projet'!$E$11+1,1))-AVERAGE(OFFSET($H$3,0,0,'Données projet'!$E$11+1,1))</f>
        <v>328.34986205643321</v>
      </c>
      <c r="BJ136" s="59">
        <f t="shared" si="146"/>
        <v>251.60894449147008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49.896101904277835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4.6128985483501332E-13</v>
      </c>
      <c r="BS136" s="22">
        <f t="shared" si="117"/>
        <v>49.896101904278297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3.8</v>
      </c>
      <c r="BY136" s="12">
        <f>IF('Données projet'!$A$114&gt;35,BY135+BX136-CG135,IF(A136&lt;'Données projet'!$A$114,$BV$205^A136,IF(A136='Données projet'!$A$114,'Données projet'!$B$114,BY135+BX136-CG135)))</f>
        <v>313.39999999999992</v>
      </c>
      <c r="BZ136" s="13">
        <f>BY136*VLOOKUP('Données projet'!$B$12,Paramètres!$A$1:$I$89,3,0)*VLOOKUP('Données projet'!$B$12,Paramètres!$A$1:$I$89,5,0)</f>
        <v>283.5643199999999</v>
      </c>
      <c r="CA136" s="13">
        <f t="shared" si="147"/>
        <v>67.719696730231917</v>
      </c>
      <c r="CB136" s="20">
        <f t="shared" si="118"/>
        <v>611.81966247182038</v>
      </c>
      <c r="CC136" s="59">
        <f t="shared" si="119"/>
        <v>905.15299580515375</v>
      </c>
      <c r="CD136" s="59">
        <f ca="1">AVERAGE(OFFSET($CC$3,0,0,'Données projet'!$E$12+1,1))-AVERAGE(OFFSET($H$3,0,0,'Données projet'!$E$12+1,1))</f>
        <v>360.44607552967267</v>
      </c>
      <c r="CE136" s="59">
        <f t="shared" si="148"/>
        <v>271.54361159160169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53.592109452742882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4.9545947371168123E-13</v>
      </c>
      <c r="CN136" s="22">
        <f t="shared" si="120"/>
        <v>53.592109452743379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309.89554000341082</v>
      </c>
      <c r="CZ136" s="59">
        <f t="shared" si="150"/>
        <v>465.9235824539021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32.99209671369389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2.6896377454939915E-12</v>
      </c>
      <c r="DI136" s="22">
        <f t="shared" si="123"/>
        <v>32.992096713696583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-1.4897523215040567E-13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281.82797419088109</v>
      </c>
      <c r="T137" s="59">
        <f t="shared" si="142"/>
        <v>298.98873283425371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76.928779119198737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7.9734383595154143E-13</v>
      </c>
      <c r="AC137" s="22">
        <f t="shared" si="111"/>
        <v>76.928779119199532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1.8</v>
      </c>
      <c r="AI137" s="13">
        <f>IF('Données projet'!$A$62&gt;35,AI136+AH137-AQ136,IF(A137&lt;'Données projet'!$A$62,$AF$205^A137,IF(A137='Données projet'!$A$62,'Données projet'!$B$62,AI136+AH137-AQ136)))</f>
        <v>216.19999999999945</v>
      </c>
      <c r="AJ137" s="13">
        <f>AI137*VLOOKUP('Données projet'!$B$10,Paramètres!$A$1:$I$89,3,0)*VLOOKUP('Données projet'!$B$10,Paramètres!$A$1:$I$89,5,0)</f>
        <v>215.85407999999947</v>
      </c>
      <c r="AK137" s="13">
        <f t="shared" si="143"/>
        <v>53.212795184875851</v>
      </c>
      <c r="AL137" s="20">
        <f t="shared" si="112"/>
        <v>468.62480761365782</v>
      </c>
      <c r="AM137" s="59">
        <f t="shared" si="113"/>
        <v>761.95814094699108</v>
      </c>
      <c r="AN137" s="59">
        <f ca="1">AVERAGE(OFFSET($AM$3,0,0,'Données projet'!$E$10+1,1))-AVERAGE(OFFSET($H$3,0,0,'Données projet'!$E$10+1,1))</f>
        <v>206.53345322763442</v>
      </c>
      <c r="AO137" s="59">
        <f t="shared" si="144"/>
        <v>96.700732426680929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23.398841699887171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6.1780407750211753E-12</v>
      </c>
      <c r="AX137" s="21">
        <f t="shared" si="114"/>
        <v>23.398841699893349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3.8</v>
      </c>
      <c r="BD137" s="12">
        <f>IF('Données projet'!$A$88&gt;35,BD136+BC137-BL136,IF(A137&lt;'Données projet'!$A$88,$BA$205^A137,IF(A137='Données projet'!$A$88,'Données projet'!$B$88,BD136+BC137-BL136)))</f>
        <v>317.19999999999993</v>
      </c>
      <c r="BE137" s="13">
        <f>BD137*VLOOKUP('Données projet'!$B$11,Paramètres!$A$1:$I$89,3,0)*VLOOKUP('Données projet'!$B$11,Paramètres!$A$1:$I$89,5,0)</f>
        <v>267.20927999999998</v>
      </c>
      <c r="BF137" s="13">
        <f t="shared" si="145"/>
        <v>64.256650415058076</v>
      </c>
      <c r="BG137" s="20">
        <f t="shared" si="115"/>
        <v>577.30316213955939</v>
      </c>
      <c r="BH137" s="59">
        <f t="shared" si="116"/>
        <v>870.63649547289265</v>
      </c>
      <c r="BI137" s="59">
        <f ca="1">AVERAGE(OFFSET($BH$3,0,0,'Données projet'!$E$11+1,1))-AVERAGE(OFFSET($H$3,0,0,'Données projet'!$E$11+1,1))</f>
        <v>328.34986205643321</v>
      </c>
      <c r="BJ137" s="59">
        <f t="shared" si="146"/>
        <v>251.60894449147008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48.917669779552035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3.2618118444639603E-13</v>
      </c>
      <c r="BS137" s="22">
        <f t="shared" si="117"/>
        <v>48.917669779552362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3.8</v>
      </c>
      <c r="BY137" s="12">
        <f>IF('Données projet'!$A$114&gt;35,BY136+BX137-CG136,IF(A137&lt;'Données projet'!$A$114,$BV$205^A137,IF(A137='Données projet'!$A$114,'Données projet'!$B$114,BY136+BX137-CG136)))</f>
        <v>317.19999999999993</v>
      </c>
      <c r="BZ137" s="13">
        <f>BY137*VLOOKUP('Données projet'!$B$12,Paramètres!$A$1:$I$89,3,0)*VLOOKUP('Données projet'!$B$12,Paramètres!$A$1:$I$89,5,0)</f>
        <v>287.0025599999999</v>
      </c>
      <c r="CA137" s="13">
        <f t="shared" si="147"/>
        <v>68.444716936118553</v>
      </c>
      <c r="CB137" s="20">
        <f t="shared" si="118"/>
        <v>619.07067399707296</v>
      </c>
      <c r="CC137" s="59">
        <f t="shared" si="119"/>
        <v>912.40400733040633</v>
      </c>
      <c r="CD137" s="59">
        <f ca="1">AVERAGE(OFFSET($CC$3,0,0,'Données projet'!$E$12+1,1))-AVERAGE(OFFSET($H$3,0,0,'Données projet'!$E$12+1,1))</f>
        <v>360.44607552967267</v>
      </c>
      <c r="CE137" s="59">
        <f t="shared" si="148"/>
        <v>271.54361159160169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52.54120087433369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3.5034275366464778E-13</v>
      </c>
      <c r="CN137" s="22">
        <f t="shared" si="120"/>
        <v>52.541200874334038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309.89554000341082</v>
      </c>
      <c r="CZ137" s="59">
        <f t="shared" si="150"/>
        <v>465.9235824539021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32.345141820330348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1.9018610887740988E-12</v>
      </c>
      <c r="DI137" s="22">
        <f t="shared" si="123"/>
        <v>32.345141820332252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-1.4897523215040567E-13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281.82797419088109</v>
      </c>
      <c r="T138" s="59">
        <f t="shared" si="142"/>
        <v>298.98873283425371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75.420252682593357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5.6380723333862904E-13</v>
      </c>
      <c r="AC138" s="22">
        <f t="shared" si="111"/>
        <v>75.420252682593926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1.8</v>
      </c>
      <c r="AI138" s="13">
        <f>IF('Données projet'!$A$62&gt;35,AI137+AH138-AQ137,IF(A138&lt;'Données projet'!$A$62,$AF$205^A138,IF(A138='Données projet'!$A$62,'Données projet'!$B$62,AI137+AH138-AQ137)))</f>
        <v>217.99999999999946</v>
      </c>
      <c r="AJ138" s="13">
        <f>AI138*VLOOKUP('Données projet'!$B$10,Paramètres!$A$1:$I$89,3,0)*VLOOKUP('Données projet'!$B$10,Paramètres!$A$1:$I$89,5,0)</f>
        <v>217.65119999999951</v>
      </c>
      <c r="AK138" s="13">
        <f t="shared" si="143"/>
        <v>53.604067171568147</v>
      </c>
      <c r="AL138" s="20">
        <f t="shared" si="112"/>
        <v>472.43625699048022</v>
      </c>
      <c r="AM138" s="59">
        <f t="shared" si="113"/>
        <v>765.76959032381353</v>
      </c>
      <c r="AN138" s="59">
        <f ca="1">AVERAGE(OFFSET($AM$3,0,0,'Données projet'!$E$10+1,1))-AVERAGE(OFFSET($H$3,0,0,'Données projet'!$E$10+1,1))</f>
        <v>206.53345322763442</v>
      </c>
      <c r="AO138" s="59">
        <f t="shared" si="144"/>
        <v>96.700732426680929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22.940004686036588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4.3685345264644667E-12</v>
      </c>
      <c r="AX138" s="21">
        <f t="shared" si="114"/>
        <v>22.940004686040957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3.8</v>
      </c>
      <c r="BD138" s="12">
        <f>IF('Données projet'!$A$88&gt;35,BD137+BC138-BL137,IF(A138&lt;'Données projet'!$A$88,$BA$205^A138,IF(A138='Données projet'!$A$88,'Données projet'!$B$88,BD137+BC138-BL137)))</f>
        <v>320.99999999999994</v>
      </c>
      <c r="BE138" s="13">
        <f>BD138*VLOOKUP('Données projet'!$B$11,Paramètres!$A$1:$I$89,3,0)*VLOOKUP('Données projet'!$B$11,Paramètres!$A$1:$I$89,5,0)</f>
        <v>270.41039999999998</v>
      </c>
      <c r="BF138" s="13">
        <f t="shared" si="145"/>
        <v>64.936358825024399</v>
      </c>
      <c r="BG138" s="20">
        <f t="shared" si="115"/>
        <v>584.06227162025073</v>
      </c>
      <c r="BH138" s="59">
        <f t="shared" si="116"/>
        <v>877.3956049535841</v>
      </c>
      <c r="BI138" s="59">
        <f ca="1">AVERAGE(OFFSET($BH$3,0,0,'Données projet'!$E$11+1,1))-AVERAGE(OFFSET($H$3,0,0,'Données projet'!$E$11+1,1))</f>
        <v>328.34986205643321</v>
      </c>
      <c r="BJ138" s="59">
        <f t="shared" si="146"/>
        <v>251.60894449147008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47.958424112007442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2.3064492741750666E-13</v>
      </c>
      <c r="BS138" s="22">
        <f t="shared" si="117"/>
        <v>47.95842411200767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3.8</v>
      </c>
      <c r="BY138" s="12">
        <f>IF('Données projet'!$A$114&gt;35,BY137+BX138-CG137,IF(A138&lt;'Données projet'!$A$114,$BV$205^A138,IF(A138='Données projet'!$A$114,'Données projet'!$B$114,BY137+BX138-CG137)))</f>
        <v>320.99999999999994</v>
      </c>
      <c r="BZ138" s="13">
        <f>BY138*VLOOKUP('Données projet'!$B$12,Paramètres!$A$1:$I$89,3,0)*VLOOKUP('Données projet'!$B$12,Paramètres!$A$1:$I$89,5,0)</f>
        <v>290.44079999999991</v>
      </c>
      <c r="CA138" s="13">
        <f t="shared" si="147"/>
        <v>69.168726815543309</v>
      </c>
      <c r="CB138" s="20">
        <f t="shared" si="118"/>
        <v>626.31992587040452</v>
      </c>
      <c r="CC138" s="59">
        <f t="shared" si="119"/>
        <v>919.65325920373789</v>
      </c>
      <c r="CD138" s="59">
        <f ca="1">AVERAGE(OFFSET($CC$3,0,0,'Données projet'!$E$12+1,1))-AVERAGE(OFFSET($H$3,0,0,'Données projet'!$E$12+1,1))</f>
        <v>360.44607552967267</v>
      </c>
      <c r="CE138" s="59">
        <f t="shared" si="148"/>
        <v>271.54361159160169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51.510899972156167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2.4772973685584062E-13</v>
      </c>
      <c r="CN138" s="22">
        <f t="shared" si="120"/>
        <v>51.510899972156416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309.89554000341082</v>
      </c>
      <c r="CZ138" s="59">
        <f t="shared" si="150"/>
        <v>465.9235824539021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31.710873317822145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1.3448188727469958E-12</v>
      </c>
      <c r="DI138" s="22">
        <f t="shared" si="123"/>
        <v>31.710873317823491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-1.4897523215040567E-13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281.82797419088109</v>
      </c>
      <c r="T139" s="59">
        <f t="shared" si="142"/>
        <v>298.98873283425371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73.941307529299536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3.9867191797577071E-13</v>
      </c>
      <c r="AC139" s="22">
        <f t="shared" si="111"/>
        <v>73.941307529299934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1.8</v>
      </c>
      <c r="AI139" s="13">
        <f>IF('Données projet'!$A$62&gt;35,AI138+AH139-AQ138,IF(A139&lt;'Données projet'!$A$62,$AF$205^A139,IF(A139='Données projet'!$A$62,'Données projet'!$B$62,AI138+AH139-AQ138)))</f>
        <v>219.79999999999947</v>
      </c>
      <c r="AJ139" s="13">
        <f>AI139*VLOOKUP('Données projet'!$B$10,Paramètres!$A$1:$I$89,3,0)*VLOOKUP('Données projet'!$B$10,Paramètres!$A$1:$I$89,5,0)</f>
        <v>219.44831999999948</v>
      </c>
      <c r="AK139" s="13">
        <f t="shared" si="143"/>
        <v>53.994963282531586</v>
      </c>
      <c r="AL139" s="20">
        <f t="shared" si="112"/>
        <v>476.24705171707495</v>
      </c>
      <c r="AM139" s="59">
        <f t="shared" si="113"/>
        <v>769.58038505040827</v>
      </c>
      <c r="AN139" s="59">
        <f ca="1">AVERAGE(OFFSET($AM$3,0,0,'Données projet'!$E$10+1,1))-AVERAGE(OFFSET($H$3,0,0,'Données projet'!$E$10+1,1))</f>
        <v>206.53345322763442</v>
      </c>
      <c r="AO139" s="59">
        <f t="shared" si="144"/>
        <v>96.700732426680929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22.490165186164671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3.0890203875105877E-12</v>
      </c>
      <c r="AX139" s="21">
        <f t="shared" si="114"/>
        <v>22.490165186167758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3.8</v>
      </c>
      <c r="BD139" s="12">
        <f>IF('Données projet'!$A$88&gt;35,BD138+BC139-BL138,IF(A139&lt;'Données projet'!$A$88,$BA$205^A139,IF(A139='Données projet'!$A$88,'Données projet'!$B$88,BD138+BC139-BL138)))</f>
        <v>324.79999999999995</v>
      </c>
      <c r="BE139" s="13">
        <f>BD139*VLOOKUP('Données projet'!$B$11,Paramètres!$A$1:$I$89,3,0)*VLOOKUP('Données projet'!$B$11,Paramètres!$A$1:$I$89,5,0)</f>
        <v>273.61151999999998</v>
      </c>
      <c r="BF139" s="13">
        <f t="shared" si="145"/>
        <v>65.615131256792893</v>
      </c>
      <c r="BG139" s="20">
        <f t="shared" si="115"/>
        <v>590.81975093891413</v>
      </c>
      <c r="BH139" s="59">
        <f t="shared" si="116"/>
        <v>884.1530842722475</v>
      </c>
      <c r="BI139" s="59">
        <f ca="1">AVERAGE(OFFSET($BH$3,0,0,'Données projet'!$E$11+1,1))-AVERAGE(OFFSET($H$3,0,0,'Données projet'!$E$11+1,1))</f>
        <v>328.34986205643321</v>
      </c>
      <c r="BJ139" s="59">
        <f t="shared" si="146"/>
        <v>251.60894449147008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47.017988666921312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1.6309059222319802E-13</v>
      </c>
      <c r="BS139" s="22">
        <f t="shared" si="117"/>
        <v>47.017988666921475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3.8</v>
      </c>
      <c r="BY139" s="12">
        <f>IF('Données projet'!$A$114&gt;35,BY138+BX139-CG138,IF(A139&lt;'Données projet'!$A$114,$BV$205^A139,IF(A139='Données projet'!$A$114,'Données projet'!$B$114,BY138+BX139-CG138)))</f>
        <v>324.79999999999995</v>
      </c>
      <c r="BZ139" s="13">
        <f>BY139*VLOOKUP('Données projet'!$B$12,Paramètres!$A$1:$I$89,3,0)*VLOOKUP('Données projet'!$B$12,Paramètres!$A$1:$I$89,5,0)</f>
        <v>293.87903999999992</v>
      </c>
      <c r="CA139" s="13">
        <f t="shared" si="147"/>
        <v>69.891739712361669</v>
      </c>
      <c r="CB139" s="20">
        <f t="shared" si="118"/>
        <v>633.56744133236305</v>
      </c>
      <c r="CC139" s="59">
        <f t="shared" si="119"/>
        <v>926.90077466569642</v>
      </c>
      <c r="CD139" s="59">
        <f ca="1">AVERAGE(OFFSET($CC$3,0,0,'Données projet'!$E$12+1,1))-AVERAGE(OFFSET($H$3,0,0,'Données projet'!$E$12+1,1))</f>
        <v>360.44607552967267</v>
      </c>
      <c r="CE139" s="59">
        <f t="shared" si="148"/>
        <v>271.54361159160169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50.500802642248843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1.7517137683232389E-13</v>
      </c>
      <c r="CN139" s="22">
        <f t="shared" si="120"/>
        <v>50.50080264224902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309.89554000341082</v>
      </c>
      <c r="CZ139" s="59">
        <f t="shared" si="150"/>
        <v>465.9235824539021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31.089042433782542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9.5093054438704941E-13</v>
      </c>
      <c r="DI139" s="22">
        <f t="shared" si="123"/>
        <v>31.089042433783494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-1.4897523215040567E-13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281.82797419088109</v>
      </c>
      <c r="T140" s="59">
        <f t="shared" si="142"/>
        <v>298.98873283425371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72.491363588394336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2.8190361666931452E-13</v>
      </c>
      <c r="AC140" s="22">
        <f t="shared" si="111"/>
        <v>72.49136358839462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1.8</v>
      </c>
      <c r="AI140" s="13">
        <f>IF('Données projet'!$A$62&gt;35,AI139+AH140-AQ139,IF(A140&lt;'Données projet'!$A$62,$AF$205^A140,IF(A140='Données projet'!$A$62,'Données projet'!$B$62,AI139+AH140-AQ139)))</f>
        <v>221.59999999999948</v>
      </c>
      <c r="AJ140" s="13">
        <f>AI140*VLOOKUP('Données projet'!$B$10,Paramètres!$A$1:$I$89,3,0)*VLOOKUP('Données projet'!$B$10,Paramètres!$A$1:$I$89,5,0)</f>
        <v>221.24543999999949</v>
      </c>
      <c r="AK140" s="13">
        <f t="shared" si="143"/>
        <v>54.385486952647327</v>
      </c>
      <c r="AL140" s="20">
        <f t="shared" si="112"/>
        <v>480.05719777585983</v>
      </c>
      <c r="AM140" s="59">
        <f t="shared" si="113"/>
        <v>773.39053110919315</v>
      </c>
      <c r="AN140" s="59">
        <f ca="1">AVERAGE(OFFSET($AM$3,0,0,'Données projet'!$E$10+1,1))-AVERAGE(OFFSET($H$3,0,0,'Données projet'!$E$10+1,1))</f>
        <v>206.53345322763442</v>
      </c>
      <c r="AO140" s="59">
        <f t="shared" si="144"/>
        <v>96.700732426680929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22.04914676451024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2.1842672632322333E-12</v>
      </c>
      <c r="AX140" s="21">
        <f t="shared" si="114"/>
        <v>22.049146764512425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3.8</v>
      </c>
      <c r="BD140" s="12">
        <f>IF('Données projet'!$A$88&gt;35,BD139+BC140-BL139,IF(A140&lt;'Données projet'!$A$88,$BA$205^A140,IF(A140='Données projet'!$A$88,'Données projet'!$B$88,BD139+BC140-BL139)))</f>
        <v>328.59999999999997</v>
      </c>
      <c r="BE140" s="13">
        <f>BD140*VLOOKUP('Données projet'!$B$11,Paramètres!$A$1:$I$89,3,0)*VLOOKUP('Données projet'!$B$11,Paramètres!$A$1:$I$89,5,0)</f>
        <v>276.81263999999999</v>
      </c>
      <c r="BF140" s="13">
        <f t="shared" si="145"/>
        <v>66.292979927723678</v>
      </c>
      <c r="BG140" s="20">
        <f t="shared" si="115"/>
        <v>597.57562137411867</v>
      </c>
      <c r="BH140" s="59">
        <f t="shared" si="116"/>
        <v>890.90895470745204</v>
      </c>
      <c r="BI140" s="59">
        <f ca="1">AVERAGE(OFFSET($BH$3,0,0,'Données projet'!$E$11+1,1))-AVERAGE(OFFSET($H$3,0,0,'Données projet'!$E$11+1,1))</f>
        <v>328.34986205643321</v>
      </c>
      <c r="BJ140" s="59">
        <f t="shared" si="146"/>
        <v>251.60894449147008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46.09599458730434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1.1532246370875333E-13</v>
      </c>
      <c r="BS140" s="22">
        <f t="shared" si="117"/>
        <v>46.095994587304453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3.8</v>
      </c>
      <c r="BY140" s="12">
        <f>IF('Données projet'!$A$114&gt;35,BY139+BX140-CG139,IF(A140&lt;'Données projet'!$A$114,$BV$205^A140,IF(A140='Données projet'!$A$114,'Données projet'!$B$114,BY139+BX140-CG139)))</f>
        <v>328.59999999999997</v>
      </c>
      <c r="BZ140" s="13">
        <f>BY140*VLOOKUP('Données projet'!$B$12,Paramètres!$A$1:$I$89,3,0)*VLOOKUP('Données projet'!$B$12,Paramètres!$A$1:$I$89,5,0)</f>
        <v>297.31727999999998</v>
      </c>
      <c r="CA140" s="13">
        <f t="shared" si="147"/>
        <v>70.613768640226752</v>
      </c>
      <c r="CB140" s="20">
        <f t="shared" si="118"/>
        <v>640.81324304839484</v>
      </c>
      <c r="CC140" s="59">
        <f t="shared" si="119"/>
        <v>934.14657638172821</v>
      </c>
      <c r="CD140" s="59">
        <f ca="1">AVERAGE(OFFSET($CC$3,0,0,'Données projet'!$E$12+1,1))-AVERAGE(OFFSET($H$3,0,0,'Données projet'!$E$12+1,1))</f>
        <v>360.44607552967267</v>
      </c>
      <c r="CE140" s="59">
        <f t="shared" si="148"/>
        <v>271.54361159160169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49.510512704882466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1.2386486842792031E-13</v>
      </c>
      <c r="CN140" s="22">
        <f t="shared" si="120"/>
        <v>49.510512704882586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309.89554000341082</v>
      </c>
      <c r="CZ140" s="59">
        <f t="shared" si="150"/>
        <v>465.9235824539021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30.479405274099566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6.7240943637349788E-13</v>
      </c>
      <c r="DI140" s="22">
        <f t="shared" si="123"/>
        <v>30.479405274100237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-1.4897523215040567E-13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281.82797419088109</v>
      </c>
      <c r="T141" s="59">
        <f t="shared" si="142"/>
        <v>298.98873283425371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71.069852163791808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1.9933595898788536E-13</v>
      </c>
      <c r="AC141" s="22">
        <f t="shared" si="111"/>
        <v>71.069852163792007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1.8</v>
      </c>
      <c r="AI141" s="13">
        <f>IF('Données projet'!$A$62&gt;35,AI140+AH141-AQ140,IF(A141&lt;'Données projet'!$A$62,$AF$205^A141,IF(A141='Données projet'!$A$62,'Données projet'!$B$62,AI140+AH141-AQ140)))</f>
        <v>223.39999999999949</v>
      </c>
      <c r="AJ141" s="13">
        <f>AI141*VLOOKUP('Données projet'!$B$10,Paramètres!$A$1:$I$89,3,0)*VLOOKUP('Données projet'!$B$10,Paramètres!$A$1:$I$89,5,0)</f>
        <v>223.04255999999953</v>
      </c>
      <c r="AK141" s="13">
        <f t="shared" si="143"/>
        <v>54.775641557773255</v>
      </c>
      <c r="AL141" s="20">
        <f t="shared" si="112"/>
        <v>483.86670104645435</v>
      </c>
      <c r="AM141" s="59">
        <f t="shared" si="113"/>
        <v>777.20003437978767</v>
      </c>
      <c r="AN141" s="59">
        <f ca="1">AVERAGE(OFFSET($AM$3,0,0,'Données projet'!$E$10+1,1))-AVERAGE(OFFSET($H$3,0,0,'Données projet'!$E$10+1,1))</f>
        <v>206.53345322763442</v>
      </c>
      <c r="AO141" s="59">
        <f t="shared" si="144"/>
        <v>96.700732426680929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21.616776445109778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1.5445101937552938E-12</v>
      </c>
      <c r="AX141" s="21">
        <f t="shared" si="114"/>
        <v>21.616776445111324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3.8</v>
      </c>
      <c r="BD141" s="12">
        <f>IF('Données projet'!$A$88&gt;35,BD140+BC141-BL140,IF(A141&lt;'Données projet'!$A$88,$BA$205^A141,IF(A141='Données projet'!$A$88,'Données projet'!$B$88,BD140+BC141-BL140)))</f>
        <v>332.4</v>
      </c>
      <c r="BE141" s="13">
        <f>BD141*VLOOKUP('Données projet'!$B$11,Paramètres!$A$1:$I$89,3,0)*VLOOKUP('Données projet'!$B$11,Paramètres!$A$1:$I$89,5,0)</f>
        <v>280.01376000000005</v>
      </c>
      <c r="BF141" s="13">
        <f t="shared" si="145"/>
        <v>66.969916756344503</v>
      </c>
      <c r="BG141" s="20">
        <f t="shared" si="115"/>
        <v>604.32990368396679</v>
      </c>
      <c r="BH141" s="59">
        <f t="shared" si="116"/>
        <v>897.66323701730016</v>
      </c>
      <c r="BI141" s="59">
        <f ca="1">AVERAGE(OFFSET($BH$3,0,0,'Données projet'!$E$11+1,1))-AVERAGE(OFFSET($H$3,0,0,'Données projet'!$E$11+1,1))</f>
        <v>328.34986205643321</v>
      </c>
      <c r="BJ141" s="59">
        <f t="shared" si="146"/>
        <v>251.60894449147008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45.1920802492278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8.1545296111599008E-14</v>
      </c>
      <c r="BS141" s="22">
        <f t="shared" si="117"/>
        <v>45.192080249227878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3.8</v>
      </c>
      <c r="BY141" s="12">
        <f>IF('Données projet'!$A$114&gt;35,BY140+BX141-CG140,IF(A141&lt;'Données projet'!$A$114,$BV$205^A141,IF(A141='Données projet'!$A$114,'Données projet'!$B$114,BY140+BX141-CG140)))</f>
        <v>332.4</v>
      </c>
      <c r="BZ141" s="13">
        <f>BY141*VLOOKUP('Données projet'!$B$12,Paramètres!$A$1:$I$89,3,0)*VLOOKUP('Données projet'!$B$12,Paramètres!$A$1:$I$89,5,0)</f>
        <v>300.75551999999999</v>
      </c>
      <c r="CA141" s="13">
        <f t="shared" si="147"/>
        <v>71.334826294482014</v>
      </c>
      <c r="CB141" s="20">
        <f t="shared" si="118"/>
        <v>648.05735312955619</v>
      </c>
      <c r="CC141" s="59">
        <f t="shared" si="119"/>
        <v>941.39068646288956</v>
      </c>
      <c r="CD141" s="59">
        <f ca="1">AVERAGE(OFFSET($CC$3,0,0,'Données projet'!$E$12+1,1))-AVERAGE(OFFSET($H$3,0,0,'Données projet'!$E$12+1,1))</f>
        <v>360.44607552967267</v>
      </c>
      <c r="CE141" s="59">
        <f t="shared" si="148"/>
        <v>271.54361159160169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48.53964174917062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8.7585688416161945E-14</v>
      </c>
      <c r="CN141" s="22">
        <f t="shared" si="120"/>
        <v>48.539641749170706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309.89554000341082</v>
      </c>
      <c r="CZ141" s="59">
        <f t="shared" si="150"/>
        <v>465.9235824539021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29.881722727276021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4.7546527219352471E-13</v>
      </c>
      <c r="DI141" s="22">
        <f t="shared" si="123"/>
        <v>29.881722727276497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-1.4897523215040567E-13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281.82797419088109</v>
      </c>
      <c r="T142" s="59">
        <f t="shared" si="142"/>
        <v>298.98873283425371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69.676215711189371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1.4095180833465726E-13</v>
      </c>
      <c r="AC142" s="22">
        <f t="shared" si="111"/>
        <v>69.676215711189514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1.8</v>
      </c>
      <c r="AI142" s="13">
        <f>IF('Données projet'!$A$62&gt;35,AI141+AH142-AQ141,IF(A142&lt;'Données projet'!$A$62,$AF$205^A142,IF(A142='Données projet'!$A$62,'Données projet'!$B$62,AI141+AH142-AQ141)))</f>
        <v>225.19999999999951</v>
      </c>
      <c r="AJ142" s="13">
        <f>AI142*VLOOKUP('Données projet'!$B$10,Paramètres!$A$1:$I$89,3,0)*VLOOKUP('Données projet'!$B$10,Paramètres!$A$1:$I$89,5,0)</f>
        <v>224.8396799999995</v>
      </c>
      <c r="AK142" s="13">
        <f t="shared" si="143"/>
        <v>55.165430416225988</v>
      </c>
      <c r="AL142" s="20">
        <f t="shared" si="112"/>
        <v>487.67556730825936</v>
      </c>
      <c r="AM142" s="59">
        <f t="shared" si="113"/>
        <v>781.00890064159262</v>
      </c>
      <c r="AN142" s="59">
        <f ca="1">AVERAGE(OFFSET($AM$3,0,0,'Données projet'!$E$10+1,1))-AVERAGE(OFFSET($H$3,0,0,'Données projet'!$E$10+1,1))</f>
        <v>206.53345322763442</v>
      </c>
      <c r="AO142" s="59">
        <f t="shared" si="144"/>
        <v>96.700732426680929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21.192884643952905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1.0921336316161167E-12</v>
      </c>
      <c r="AX142" s="21">
        <f t="shared" si="114"/>
        <v>21.192884643953995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3.8</v>
      </c>
      <c r="BD142" s="12">
        <f>IF('Données projet'!$A$88&gt;35,BD141+BC142-BL141,IF(A142&lt;'Données projet'!$A$88,$BA$205^A142,IF(A142='Données projet'!$A$88,'Données projet'!$B$88,BD141+BC142-BL141)))</f>
        <v>336.2</v>
      </c>
      <c r="BE142" s="13">
        <f>BD142*VLOOKUP('Données projet'!$B$11,Paramètres!$A$1:$I$89,3,0)*VLOOKUP('Données projet'!$B$11,Paramètres!$A$1:$I$89,5,0)</f>
        <v>283.21487999999999</v>
      </c>
      <c r="BF142" s="13">
        <f t="shared" si="145"/>
        <v>67.645953372990718</v>
      </c>
      <c r="BG142" s="20">
        <f t="shared" si="115"/>
        <v>611.08261812462547</v>
      </c>
      <c r="BH142" s="59">
        <f t="shared" si="116"/>
        <v>904.41595145795873</v>
      </c>
      <c r="BI142" s="59">
        <f ca="1">AVERAGE(OFFSET($BH$3,0,0,'Données projet'!$E$11+1,1))-AVERAGE(OFFSET($H$3,0,0,'Données projet'!$E$11+1,1))</f>
        <v>328.34986205643321</v>
      </c>
      <c r="BJ142" s="59">
        <f t="shared" si="146"/>
        <v>251.60894449147008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44.305891119987635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5.7661231854376665E-14</v>
      </c>
      <c r="BS142" s="22">
        <f t="shared" si="117"/>
        <v>44.305891119987692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3.8</v>
      </c>
      <c r="BY142" s="12">
        <f>IF('Données projet'!$A$114&gt;35,BY141+BX142-CG141,IF(A142&lt;'Données projet'!$A$114,$BV$205^A142,IF(A142='Données projet'!$A$114,'Données projet'!$B$114,BY141+BX142-CG141)))</f>
        <v>336.2</v>
      </c>
      <c r="BZ142" s="13">
        <f>BY142*VLOOKUP('Données projet'!$B$12,Paramètres!$A$1:$I$89,3,0)*VLOOKUP('Données projet'!$B$12,Paramètres!$A$1:$I$89,5,0)</f>
        <v>304.19376</v>
      </c>
      <c r="CA142" s="13">
        <f t="shared" si="147"/>
        <v>72.054925063495304</v>
      </c>
      <c r="CB142" s="20">
        <f t="shared" si="118"/>
        <v>655.29979315225432</v>
      </c>
      <c r="CC142" s="59">
        <f t="shared" si="119"/>
        <v>948.63312648558758</v>
      </c>
      <c r="CD142" s="59">
        <f ca="1">AVERAGE(OFFSET($CC$3,0,0,'Données projet'!$E$12+1,1))-AVERAGE(OFFSET($H$3,0,0,'Données projet'!$E$12+1,1))</f>
        <v>360.44607552967267</v>
      </c>
      <c r="CE142" s="59">
        <f t="shared" si="148"/>
        <v>271.54361159160169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47.587808980727473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6.1932434213960154E-14</v>
      </c>
      <c r="CN142" s="22">
        <f t="shared" si="120"/>
        <v>47.587808980727537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309.89554000341082</v>
      </c>
      <c r="CZ142" s="59">
        <f t="shared" si="150"/>
        <v>465.9235824539021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29.295760370645329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3.3620471818674894E-13</v>
      </c>
      <c r="DI142" s="22">
        <f t="shared" si="123"/>
        <v>29.295760370645667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-1.4897523215040567E-13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281.82797419088109</v>
      </c>
      <c r="T143" s="59">
        <f t="shared" si="142"/>
        <v>298.98873283425371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68.30990761938817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9.9667979493942678E-14</v>
      </c>
      <c r="AC143" s="22">
        <f t="shared" si="111"/>
        <v>68.309907619388269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227</v>
      </c>
      <c r="AG143" s="12">
        <f>VLOOKUP(A143,'Données projet'!$A$61:$I$81,9,0)</f>
        <v>1.8</v>
      </c>
      <c r="AH143" s="12">
        <f t="array" ref="AH143">INDEX(AG:AG,MIN(IF(ISNUMBER(AG143:AG339),ROW(AG143:AG339),"")))</f>
        <v>1.8</v>
      </c>
      <c r="AI143" s="13">
        <f>IF('Données projet'!$A$62&gt;35,AI142+AH143-AQ142,IF(A143&lt;'Données projet'!$A$62,$AF$205^A143,IF(A143='Données projet'!$A$62,'Données projet'!$B$62,AI142+AH143-AQ142)))</f>
        <v>226.99999999999952</v>
      </c>
      <c r="AJ143" s="13">
        <f>AI143*VLOOKUP('Données projet'!$B$10,Paramètres!$A$1:$I$89,3,0)*VLOOKUP('Données projet'!$B$10,Paramètres!$A$1:$I$89,5,0)</f>
        <v>226.63679999999951</v>
      </c>
      <c r="AK143" s="13">
        <f t="shared" si="143"/>
        <v>55.554856790213108</v>
      </c>
      <c r="AL143" s="20">
        <f t="shared" si="112"/>
        <v>491.48380224295357</v>
      </c>
      <c r="AM143" s="59">
        <f t="shared" si="113"/>
        <v>784.81713557628689</v>
      </c>
      <c r="AN143" s="59">
        <f ca="1">AVERAGE(OFFSET($AM$3,0,0,'Données projet'!$E$10+1,1))-AVERAGE(OFFSET($H$3,0,0,'Données projet'!$E$10+1,1))</f>
        <v>206.53345322763442</v>
      </c>
      <c r="AO143" s="59">
        <f t="shared" si="144"/>
        <v>96.700732426680929</v>
      </c>
      <c r="AP143" s="15">
        <f>IF(ISNA(VLOOKUP(A143,'Données projet'!$A$61:$I$81,3,0)),0,VLOOKUP(A143,'Données projet'!$A$61:$I$81,3,0))</f>
        <v>12</v>
      </c>
      <c r="AQ143" s="15">
        <f>IF(ISNA(VLOOKUP(A143,'Données projet'!$A$61:$I$81,4,0)),0,VLOOKUP(A143,'Données projet'!$A$61:$I$81,4,0))</f>
        <v>17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20.777305102468247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7.7225509687764692E-13</v>
      </c>
      <c r="AX143" s="21">
        <f t="shared" si="114"/>
        <v>20.777305102469018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>
        <f>VLOOKUP(A143,'Données projet'!$A$87:$I$107,2,0)</f>
        <v>340</v>
      </c>
      <c r="BB143" s="12">
        <f>VLOOKUP(A143,'Données projet'!$A$87:$I$107,9,0)</f>
        <v>3.8</v>
      </c>
      <c r="BC143" s="12">
        <f t="array" ref="BC143">INDEX(BB:BB,MIN(IF(ISNUMBER(BB143:BB339),ROW(BB143:BB339),"")))</f>
        <v>3.8</v>
      </c>
      <c r="BD143" s="12">
        <f>IF('Données projet'!$A$88&gt;35,BD142+BC143-BL142,IF(A143&lt;'Données projet'!$A$88,$BA$205^A143,IF(A143='Données projet'!$A$88,'Données projet'!$B$88,BD142+BC143-BL142)))</f>
        <v>340</v>
      </c>
      <c r="BE143" s="13">
        <f>BD143*VLOOKUP('Données projet'!$B$11,Paramètres!$A$1:$I$89,3,0)*VLOOKUP('Données projet'!$B$11,Paramètres!$A$1:$I$89,5,0)</f>
        <v>286.41600000000005</v>
      </c>
      <c r="BF143" s="13">
        <f t="shared" si="145"/>
        <v>68.321101129951245</v>
      </c>
      <c r="BG143" s="20">
        <f t="shared" si="115"/>
        <v>617.8337844679985</v>
      </c>
      <c r="BH143" s="59">
        <f t="shared" si="116"/>
        <v>911.16711780133187</v>
      </c>
      <c r="BI143" s="59">
        <f ca="1">AVERAGE(OFFSET($BH$3,0,0,'Données projet'!$E$11+1,1))-AVERAGE(OFFSET($H$3,0,0,'Données projet'!$E$11+1,1))</f>
        <v>328.34986205643321</v>
      </c>
      <c r="BJ143" s="59">
        <f t="shared" si="146"/>
        <v>251.60894449147008</v>
      </c>
      <c r="BK143" s="15">
        <f>IF(ISNA(VLOOKUP(A143,'Données projet'!$A$87:$I$107,3,0)),0,VLOOKUP(A143,'Données projet'!$A$87:$I$107,3,0))</f>
        <v>13</v>
      </c>
      <c r="BL143" s="15">
        <f>IF(ISNA(VLOOKUP(A143,'Données projet'!$A$87:$I$107,4,0)),0,VLOOKUP(A143,'Données projet'!$A$87:$I$107,4,0))</f>
        <v>41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43.437079619049868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4.0772648055799504E-14</v>
      </c>
      <c r="BS143" s="22">
        <f t="shared" si="117"/>
        <v>43.437079619049911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>
        <f>VLOOKUP(A143,'Données projet'!$A$113:$I$133,2,0)</f>
        <v>340</v>
      </c>
      <c r="BW143" s="12">
        <f>VLOOKUP(A143,'Données projet'!$A$113:$I$133,9,0)</f>
        <v>3.8</v>
      </c>
      <c r="BX143" s="12">
        <f t="array" ref="BX143">INDEX(BW:BW,MIN(IF(ISNUMBER(BW143:BW339),ROW(BW143:BW339),"")))</f>
        <v>3.8</v>
      </c>
      <c r="BY143" s="12">
        <f>IF('Données projet'!$A$114&gt;35,BY142+BX143-CG142,IF(A143&lt;'Données projet'!$A$114,$BV$205^A143,IF(A143='Données projet'!$A$114,'Données projet'!$B$114,BY142+BX143-CG142)))</f>
        <v>340</v>
      </c>
      <c r="BZ143" s="13">
        <f>BY143*VLOOKUP('Données projet'!$B$12,Paramètres!$A$1:$I$89,3,0)*VLOOKUP('Données projet'!$B$12,Paramètres!$A$1:$I$89,5,0)</f>
        <v>307.63200000000001</v>
      </c>
      <c r="CA143" s="13">
        <f t="shared" si="147"/>
        <v>72.774077039465567</v>
      </c>
      <c r="CB143" s="20">
        <f t="shared" si="118"/>
        <v>662.54058417706926</v>
      </c>
      <c r="CC143" s="59">
        <f t="shared" si="119"/>
        <v>955.87391751040263</v>
      </c>
      <c r="CD143" s="59">
        <f ca="1">AVERAGE(OFFSET($CC$3,0,0,'Données projet'!$E$12+1,1))-AVERAGE(OFFSET($H$3,0,0,'Données projet'!$E$12+1,1))</f>
        <v>360.44607552967267</v>
      </c>
      <c r="CE143" s="59">
        <f t="shared" si="148"/>
        <v>271.54361159160169</v>
      </c>
      <c r="CF143" s="15">
        <f>IF(ISNA(VLOOKUP(A143,'Données projet'!$A$113:$I$133,3,0)),0,VLOOKUP(A143,'Données projet'!$A$113:$I$133,3,0))</f>
        <v>13</v>
      </c>
      <c r="CG143" s="15">
        <f>IF(ISNA(VLOOKUP(A143,'Données projet'!$A$113:$I$133,4,0)),0,VLOOKUP(A143,'Données projet'!$A$113:$I$133,4,0))</f>
        <v>41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46.654641072312835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4.3792844208080972E-14</v>
      </c>
      <c r="CN143" s="22">
        <f t="shared" si="120"/>
        <v>46.654641072312877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309.89554000341082</v>
      </c>
      <c r="CZ143" s="59">
        <f t="shared" si="150"/>
        <v>465.9235824539021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28.721288378426419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2.3773263609676235E-13</v>
      </c>
      <c r="DI143" s="22">
        <f t="shared" si="123"/>
        <v>28.721288378426657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-1.4897523215040567E-13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281.82797419088109</v>
      </c>
      <c r="T144" s="59">
        <f t="shared" si="142"/>
        <v>298.98873283425371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66.970391995901551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7.047590416732863E-14</v>
      </c>
      <c r="AC144" s="22">
        <f t="shared" si="111"/>
        <v>66.970391995901622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1.3</v>
      </c>
      <c r="AI144" s="13">
        <f>IF('Données projet'!$A$62&gt;35,AI143+AH144-AQ143,IF(A144&lt;'Données projet'!$A$62,$AF$205^A144,IF(A144='Données projet'!$A$62,'Données projet'!$B$62,AI143+AH144-AQ143)))</f>
        <v>211.29999999999953</v>
      </c>
      <c r="AJ144" s="13">
        <f>AI144*VLOOKUP('Données projet'!$B$10,Paramètres!$A$1:$I$89,3,0)*VLOOKUP('Données projet'!$B$10,Paramètres!$A$1:$I$89,5,0)</f>
        <v>210.96191999999951</v>
      </c>
      <c r="AK144" s="13">
        <f t="shared" si="143"/>
        <v>52.145733477092115</v>
      </c>
      <c r="AL144" s="20">
        <f t="shared" si="112"/>
        <v>458.24582980593453</v>
      </c>
      <c r="AM144" s="59">
        <f t="shared" si="113"/>
        <v>751.57916313926785</v>
      </c>
      <c r="AN144" s="59">
        <f ca="1">AVERAGE(OFFSET($AM$3,0,0,'Données projet'!$E$10+1,1))-AVERAGE(OFFSET($H$3,0,0,'Données projet'!$E$10+1,1))</f>
        <v>206.53345322763442</v>
      </c>
      <c r="AO144" s="59">
        <f t="shared" si="144"/>
        <v>96.700732426680929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20.369874822313612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5.4606681580805834E-13</v>
      </c>
      <c r="AX144" s="21">
        <f t="shared" si="114"/>
        <v>20.369874822314159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3.4</v>
      </c>
      <c r="BD144" s="12">
        <f>IF('Données projet'!$A$88&gt;35,BD143+BC144-BL143,IF(A144&lt;'Données projet'!$A$88,$BA$205^A144,IF(A144='Données projet'!$A$88,'Données projet'!$B$88,BD143+BC144-BL143)))</f>
        <v>302.39999999999998</v>
      </c>
      <c r="BE144" s="13">
        <f>BD144*VLOOKUP('Données projet'!$B$11,Paramètres!$A$1:$I$89,3,0)*VLOOKUP('Données projet'!$B$11,Paramètres!$A$1:$I$89,5,0)</f>
        <v>254.74176</v>
      </c>
      <c r="BF144" s="13">
        <f t="shared" si="145"/>
        <v>61.600204366992962</v>
      </c>
      <c r="BG144" s="20">
        <f t="shared" si="115"/>
        <v>550.96225460584606</v>
      </c>
      <c r="BH144" s="59">
        <f t="shared" si="116"/>
        <v>844.29558793917931</v>
      </c>
      <c r="BI144" s="59">
        <f ca="1">AVERAGE(OFFSET($BH$3,0,0,'Données projet'!$E$11+1,1))-AVERAGE(OFFSET($H$3,0,0,'Données projet'!$E$11+1,1))</f>
        <v>328.34986205643321</v>
      </c>
      <c r="BJ144" s="59">
        <f t="shared" si="146"/>
        <v>251.60894449147008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42.5853049817228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2.8830615927188332E-14</v>
      </c>
      <c r="BS144" s="22">
        <f t="shared" si="117"/>
        <v>42.585304981722828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3.4</v>
      </c>
      <c r="BY144" s="12">
        <f>IF('Données projet'!$A$114&gt;35,BY143+BX144-CG143,IF(A144&lt;'Données projet'!$A$114,$BV$205^A144,IF(A144='Données projet'!$A$114,'Données projet'!$B$114,BY143+BX144-CG143)))</f>
        <v>302.39999999999998</v>
      </c>
      <c r="BZ144" s="13">
        <f>BY144*VLOOKUP('Données projet'!$B$12,Paramètres!$A$1:$I$89,3,0)*VLOOKUP('Données projet'!$B$12,Paramètres!$A$1:$I$89,5,0)</f>
        <v>273.61151999999998</v>
      </c>
      <c r="CA144" s="13">
        <f t="shared" si="147"/>
        <v>65.615131256792893</v>
      </c>
      <c r="CB144" s="20">
        <f t="shared" si="118"/>
        <v>590.81975093891413</v>
      </c>
      <c r="CC144" s="59">
        <f t="shared" si="119"/>
        <v>884.1530842722475</v>
      </c>
      <c r="CD144" s="59">
        <f ca="1">AVERAGE(OFFSET($CC$3,0,0,'Données projet'!$E$12+1,1))-AVERAGE(OFFSET($H$3,0,0,'Données projet'!$E$12+1,1))</f>
        <v>360.44607552967267</v>
      </c>
      <c r="CE144" s="59">
        <f t="shared" si="148"/>
        <v>271.54361159160169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45.739772017405983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3.0966217106980077E-14</v>
      </c>
      <c r="CN144" s="22">
        <f t="shared" si="120"/>
        <v>45.739772017406011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309.89554000341082</v>
      </c>
      <c r="CZ144" s="59">
        <f t="shared" si="150"/>
        <v>465.9235824539021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28.158081431581603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1.6810235909337447E-13</v>
      </c>
      <c r="DI144" s="22">
        <f t="shared" si="123"/>
        <v>28.15808143158177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-1.4897523215040567E-13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281.82797419088109</v>
      </c>
      <c r="T145" s="59">
        <f t="shared" si="142"/>
        <v>298.98873283425371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65.657143456767642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4.9833989746971339E-14</v>
      </c>
      <c r="AC145" s="22">
        <f t="shared" si="111"/>
        <v>65.657143456767699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1.3</v>
      </c>
      <c r="AI145" s="13">
        <f>IF('Données projet'!$A$62&gt;35,AI144+AH145-AQ144,IF(A145&lt;'Données projet'!$A$62,$AF$205^A145,IF(A145='Données projet'!$A$62,'Données projet'!$B$62,AI144+AH145-AQ144)))</f>
        <v>212.59999999999954</v>
      </c>
      <c r="AJ145" s="13">
        <f>AI145*VLOOKUP('Données projet'!$B$10,Paramètres!$A$1:$I$89,3,0)*VLOOKUP('Données projet'!$B$10,Paramètres!$A$1:$I$89,5,0)</f>
        <v>212.25983999999954</v>
      </c>
      <c r="AK145" s="13">
        <f t="shared" si="143"/>
        <v>52.42910954041978</v>
      </c>
      <c r="AL145" s="20">
        <f t="shared" si="112"/>
        <v>460.99992044956366</v>
      </c>
      <c r="AM145" s="59">
        <f t="shared" si="113"/>
        <v>754.33325378289692</v>
      </c>
      <c r="AN145" s="59">
        <f ca="1">AVERAGE(OFFSET($AM$3,0,0,'Données projet'!$E$10+1,1))-AVERAGE(OFFSET($H$3,0,0,'Données projet'!$E$10+1,1))</f>
        <v>206.53345322763442</v>
      </c>
      <c r="AO145" s="59">
        <f t="shared" si="144"/>
        <v>96.700732426680929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19.970434001444875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3.8612754843882346E-13</v>
      </c>
      <c r="AX145" s="21">
        <f t="shared" si="114"/>
        <v>19.970434001445263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3.4</v>
      </c>
      <c r="BD145" s="12">
        <f>IF('Données projet'!$A$88&gt;35,BD144+BC145-BL144,IF(A145&lt;'Données projet'!$A$88,$BA$205^A145,IF(A145='Données projet'!$A$88,'Données projet'!$B$88,BD144+BC145-BL144)))</f>
        <v>305.79999999999995</v>
      </c>
      <c r="BE145" s="13">
        <f>BD145*VLOOKUP('Données projet'!$B$11,Paramètres!$A$1:$I$89,3,0)*VLOOKUP('Données projet'!$B$11,Paramètres!$A$1:$I$89,5,0)</f>
        <v>257.60591999999997</v>
      </c>
      <c r="BF145" s="13">
        <f t="shared" si="145"/>
        <v>62.21178242147321</v>
      </c>
      <c r="BG145" s="20">
        <f t="shared" si="115"/>
        <v>557.01583171739912</v>
      </c>
      <c r="BH145" s="59">
        <f t="shared" si="116"/>
        <v>850.34916505073238</v>
      </c>
      <c r="BI145" s="59">
        <f ca="1">AVERAGE(OFFSET($BH$3,0,0,'Données projet'!$E$11+1,1))-AVERAGE(OFFSET($H$3,0,0,'Données projet'!$E$11+1,1))</f>
        <v>328.34986205643321</v>
      </c>
      <c r="BJ145" s="59">
        <f t="shared" si="146"/>
        <v>251.60894449147008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41.75023312550249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2.0386324027899752E-14</v>
      </c>
      <c r="BS145" s="22">
        <f t="shared" si="117"/>
        <v>41.750233125502511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3.4</v>
      </c>
      <c r="BY145" s="12">
        <f>IF('Données projet'!$A$114&gt;35,BY144+BX145-CG144,IF(A145&lt;'Données projet'!$A$114,$BV$205^A145,IF(A145='Données projet'!$A$114,'Données projet'!$B$114,BY144+BX145-CG144)))</f>
        <v>305.79999999999995</v>
      </c>
      <c r="BZ145" s="13">
        <f>BY145*VLOOKUP('Données projet'!$B$12,Paramètres!$A$1:$I$89,3,0)*VLOOKUP('Données projet'!$B$12,Paramètres!$A$1:$I$89,5,0)</f>
        <v>276.68783999999994</v>
      </c>
      <c r="CA145" s="13">
        <f t="shared" si="147"/>
        <v>66.266570237082931</v>
      </c>
      <c r="CB145" s="20">
        <f t="shared" si="118"/>
        <v>597.31226449625262</v>
      </c>
      <c r="CC145" s="59">
        <f t="shared" si="119"/>
        <v>890.64559782958599</v>
      </c>
      <c r="CD145" s="59">
        <f ca="1">AVERAGE(OFFSET($CC$3,0,0,'Données projet'!$E$12+1,1))-AVERAGE(OFFSET($H$3,0,0,'Données projet'!$E$12+1,1))</f>
        <v>360.44607552967267</v>
      </c>
      <c r="CE145" s="59">
        <f t="shared" si="148"/>
        <v>271.54361159160169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44.842842986650837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2.1896422104040486E-14</v>
      </c>
      <c r="CN145" s="22">
        <f t="shared" si="120"/>
        <v>44.842842986650858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309.89554000341082</v>
      </c>
      <c r="CZ145" s="59">
        <f t="shared" si="150"/>
        <v>465.9235824539021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27.605918629442098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1.1886631804838118E-13</v>
      </c>
      <c r="DI145" s="22">
        <f t="shared" si="123"/>
        <v>27.605918629442215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-1.4897523215040567E-13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281.82797419088109</v>
      </c>
      <c r="T146" s="59">
        <f t="shared" si="142"/>
        <v>298.98873283425371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64.369646920483632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3.5237952083664315E-14</v>
      </c>
      <c r="AC146" s="22">
        <f t="shared" si="111"/>
        <v>64.36964692048366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1.3</v>
      </c>
      <c r="AI146" s="13">
        <f>IF('Données projet'!$A$62&gt;35,AI145+AH146-AQ145,IF(A146&lt;'Données projet'!$A$62,$AF$205^A146,IF(A146='Données projet'!$A$62,'Données projet'!$B$62,AI145+AH146-AQ145)))</f>
        <v>213.89999999999955</v>
      </c>
      <c r="AJ146" s="13">
        <f>AI146*VLOOKUP('Données projet'!$B$10,Paramètres!$A$1:$I$89,3,0)*VLOOKUP('Données projet'!$B$10,Paramètres!$A$1:$I$89,5,0)</f>
        <v>213.55775999999955</v>
      </c>
      <c r="AK146" s="13">
        <f t="shared" si="143"/>
        <v>52.712283978668324</v>
      </c>
      <c r="AL146" s="20">
        <f t="shared" si="112"/>
        <v>463.75365992951328</v>
      </c>
      <c r="AM146" s="59">
        <f t="shared" si="113"/>
        <v>757.08699326284659</v>
      </c>
      <c r="AN146" s="59">
        <f ca="1">AVERAGE(OFFSET($AM$3,0,0,'Données projet'!$E$10+1,1))-AVERAGE(OFFSET($H$3,0,0,'Données projet'!$E$10+1,1))</f>
        <v>206.53345322763442</v>
      </c>
      <c r="AO146" s="59">
        <f t="shared" si="144"/>
        <v>96.700732426680929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19.578825971438533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2.7303340790402917E-13</v>
      </c>
      <c r="AX146" s="21">
        <f t="shared" si="114"/>
        <v>19.578825971438807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3.4</v>
      </c>
      <c r="BD146" s="12">
        <f>IF('Données projet'!$A$88&gt;35,BD145+BC146-BL145,IF(A146&lt;'Données projet'!$A$88,$BA$205^A146,IF(A146='Données projet'!$A$88,'Données projet'!$B$88,BD145+BC146-BL145)))</f>
        <v>309.19999999999993</v>
      </c>
      <c r="BE146" s="13">
        <f>BD146*VLOOKUP('Données projet'!$B$11,Paramètres!$A$1:$I$89,3,0)*VLOOKUP('Données projet'!$B$11,Paramètres!$A$1:$I$89,5,0)</f>
        <v>260.47007999999994</v>
      </c>
      <c r="BF146" s="13">
        <f t="shared" si="145"/>
        <v>62.822569479065102</v>
      </c>
      <c r="BG146" s="20">
        <f t="shared" si="115"/>
        <v>563.06803117603829</v>
      </c>
      <c r="BH146" s="59">
        <f t="shared" si="116"/>
        <v>856.40136450937166</v>
      </c>
      <c r="BI146" s="59">
        <f ca="1">AVERAGE(OFFSET($BH$3,0,0,'Données projet'!$E$11+1,1))-AVERAGE(OFFSET($H$3,0,0,'Données projet'!$E$11+1,1))</f>
        <v>328.34986205643321</v>
      </c>
      <c r="BJ146" s="59">
        <f t="shared" si="146"/>
        <v>251.60894449147008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40.93153651903912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1.4415307963594166E-14</v>
      </c>
      <c r="BS146" s="22">
        <f t="shared" si="117"/>
        <v>40.931536519039135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3.4</v>
      </c>
      <c r="BY146" s="12">
        <f>IF('Données projet'!$A$114&gt;35,BY145+BX146-CG145,IF(A146&lt;'Données projet'!$A$114,$BV$205^A146,IF(A146='Données projet'!$A$114,'Données projet'!$B$114,BY145+BX146-CG145)))</f>
        <v>309.19999999999993</v>
      </c>
      <c r="BZ146" s="13">
        <f>BY146*VLOOKUP('Données projet'!$B$12,Paramètres!$A$1:$I$89,3,0)*VLOOKUP('Données projet'!$B$12,Paramètres!$A$1:$I$89,5,0)</f>
        <v>279.76415999999995</v>
      </c>
      <c r="CA146" s="13">
        <f t="shared" si="147"/>
        <v>66.917166665547398</v>
      </c>
      <c r="CB146" s="20">
        <f t="shared" si="118"/>
        <v>603.80331060916149</v>
      </c>
      <c r="CC146" s="59">
        <f t="shared" si="119"/>
        <v>897.13664394249486</v>
      </c>
      <c r="CD146" s="59">
        <f ca="1">AVERAGE(OFFSET($CC$3,0,0,'Données projet'!$E$12+1,1))-AVERAGE(OFFSET($H$3,0,0,'Données projet'!$E$12+1,1))</f>
        <v>360.44607552967267</v>
      </c>
      <c r="CE146" s="59">
        <f t="shared" si="148"/>
        <v>271.54361159160169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43.963502187116106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1.5483108553490039E-14</v>
      </c>
      <c r="CN146" s="22">
        <f t="shared" si="120"/>
        <v>43.96350218711612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309.89554000341082</v>
      </c>
      <c r="CZ146" s="59">
        <f t="shared" si="150"/>
        <v>465.9235824539021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27.064583403066493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8.4051179546687235E-14</v>
      </c>
      <c r="DI146" s="22">
        <f t="shared" si="123"/>
        <v>27.064583403066578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-1.4897523215040567E-13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281.82797419088109</v>
      </c>
      <c r="T147" s="59">
        <f t="shared" si="142"/>
        <v>298.98873283425371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63.107397405980805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2.491699487348567E-14</v>
      </c>
      <c r="AC147" s="22">
        <f t="shared" si="111"/>
        <v>63.107397405980834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1.3</v>
      </c>
      <c r="AI147" s="13">
        <f>IF('Données projet'!$A$62&gt;35,AI146+AH147-AQ146,IF(A147&lt;'Données projet'!$A$62,$AF$205^A147,IF(A147='Données projet'!$A$62,'Données projet'!$B$62,AI146+AH147-AQ146)))</f>
        <v>215.19999999999956</v>
      </c>
      <c r="AJ147" s="13">
        <f>AI147*VLOOKUP('Données projet'!$B$10,Paramètres!$A$1:$I$89,3,0)*VLOOKUP('Données projet'!$B$10,Paramètres!$A$1:$I$89,5,0)</f>
        <v>214.85567999999958</v>
      </c>
      <c r="AK147" s="13">
        <f t="shared" si="143"/>
        <v>52.995258159405061</v>
      </c>
      <c r="AL147" s="20">
        <f t="shared" si="112"/>
        <v>466.50705062762967</v>
      </c>
      <c r="AM147" s="59">
        <f t="shared" si="113"/>
        <v>759.84038396096298</v>
      </c>
      <c r="AN147" s="59">
        <f ca="1">AVERAGE(OFFSET($AM$3,0,0,'Données projet'!$E$10+1,1))-AVERAGE(OFFSET($H$3,0,0,'Données projet'!$E$10+1,1))</f>
        <v>206.53345322763442</v>
      </c>
      <c r="AO147" s="59">
        <f t="shared" si="144"/>
        <v>96.700732426680929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19.194897136043302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1.9306377421941173E-13</v>
      </c>
      <c r="AX147" s="21">
        <f t="shared" si="114"/>
        <v>19.194897136043494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3.4</v>
      </c>
      <c r="BD147" s="12">
        <f>IF('Données projet'!$A$88&gt;35,BD146+BC147-BL146,IF(A147&lt;'Données projet'!$A$88,$BA$205^A147,IF(A147='Données projet'!$A$88,'Données projet'!$B$88,BD146+BC147-BL146)))</f>
        <v>312.59999999999991</v>
      </c>
      <c r="BE147" s="13">
        <f>BD147*VLOOKUP('Données projet'!$B$11,Paramètres!$A$1:$I$89,3,0)*VLOOKUP('Données projet'!$B$11,Paramètres!$A$1:$I$89,5,0)</f>
        <v>263.33423999999997</v>
      </c>
      <c r="BF147" s="13">
        <f t="shared" si="145"/>
        <v>63.432575244281175</v>
      </c>
      <c r="BG147" s="20">
        <f t="shared" si="115"/>
        <v>569.11886988378967</v>
      </c>
      <c r="BH147" s="59">
        <f t="shared" si="116"/>
        <v>862.45220321712304</v>
      </c>
      <c r="BI147" s="59">
        <f ca="1">AVERAGE(OFFSET($BH$3,0,0,'Données projet'!$E$11+1,1))-AVERAGE(OFFSET($H$3,0,0,'Données projet'!$E$11+1,1))</f>
        <v>328.34986205643321</v>
      </c>
      <c r="BJ147" s="59">
        <f t="shared" si="146"/>
        <v>251.60894449147008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40.128894053672873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1.0193162013949876E-14</v>
      </c>
      <c r="BS147" s="22">
        <f t="shared" si="117"/>
        <v>40.12889405367288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3.4</v>
      </c>
      <c r="BY147" s="12">
        <f>IF('Données projet'!$A$114&gt;35,BY146+BX147-CG146,IF(A147&lt;'Données projet'!$A$114,$BV$205^A147,IF(A147='Données projet'!$A$114,'Données projet'!$B$114,BY146+BX147-CG146)))</f>
        <v>312.59999999999991</v>
      </c>
      <c r="BZ147" s="13">
        <f>BY147*VLOOKUP('Données projet'!$B$12,Paramètres!$A$1:$I$89,3,0)*VLOOKUP('Données projet'!$B$12,Paramètres!$A$1:$I$89,5,0)</f>
        <v>282.8404799999999</v>
      </c>
      <c r="CA147" s="13">
        <f t="shared" si="147"/>
        <v>67.56693087921127</v>
      </c>
      <c r="CB147" s="20">
        <f t="shared" si="118"/>
        <v>610.29290728129274</v>
      </c>
      <c r="CC147" s="59">
        <f t="shared" si="119"/>
        <v>903.62624061462611</v>
      </c>
      <c r="CD147" s="59">
        <f ca="1">AVERAGE(OFFSET($CC$3,0,0,'Données projet'!$E$12+1,1))-AVERAGE(OFFSET($H$3,0,0,'Données projet'!$E$12+1,1))</f>
        <v>360.44607552967267</v>
      </c>
      <c r="CE147" s="59">
        <f t="shared" si="148"/>
        <v>271.54361159160169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43.101404724315323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1.0948211052020243E-14</v>
      </c>
      <c r="CN147" s="22">
        <f t="shared" si="120"/>
        <v>43.101404724315337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309.89554000341082</v>
      </c>
      <c r="CZ147" s="59">
        <f t="shared" si="150"/>
        <v>465.9235824539021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26.533863430298229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5.9433159024190588E-14</v>
      </c>
      <c r="DI147" s="22">
        <f t="shared" si="123"/>
        <v>26.53386343029829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-1.4897523215040567E-13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281.82797419088109</v>
      </c>
      <c r="T148" s="59">
        <f t="shared" si="142"/>
        <v>298.98873283425371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61.869899834561195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1.7618976041832158E-14</v>
      </c>
      <c r="AC148" s="22">
        <f t="shared" si="111"/>
        <v>61.86989983456121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1.3</v>
      </c>
      <c r="AI148" s="13">
        <f>IF('Données projet'!$A$62&gt;35,AI147+AH148-AQ147,IF(A148&lt;'Données projet'!$A$62,$AF$205^A148,IF(A148='Données projet'!$A$62,'Données projet'!$B$62,AI147+AH148-AQ147)))</f>
        <v>216.49999999999957</v>
      </c>
      <c r="AJ148" s="13">
        <f>AI148*VLOOKUP('Données projet'!$B$10,Paramètres!$A$1:$I$89,3,0)*VLOOKUP('Données projet'!$B$10,Paramètres!$A$1:$I$89,5,0)</f>
        <v>216.15359999999956</v>
      </c>
      <c r="AK148" s="13">
        <f t="shared" si="143"/>
        <v>53.278033432718814</v>
      </c>
      <c r="AL148" s="20">
        <f t="shared" si="112"/>
        <v>469.26009489531788</v>
      </c>
      <c r="AM148" s="59">
        <f t="shared" si="113"/>
        <v>762.59342822865119</v>
      </c>
      <c r="AN148" s="59">
        <f ca="1">AVERAGE(OFFSET($AM$3,0,0,'Données projet'!$E$10+1,1))-AVERAGE(OFFSET($H$3,0,0,'Données projet'!$E$10+1,1))</f>
        <v>206.53345322763442</v>
      </c>
      <c r="AO148" s="59">
        <f t="shared" si="144"/>
        <v>96.700732426680929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18.818496910936702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1.3651670395201458E-13</v>
      </c>
      <c r="AX148" s="21">
        <f t="shared" si="114"/>
        <v>18.818496910936837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3.4</v>
      </c>
      <c r="BD148" s="12">
        <f>IF('Données projet'!$A$88&gt;35,BD147+BC148-BL147,IF(A148&lt;'Données projet'!$A$88,$BA$205^A148,IF(A148='Données projet'!$A$88,'Données projet'!$B$88,BD147+BC148-BL147)))</f>
        <v>315.99999999999989</v>
      </c>
      <c r="BE148" s="13">
        <f>BD148*VLOOKUP('Données projet'!$B$11,Paramètres!$A$1:$I$89,3,0)*VLOOKUP('Données projet'!$B$11,Paramètres!$A$1:$I$89,5,0)</f>
        <v>266.19839999999994</v>
      </c>
      <c r="BF148" s="13">
        <f t="shared" si="145"/>
        <v>64.041809198373215</v>
      </c>
      <c r="BG148" s="20">
        <f t="shared" si="115"/>
        <v>575.16836435383323</v>
      </c>
      <c r="BH148" s="59">
        <f t="shared" si="116"/>
        <v>868.5016976871666</v>
      </c>
      <c r="BI148" s="59">
        <f ca="1">AVERAGE(OFFSET($BH$3,0,0,'Données projet'!$E$11+1,1))-AVERAGE(OFFSET($H$3,0,0,'Données projet'!$E$11+1,1))</f>
        <v>328.34986205643321</v>
      </c>
      <c r="BJ148" s="59">
        <f t="shared" si="146"/>
        <v>251.60894449147008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39.341990917488893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7.2076539817970831E-15</v>
      </c>
      <c r="BS148" s="22">
        <f t="shared" si="117"/>
        <v>39.3419909174889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3.4</v>
      </c>
      <c r="BY148" s="12">
        <f>IF('Données projet'!$A$114&gt;35,BY147+BX148-CG147,IF(A148&lt;'Données projet'!$A$114,$BV$205^A148,IF(A148='Données projet'!$A$114,'Données projet'!$B$114,BY147+BX148-CG147)))</f>
        <v>315.99999999999989</v>
      </c>
      <c r="BZ148" s="13">
        <f>BY148*VLOOKUP('Données projet'!$B$12,Paramètres!$A$1:$I$89,3,0)*VLOOKUP('Données projet'!$B$12,Paramètres!$A$1:$I$89,5,0)</f>
        <v>285.91679999999985</v>
      </c>
      <c r="CA148" s="13">
        <f t="shared" si="147"/>
        <v>68.215872977287475</v>
      </c>
      <c r="CB148" s="20">
        <f t="shared" si="118"/>
        <v>616.78107210210862</v>
      </c>
      <c r="CC148" s="59">
        <f t="shared" si="119"/>
        <v>910.11440543544199</v>
      </c>
      <c r="CD148" s="59">
        <f ca="1">AVERAGE(OFFSET($CC$3,0,0,'Données projet'!$E$12+1,1))-AVERAGE(OFFSET($H$3,0,0,'Données projet'!$E$12+1,1))</f>
        <v>360.44607552967267</v>
      </c>
      <c r="CE148" s="59">
        <f t="shared" si="148"/>
        <v>271.54361159160169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42.256212466932531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7.7415542767450193E-15</v>
      </c>
      <c r="CN148" s="22">
        <f t="shared" si="120"/>
        <v>42.256212466932539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309.89554000341082</v>
      </c>
      <c r="CZ148" s="59">
        <f t="shared" si="150"/>
        <v>465.9235824539021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26.013550552488731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4.2025589773343618E-14</v>
      </c>
      <c r="DI148" s="22">
        <f t="shared" si="123"/>
        <v>26.013550552488773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-1.4897523215040567E-13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281.82797419088109</v>
      </c>
      <c r="T149" s="59">
        <f t="shared" si="142"/>
        <v>298.98873283425371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60.656668835718136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1.2458497436742835E-14</v>
      </c>
      <c r="AC149" s="22">
        <f t="shared" si="111"/>
        <v>60.65666883571815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1.3</v>
      </c>
      <c r="AI149" s="13">
        <f>IF('Données projet'!$A$62&gt;35,AI148+AH149-AQ148,IF(A149&lt;'Données projet'!$A$62,$AF$205^A149,IF(A149='Données projet'!$A$62,'Données projet'!$B$62,AI148+AH149-AQ148)))</f>
        <v>217.79999999999959</v>
      </c>
      <c r="AJ149" s="13">
        <f>AI149*VLOOKUP('Données projet'!$B$10,Paramètres!$A$1:$I$89,3,0)*VLOOKUP('Données projet'!$B$10,Paramètres!$A$1:$I$89,5,0)</f>
        <v>217.45151999999959</v>
      </c>
      <c r="AK149" s="13">
        <f t="shared" si="143"/>
        <v>53.560611131546935</v>
      </c>
      <c r="AL149" s="20">
        <f t="shared" si="112"/>
        <v>472.0127950541102</v>
      </c>
      <c r="AM149" s="59">
        <f t="shared" si="113"/>
        <v>765.34612838744351</v>
      </c>
      <c r="AN149" s="59">
        <f ca="1">AVERAGE(OFFSET($AM$3,0,0,'Données projet'!$E$10+1,1))-AVERAGE(OFFSET($H$3,0,0,'Données projet'!$E$10+1,1))</f>
        <v>206.53345322763442</v>
      </c>
      <c r="AO149" s="59">
        <f t="shared" si="144"/>
        <v>96.700732426680929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18.449477664662975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9.6531887109705865E-14</v>
      </c>
      <c r="AX149" s="21">
        <f t="shared" si="114"/>
        <v>18.449477664663071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3.4</v>
      </c>
      <c r="BD149" s="12">
        <f>IF('Données projet'!$A$88&gt;35,BD148+BC149-BL148,IF(A149&lt;'Données projet'!$A$88,$BA$205^A149,IF(A149='Données projet'!$A$88,'Données projet'!$B$88,BD148+BC149-BL148)))</f>
        <v>319.39999999999986</v>
      </c>
      <c r="BE149" s="13">
        <f>BD149*VLOOKUP('Données projet'!$B$11,Paramètres!$A$1:$I$89,3,0)*VLOOKUP('Données projet'!$B$11,Paramètres!$A$1:$I$89,5,0)</f>
        <v>269.06255999999991</v>
      </c>
      <c r="BF149" s="13">
        <f t="shared" si="145"/>
        <v>64.650280606814434</v>
      </c>
      <c r="BG149" s="20">
        <f t="shared" si="115"/>
        <v>581.2165307235349</v>
      </c>
      <c r="BH149" s="59">
        <f t="shared" si="116"/>
        <v>874.54986405686827</v>
      </c>
      <c r="BI149" s="59">
        <f ca="1">AVERAGE(OFFSET($BH$3,0,0,'Données projet'!$E$11+1,1))-AVERAGE(OFFSET($H$3,0,0,'Données projet'!$E$11+1,1))</f>
        <v>328.34986205643321</v>
      </c>
      <c r="BJ149" s="59">
        <f t="shared" si="146"/>
        <v>251.60894449147008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38.570518471841964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5.096581006974938E-15</v>
      </c>
      <c r="BS149" s="22">
        <f t="shared" si="117"/>
        <v>38.570518471841972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3.4</v>
      </c>
      <c r="BY149" s="12">
        <f>IF('Données projet'!$A$114&gt;35,BY148+BX149-CG148,IF(A149&lt;'Données projet'!$A$114,$BV$205^A149,IF(A149='Données projet'!$A$114,'Données projet'!$B$114,BY148+BX149-CG148)))</f>
        <v>319.39999999999986</v>
      </c>
      <c r="BZ149" s="13">
        <f>BY149*VLOOKUP('Données projet'!$B$12,Paramètres!$A$1:$I$89,3,0)*VLOOKUP('Données projet'!$B$12,Paramètres!$A$1:$I$89,5,0)</f>
        <v>288.99311999999986</v>
      </c>
      <c r="CA149" s="13">
        <f t="shared" si="147"/>
        <v>68.864002829146756</v>
      </c>
      <c r="CB149" s="20">
        <f t="shared" si="118"/>
        <v>623.26782226076375</v>
      </c>
      <c r="CC149" s="59">
        <f t="shared" si="119"/>
        <v>916.60115559409701</v>
      </c>
      <c r="CD149" s="59">
        <f ca="1">AVERAGE(OFFSET($CC$3,0,0,'Données projet'!$E$12+1,1))-AVERAGE(OFFSET($H$3,0,0,'Données projet'!$E$12+1,1))</f>
        <v>360.44607552967267</v>
      </c>
      <c r="CE149" s="59">
        <f t="shared" si="148"/>
        <v>271.54361159160169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41.427593914200642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5.4741055260101215E-15</v>
      </c>
      <c r="CN149" s="22">
        <f t="shared" si="120"/>
        <v>41.427593914200649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309.89554000341082</v>
      </c>
      <c r="CZ149" s="59">
        <f t="shared" si="150"/>
        <v>465.9235824539021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25.503440692853559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2.9716579512095294E-14</v>
      </c>
      <c r="DI149" s="22">
        <f t="shared" si="123"/>
        <v>25.503440692853587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-1.4897523215040567E-13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281.82797419088109</v>
      </c>
      <c r="T150" s="59">
        <f t="shared" si="142"/>
        <v>298.98873283425371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59.467228556764553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8.8094880209160788E-15</v>
      </c>
      <c r="AC150" s="22">
        <f t="shared" si="111"/>
        <v>59.46722855676456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1.3</v>
      </c>
      <c r="AI150" s="13">
        <f>IF('Données projet'!$A$62&gt;35,AI149+AH150-AQ149,IF(A150&lt;'Données projet'!$A$62,$AF$205^A150,IF(A150='Données projet'!$A$62,'Données projet'!$B$62,AI149+AH150-AQ149)))</f>
        <v>219.0999999999996</v>
      </c>
      <c r="AJ150" s="13">
        <f>AI150*VLOOKUP('Données projet'!$B$10,Paramètres!$A$1:$I$89,3,0)*VLOOKUP('Données projet'!$B$10,Paramètres!$A$1:$I$89,5,0)</f>
        <v>218.74943999999959</v>
      </c>
      <c r="AK150" s="13">
        <f t="shared" si="143"/>
        <v>53.842992571994301</v>
      </c>
      <c r="AL150" s="20">
        <f t="shared" si="112"/>
        <v>474.76515339622262</v>
      </c>
      <c r="AM150" s="59">
        <f t="shared" si="113"/>
        <v>768.09848672955593</v>
      </c>
      <c r="AN150" s="59">
        <f ca="1">AVERAGE(OFFSET($AM$3,0,0,'Données projet'!$E$10+1,1))-AVERAGE(OFFSET($H$3,0,0,'Données projet'!$E$10+1,1))</f>
        <v>206.53345322763442</v>
      </c>
      <c r="AO150" s="59">
        <f t="shared" si="144"/>
        <v>96.700732426680929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18.087694660729163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6.8258351976007292E-14</v>
      </c>
      <c r="AX150" s="21">
        <f t="shared" si="114"/>
        <v>18.08769466072923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3.4</v>
      </c>
      <c r="BD150" s="12">
        <f>IF('Données projet'!$A$88&gt;35,BD149+BC150-BL149,IF(A150&lt;'Données projet'!$A$88,$BA$205^A150,IF(A150='Données projet'!$A$88,'Données projet'!$B$88,BD149+BC150-BL149)))</f>
        <v>322.79999999999984</v>
      </c>
      <c r="BE150" s="13">
        <f>BD150*VLOOKUP('Données projet'!$B$11,Paramètres!$A$1:$I$89,3,0)*VLOOKUP('Données projet'!$B$11,Paramètres!$A$1:$I$89,5,0)</f>
        <v>271.92671999999988</v>
      </c>
      <c r="BF150" s="13">
        <f t="shared" si="145"/>
        <v>65.257998526454017</v>
      </c>
      <c r="BG150" s="20">
        <f t="shared" si="115"/>
        <v>587.26338476690717</v>
      </c>
      <c r="BH150" s="59">
        <f t="shared" si="116"/>
        <v>880.59671810024042</v>
      </c>
      <c r="BI150" s="59">
        <f ca="1">AVERAGE(OFFSET($BH$3,0,0,'Données projet'!$E$11+1,1))-AVERAGE(OFFSET($H$3,0,0,'Données projet'!$E$11+1,1))</f>
        <v>328.34986205643321</v>
      </c>
      <c r="BJ150" s="59">
        <f t="shared" si="146"/>
        <v>251.60894449147008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37.81417413030244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3.6038269908985415E-15</v>
      </c>
      <c r="BS150" s="22">
        <f t="shared" si="117"/>
        <v>37.814174130302447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3.4</v>
      </c>
      <c r="BY150" s="12">
        <f>IF('Données projet'!$A$114&gt;35,BY149+BX150-CG149,IF(A150&lt;'Données projet'!$A$114,$BV$205^A150,IF(A150='Données projet'!$A$114,'Données projet'!$B$114,BY149+BX150-CG149)))</f>
        <v>322.79999999999984</v>
      </c>
      <c r="BZ150" s="13">
        <f>BY150*VLOOKUP('Données projet'!$B$12,Paramètres!$A$1:$I$89,3,0)*VLOOKUP('Données projet'!$B$12,Paramètres!$A$1:$I$89,5,0)</f>
        <v>292.06943999999987</v>
      </c>
      <c r="CA150" s="13">
        <f t="shared" si="147"/>
        <v>69.5113300819378</v>
      </c>
      <c r="CB150" s="20">
        <f t="shared" si="118"/>
        <v>629.75317455937477</v>
      </c>
      <c r="CC150" s="59">
        <f t="shared" si="119"/>
        <v>923.08650789270814</v>
      </c>
      <c r="CD150" s="59">
        <f ca="1">AVERAGE(OFFSET($CC$3,0,0,'Données projet'!$E$12+1,1))-AVERAGE(OFFSET($H$3,0,0,'Données projet'!$E$12+1,1))</f>
        <v>360.44607552967267</v>
      </c>
      <c r="CE150" s="59">
        <f t="shared" si="148"/>
        <v>271.54361159160169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40.615224065880412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3.8707771383725096E-15</v>
      </c>
      <c r="CN150" s="22">
        <f t="shared" si="120"/>
        <v>40.615224065880419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309.89554000341082</v>
      </c>
      <c r="CZ150" s="59">
        <f t="shared" si="150"/>
        <v>465.9235824539021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25.003333776429539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2.1012794886671809E-14</v>
      </c>
      <c r="DI150" s="22">
        <f t="shared" si="123"/>
        <v>25.00333377642956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-1.4897523215040567E-13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281.82797419088109</v>
      </c>
      <c r="T151" s="59">
        <f t="shared" si="142"/>
        <v>298.98873283425371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58.301112476194312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6.2292487183714174E-15</v>
      </c>
      <c r="AC151" s="22">
        <f t="shared" si="111"/>
        <v>58.301112476194319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1.3</v>
      </c>
      <c r="AI151" s="13">
        <f>IF('Données projet'!$A$62&gt;35,AI150+AH151-AQ150,IF(A151&lt;'Données projet'!$A$62,$AF$205^A151,IF(A151='Données projet'!$A$62,'Données projet'!$B$62,AI150+AH151-AQ150)))</f>
        <v>220.39999999999961</v>
      </c>
      <c r="AJ151" s="13">
        <f>AI151*VLOOKUP('Données projet'!$B$10,Paramètres!$A$1:$I$89,3,0)*VLOOKUP('Données projet'!$B$10,Paramètres!$A$1:$I$89,5,0)</f>
        <v>220.04735999999963</v>
      </c>
      <c r="AK151" s="13">
        <f t="shared" si="143"/>
        <v>54.125179053644203</v>
      </c>
      <c r="AL151" s="20">
        <f t="shared" si="112"/>
        <v>477.51717218509634</v>
      </c>
      <c r="AM151" s="59">
        <f t="shared" si="113"/>
        <v>770.8505055184296</v>
      </c>
      <c r="AN151" s="59">
        <f ca="1">AVERAGE(OFFSET($AM$3,0,0,'Données projet'!$E$10+1,1))-AVERAGE(OFFSET($H$3,0,0,'Données projet'!$E$10+1,1))</f>
        <v>206.53345322763442</v>
      </c>
      <c r="AO151" s="59">
        <f t="shared" si="144"/>
        <v>96.700732426680929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17.733006000836646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4.8265943554852932E-14</v>
      </c>
      <c r="AX151" s="21">
        <f t="shared" si="114"/>
        <v>17.733006000836696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3.4</v>
      </c>
      <c r="BD151" s="12">
        <f>IF('Données projet'!$A$88&gt;35,BD150+BC151-BL150,IF(A151&lt;'Données projet'!$A$88,$BA$205^A151,IF(A151='Données projet'!$A$88,'Données projet'!$B$88,BD150+BC151-BL150)))</f>
        <v>326.19999999999982</v>
      </c>
      <c r="BE151" s="13">
        <f>BD151*VLOOKUP('Données projet'!$B$11,Paramètres!$A$1:$I$89,3,0)*VLOOKUP('Données projet'!$B$11,Paramètres!$A$1:$I$89,5,0)</f>
        <v>274.79087999999985</v>
      </c>
      <c r="BF151" s="13">
        <f t="shared" si="145"/>
        <v>65.86497181236102</v>
      </c>
      <c r="BG151" s="20">
        <f t="shared" si="115"/>
        <v>593.3089419065285</v>
      </c>
      <c r="BH151" s="59">
        <f t="shared" si="116"/>
        <v>886.64227523986187</v>
      </c>
      <c r="BI151" s="59">
        <f ca="1">AVERAGE(OFFSET($BH$3,0,0,'Données projet'!$E$11+1,1))-AVERAGE(OFFSET($H$3,0,0,'Données projet'!$E$11+1,1))</f>
        <v>328.34986205643321</v>
      </c>
      <c r="BJ151" s="59">
        <f t="shared" si="146"/>
        <v>251.60894449147008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37.072661239976014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2.548290503487469E-15</v>
      </c>
      <c r="BS151" s="22">
        <f t="shared" si="117"/>
        <v>37.072661239976014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3.4</v>
      </c>
      <c r="BY151" s="12">
        <f>IF('Données projet'!$A$114&gt;35,BY150+BX151-CG150,IF(A151&lt;'Données projet'!$A$114,$BV$205^A151,IF(A151='Données projet'!$A$114,'Données projet'!$B$114,BY150+BX151-CG150)))</f>
        <v>326.19999999999982</v>
      </c>
      <c r="BZ151" s="13">
        <f>BY151*VLOOKUP('Données projet'!$B$12,Paramètres!$A$1:$I$89,3,0)*VLOOKUP('Données projet'!$B$12,Paramètres!$A$1:$I$89,5,0)</f>
        <v>295.14575999999983</v>
      </c>
      <c r="CA151" s="13">
        <f t="shared" si="147"/>
        <v>70.157864167878188</v>
      </c>
      <c r="CB151" s="20">
        <f t="shared" si="118"/>
        <v>636.23714542572077</v>
      </c>
      <c r="CC151" s="59">
        <f t="shared" si="119"/>
        <v>929.57047875905414</v>
      </c>
      <c r="CD151" s="59">
        <f ca="1">AVERAGE(OFFSET($CC$3,0,0,'Données projet'!$E$12+1,1))-AVERAGE(OFFSET($H$3,0,0,'Données projet'!$E$12+1,1))</f>
        <v>360.44607552967267</v>
      </c>
      <c r="CE151" s="59">
        <f t="shared" si="148"/>
        <v>271.54361159160169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39.818784294789062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2.7370527630050608E-15</v>
      </c>
      <c r="CN151" s="22">
        <f t="shared" si="120"/>
        <v>39.818784294789062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309.89554000341082</v>
      </c>
      <c r="CZ151" s="59">
        <f t="shared" si="150"/>
        <v>465.9235824539021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24.513033651601496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1.4858289756047647E-14</v>
      </c>
      <c r="DI151" s="22">
        <f t="shared" si="123"/>
        <v>24.513033651601511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-1.4897523215040567E-13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281.82797419088109</v>
      </c>
      <c r="T152" s="59">
        <f t="shared" si="142"/>
        <v>298.98873283425371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57.157863220703476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4.4047440104580394E-15</v>
      </c>
      <c r="AC152" s="22">
        <f t="shared" si="111"/>
        <v>57.157863220703483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1.3</v>
      </c>
      <c r="AI152" s="13">
        <f>IF('Données projet'!$A$62&gt;35,AI151+AH152-AQ151,IF(A152&lt;'Données projet'!$A$62,$AF$205^A152,IF(A152='Données projet'!$A$62,'Données projet'!$B$62,AI151+AH152-AQ151)))</f>
        <v>221.69999999999962</v>
      </c>
      <c r="AJ152" s="13">
        <f>AI152*VLOOKUP('Données projet'!$B$10,Paramètres!$A$1:$I$89,3,0)*VLOOKUP('Données projet'!$B$10,Paramètres!$A$1:$I$89,5,0)</f>
        <v>221.3452799999996</v>
      </c>
      <c r="AK152" s="13">
        <f t="shared" si="143"/>
        <v>54.407171859862352</v>
      </c>
      <c r="AL152" s="20">
        <f t="shared" si="112"/>
        <v>480.26885365592619</v>
      </c>
      <c r="AM152" s="59">
        <f t="shared" si="113"/>
        <v>773.60218698925951</v>
      </c>
      <c r="AN152" s="59">
        <f ca="1">AVERAGE(OFFSET($AM$3,0,0,'Données projet'!$E$10+1,1))-AVERAGE(OFFSET($H$3,0,0,'Données projet'!$E$10+1,1))</f>
        <v>206.53345322763442</v>
      </c>
      <c r="AO152" s="59">
        <f t="shared" si="144"/>
        <v>96.700732426680929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17.385272569225901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3.4129175988003646E-14</v>
      </c>
      <c r="AX152" s="21">
        <f t="shared" si="114"/>
        <v>17.385272569225936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3.4</v>
      </c>
      <c r="BD152" s="12">
        <f>IF('Données projet'!$A$88&gt;35,BD151+BC152-BL151,IF(A152&lt;'Données projet'!$A$88,$BA$205^A152,IF(A152='Données projet'!$A$88,'Données projet'!$B$88,BD151+BC152-BL151)))</f>
        <v>329.5999999999998</v>
      </c>
      <c r="BE152" s="13">
        <f>BD152*VLOOKUP('Données projet'!$B$11,Paramètres!$A$1:$I$89,3,0)*VLOOKUP('Données projet'!$B$11,Paramètres!$A$1:$I$89,5,0)</f>
        <v>277.65503999999987</v>
      </c>
      <c r="BF152" s="13">
        <f t="shared" si="145"/>
        <v>66.47120912437552</v>
      </c>
      <c r="BG152" s="20">
        <f t="shared" si="115"/>
        <v>599.35321722495371</v>
      </c>
      <c r="BH152" s="59">
        <f t="shared" si="116"/>
        <v>892.68655055828708</v>
      </c>
      <c r="BI152" s="59">
        <f ca="1">AVERAGE(OFFSET($BH$3,0,0,'Données projet'!$E$11+1,1))-AVERAGE(OFFSET($H$3,0,0,'Données projet'!$E$11+1,1))</f>
        <v>328.34986205643321</v>
      </c>
      <c r="BJ152" s="59">
        <f t="shared" si="146"/>
        <v>251.60894449147008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36.345688965150686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1.8019134954492708E-15</v>
      </c>
      <c r="BS152" s="22">
        <f t="shared" si="117"/>
        <v>36.345688965150686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3.4</v>
      </c>
      <c r="BY152" s="12">
        <f>IF('Données projet'!$A$114&gt;35,BY151+BX152-CG151,IF(A152&lt;'Données projet'!$A$114,$BV$205^A152,IF(A152='Données projet'!$A$114,'Données projet'!$B$114,BY151+BX152-CG151)))</f>
        <v>329.5999999999998</v>
      </c>
      <c r="BZ152" s="13">
        <f>BY152*VLOOKUP('Données projet'!$B$12,Paramètres!$A$1:$I$89,3,0)*VLOOKUP('Données projet'!$B$12,Paramètres!$A$1:$I$89,5,0)</f>
        <v>298.22207999999978</v>
      </c>
      <c r="CA152" s="13">
        <f t="shared" si="147"/>
        <v>70.803614311231783</v>
      </c>
      <c r="CB152" s="20">
        <f t="shared" si="118"/>
        <v>642.71975092539503</v>
      </c>
      <c r="CC152" s="59">
        <f t="shared" si="119"/>
        <v>936.0530842587284</v>
      </c>
      <c r="CD152" s="59">
        <f ca="1">AVERAGE(OFFSET($CC$3,0,0,'Données projet'!$E$12+1,1))-AVERAGE(OFFSET($H$3,0,0,'Données projet'!$E$12+1,1))</f>
        <v>360.44607552967267</v>
      </c>
      <c r="CE152" s="59">
        <f t="shared" si="148"/>
        <v>271.54361159160169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39.037962221828522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1.9353885691862548E-15</v>
      </c>
      <c r="CN152" s="22">
        <f t="shared" si="120"/>
        <v>39.037962221828522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309.89554000341082</v>
      </c>
      <c r="CZ152" s="59">
        <f t="shared" si="150"/>
        <v>465.9235824539021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24.032348013167784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1.0506397443335904E-14</v>
      </c>
      <c r="DI152" s="22">
        <f t="shared" si="123"/>
        <v>24.032348013167795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-1.4897523215040567E-13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281.82797419088109</v>
      </c>
      <c r="T153" s="59">
        <f t="shared" si="142"/>
        <v>298.98873283425371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56.037032385799627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3.1146243591857087E-15</v>
      </c>
      <c r="AC153" s="22">
        <f t="shared" si="111"/>
        <v>56.037032385799627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223</v>
      </c>
      <c r="AG153" s="12">
        <f>VLOOKUP(A153,'Données projet'!$A$61:$I$81,9,0)</f>
        <v>1.3</v>
      </c>
      <c r="AH153" s="12">
        <f t="array" ref="AH153">INDEX(AG:AG,MIN(IF(ISNUMBER(AG153:AG349),ROW(AG153:AG349),"")))</f>
        <v>1.3</v>
      </c>
      <c r="AI153" s="13">
        <f>IF('Données projet'!$A$62&gt;35,AI152+AH153-AQ152,IF(A153&lt;'Données projet'!$A$62,$AF$205^A153,IF(A153='Données projet'!$A$62,'Données projet'!$B$62,AI152+AH153-AQ152)))</f>
        <v>222.99999999999963</v>
      </c>
      <c r="AJ153" s="13">
        <f>AI153*VLOOKUP('Données projet'!$B$10,Paramètres!$A$1:$I$89,3,0)*VLOOKUP('Données projet'!$B$10,Paramètres!$A$1:$I$89,5,0)</f>
        <v>222.64319999999964</v>
      </c>
      <c r="AK153" s="13">
        <f t="shared" si="143"/>
        <v>54.688972258092782</v>
      </c>
      <c r="AL153" s="20">
        <f t="shared" si="112"/>
        <v>483.02020001617757</v>
      </c>
      <c r="AM153" s="59">
        <f t="shared" si="113"/>
        <v>776.35353334951083</v>
      </c>
      <c r="AN153" s="59">
        <f ca="1">AVERAGE(OFFSET($AM$3,0,0,'Données projet'!$E$10+1,1))-AVERAGE(OFFSET($H$3,0,0,'Données projet'!$E$10+1,1))</f>
        <v>206.53345322763442</v>
      </c>
      <c r="AO153" s="59">
        <f t="shared" si="144"/>
        <v>96.700732426680929</v>
      </c>
      <c r="AP153" s="15">
        <f>IF(ISNA(VLOOKUP(A153,'Données projet'!$A$61:$I$81,3,0)),0,VLOOKUP(A153,'Données projet'!$A$61:$I$81,3,0))</f>
        <v>13</v>
      </c>
      <c r="AQ153" s="15">
        <f>IF(ISNA(VLOOKUP(A153,'Données projet'!$A$61:$I$81,4,0)),0,VLOOKUP(A153,'Données projet'!$A$61:$I$81,4,0))</f>
        <v>223</v>
      </c>
      <c r="AR153" s="16">
        <f>IF(ISNA(VLOOKUP(A153,'Données projet'!$A$61:$I$81,5,0)),0%,VLOOKUP(A153,'Données projet'!$A$61:$I$81,5,0)*VLOOKUP('Données projet'!$B$10,Paramètres!$A$1:$I$89,7,0))</f>
        <v>0.43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122.87830698401771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2.4132971777426466E-14</v>
      </c>
      <c r="AX153" s="21">
        <f t="shared" si="114"/>
        <v>122.87830698401774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>
        <f>VLOOKUP(A153,'Données projet'!$A$87:$I$107,2,0)</f>
        <v>333</v>
      </c>
      <c r="BB153" s="12">
        <f>VLOOKUP(A153,'Données projet'!$A$87:$I$107,9,0)</f>
        <v>3.4</v>
      </c>
      <c r="BC153" s="12">
        <f t="array" ref="BC153">INDEX(BB:BB,MIN(IF(ISNUMBER(BB153:BB349),ROW(BB153:BB349),"")))</f>
        <v>3.4</v>
      </c>
      <c r="BD153" s="12">
        <f>IF('Données projet'!$A$88&gt;35,BD152+BC153-BL152,IF(A153&lt;'Données projet'!$A$88,$BA$205^A153,IF(A153='Données projet'!$A$88,'Données projet'!$B$88,BD152+BC153-BL152)))</f>
        <v>332.99999999999977</v>
      </c>
      <c r="BE153" s="13">
        <f>BD153*VLOOKUP('Données projet'!$B$11,Paramètres!$A$1:$I$89,3,0)*VLOOKUP('Données projet'!$B$11,Paramètres!$A$1:$I$89,5,0)</f>
        <v>280.51919999999984</v>
      </c>
      <c r="BF153" s="13">
        <f t="shared" si="145"/>
        <v>67.076718933381159</v>
      </c>
      <c r="BG153" s="20">
        <f t="shared" si="115"/>
        <v>605.39622547563852</v>
      </c>
      <c r="BH153" s="59">
        <f t="shared" si="116"/>
        <v>898.72955880897189</v>
      </c>
      <c r="BI153" s="59">
        <f ca="1">AVERAGE(OFFSET($BH$3,0,0,'Données projet'!$E$11+1,1))-AVERAGE(OFFSET($H$3,0,0,'Données projet'!$E$11+1,1))</f>
        <v>328.34986205643321</v>
      </c>
      <c r="BJ153" s="59">
        <f t="shared" si="146"/>
        <v>251.60894449147008</v>
      </c>
      <c r="BK153" s="15">
        <f>IF(ISNA(VLOOKUP(A153,'Données projet'!$A$87:$I$107,3,0)),0,VLOOKUP(A153,'Données projet'!$A$87:$I$107,3,0))</f>
        <v>14</v>
      </c>
      <c r="BL153" s="15">
        <f>IF(ISNA(VLOOKUP(A153,'Données projet'!$A$87:$I$107,4,0)),0,VLOOKUP(A153,'Données projet'!$A$87:$I$107,4,0))</f>
        <v>333</v>
      </c>
      <c r="BM153" s="16">
        <f>IF(ISNA(VLOOKUP(A153,'Données projet'!$A$87:$I$107,5,0)),0%,VLOOKUP(A153,'Données projet'!$A$87:$I$107,5,0)*VLOOKUP('Données projet'!$B$11,Paramètres!$A$1:$I$89,7,0))</f>
        <v>0.43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168.97840876404555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1.2741452517437345E-15</v>
      </c>
      <c r="BS153" s="22">
        <f t="shared" si="117"/>
        <v>168.97840876404555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>
        <f>VLOOKUP(A153,'Données projet'!$A$113:$I$133,2,0)</f>
        <v>333</v>
      </c>
      <c r="BW153" s="12">
        <f>VLOOKUP(A153,'Données projet'!$A$113:$I$133,9,0)</f>
        <v>3.4</v>
      </c>
      <c r="BX153" s="12">
        <f t="array" ref="BX153">INDEX(BW:BW,MIN(IF(ISNUMBER(BW153:BW349),ROW(BW153:BW349),"")))</f>
        <v>3.4</v>
      </c>
      <c r="BY153" s="12">
        <f>IF('Données projet'!$A$114&gt;35,BY152+BX153-CG152,IF(A153&lt;'Données projet'!$A$114,$BV$205^A153,IF(A153='Données projet'!$A$114,'Données projet'!$B$114,BY152+BX153-CG152)))</f>
        <v>332.99999999999977</v>
      </c>
      <c r="BZ153" s="13">
        <f>BY153*VLOOKUP('Données projet'!$B$12,Paramètres!$A$1:$I$89,3,0)*VLOOKUP('Données projet'!$B$12,Paramètres!$A$1:$I$89,5,0)</f>
        <v>301.29839999999979</v>
      </c>
      <c r="CA153" s="13">
        <f t="shared" si="147"/>
        <v>71.448589534990461</v>
      </c>
      <c r="CB153" s="20">
        <f t="shared" si="118"/>
        <v>649.20100677344124</v>
      </c>
      <c r="CC153" s="59">
        <f t="shared" si="119"/>
        <v>942.53434010677461</v>
      </c>
      <c r="CD153" s="59">
        <f ca="1">AVERAGE(OFFSET($CC$3,0,0,'Données projet'!$E$12+1,1))-AVERAGE(OFFSET($H$3,0,0,'Données projet'!$E$12+1,1))</f>
        <v>360.44607552967267</v>
      </c>
      <c r="CE153" s="59">
        <f t="shared" si="148"/>
        <v>271.54361159160169</v>
      </c>
      <c r="CF153" s="15">
        <f>IF(ISNA(VLOOKUP(A153,'Données projet'!$A$113:$I$133,3,0)),0,VLOOKUP(A153,'Données projet'!$A$113:$I$133,3,0))</f>
        <v>14</v>
      </c>
      <c r="CG153" s="15">
        <f>IF(ISNA(VLOOKUP(A153,'Données projet'!$A$113:$I$133,4,0)),0,VLOOKUP(A153,'Données projet'!$A$113:$I$133,4,0))</f>
        <v>333</v>
      </c>
      <c r="CH153" s="16">
        <f>IF(ISNA(VLOOKUP(A153,'Données projet'!$A$113:$I$133,5,0)),0%,VLOOKUP(A153,'Données projet'!$A$113:$I$133,5,0)*VLOOKUP('Données projet'!$B$12,Paramètres!$A$1:$I$89,7,0))</f>
        <v>0.43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181.49532793175263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1.3685263815025304E-15</v>
      </c>
      <c r="CN153" s="22">
        <f t="shared" si="120"/>
        <v>181.49532793175263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309.89554000341082</v>
      </c>
      <c r="CZ153" s="59">
        <f t="shared" si="150"/>
        <v>465.9235824539021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23.561088326914465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7.4291448780238235E-15</v>
      </c>
      <c r="DI153" s="22">
        <f t="shared" si="123"/>
        <v>23.561088326914472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-1.4897523215040567E-13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281.82797419088109</v>
      </c>
      <c r="T154" s="59">
        <f t="shared" si="142"/>
        <v>298.98873283425371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54.938180359928936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2.2023720052290197E-15</v>
      </c>
      <c r="AC154" s="22">
        <f t="shared" ref="AC154:AC203" si="163">SUM(Z154:AB154)</f>
        <v>54.938180359928936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-3.694822225952521E-13</v>
      </c>
      <c r="AJ154" s="13">
        <f>AI154*VLOOKUP('Données projet'!$B$10,Paramètres!$A$1:$I$89,3,0)*VLOOKUP('Données projet'!$B$10,Paramètres!$A$1:$I$89,5,0)</f>
        <v>-3.6889105103909971E-13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206.53345322763442</v>
      </c>
      <c r="AO154" s="59">
        <f t="shared" si="144"/>
        <v>96.700732426680929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120.46873833242785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1.7064587994001823E-14</v>
      </c>
      <c r="AX154" s="21">
        <f t="shared" ref="AX154:AX203" si="166">SUM(AU154:AW154)</f>
        <v>120.46873833242786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-2.2737367544323206E-13</v>
      </c>
      <c r="BE154" s="13">
        <f>BD154*VLOOKUP('Données projet'!$B$11,Paramètres!$A$1:$I$89,3,0)*VLOOKUP('Données projet'!$B$11,Paramètres!$A$1:$I$89,5,0)</f>
        <v>-1.915395841933787E-13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328.34986205643321</v>
      </c>
      <c r="BJ154" s="59">
        <f t="shared" si="146"/>
        <v>251.60894449147008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165.66484523483498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9.0095674772463539E-16</v>
      </c>
      <c r="BS154" s="22">
        <f t="shared" ref="BS154:BS203" si="169">SUM(BP154:BR154)</f>
        <v>165.66484523483498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-2.2737367544323206E-13</v>
      </c>
      <c r="BZ154" s="13">
        <f>BY154*VLOOKUP('Données projet'!$B$12,Paramètres!$A$1:$I$89,3,0)*VLOOKUP('Données projet'!$B$12,Paramètres!$A$1:$I$89,5,0)</f>
        <v>-2.0572770154103635E-13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360.44607552967267</v>
      </c>
      <c r="CE154" s="59">
        <f t="shared" si="148"/>
        <v>271.54361159160169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177.93631525223014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9.6769428459312741E-16</v>
      </c>
      <c r="CN154" s="22">
        <f t="shared" ref="CN154:CN203" si="172">SUM(CK154:CM154)</f>
        <v>177.93631525223014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309.89554000341082</v>
      </c>
      <c r="CZ154" s="59">
        <f t="shared" si="150"/>
        <v>465.9235824539021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23.099069755668548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5.2531987216679522E-15</v>
      </c>
      <c r="DI154" s="22">
        <f t="shared" ref="DI154:DI203" si="175">SUM(DF154:DH154)</f>
        <v>23.099069755668552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-1.4897523215040567E-13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281.82797419088109</v>
      </c>
      <c r="T155" s="59">
        <f t="shared" si="142"/>
        <v>298.98873283425371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53.860876152052015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1.5573121795928544E-15</v>
      </c>
      <c r="AC155" s="22">
        <f t="shared" si="163"/>
        <v>53.860876152052015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-3.694822225952521E-13</v>
      </c>
      <c r="AJ155" s="13">
        <f>AI155*VLOOKUP('Données projet'!$B$10,Paramètres!$A$1:$I$89,3,0)*VLOOKUP('Données projet'!$B$10,Paramètres!$A$1:$I$89,5,0)</f>
        <v>-3.6889105103909971E-13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206.53345322763442</v>
      </c>
      <c r="AO155" s="59">
        <f t="shared" si="144"/>
        <v>96.700732426680929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118.1064198524039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1.2066485888713233E-14</v>
      </c>
      <c r="AX155" s="21">
        <f t="shared" si="166"/>
        <v>118.10641985240392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-2.2737367544323206E-13</v>
      </c>
      <c r="BE155" s="13">
        <f>BD155*VLOOKUP('Données projet'!$B$11,Paramètres!$A$1:$I$89,3,0)*VLOOKUP('Données projet'!$B$11,Paramètres!$A$1:$I$89,5,0)</f>
        <v>-1.915395841933787E-13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328.34986205643321</v>
      </c>
      <c r="BJ155" s="59">
        <f t="shared" si="146"/>
        <v>251.60894449147008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162.41625866535804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6.3707262587186725E-16</v>
      </c>
      <c r="BS155" s="22">
        <f t="shared" si="169"/>
        <v>162.41625866535804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-2.2737367544323206E-13</v>
      </c>
      <c r="BZ155" s="13">
        <f>BY155*VLOOKUP('Données projet'!$B$12,Paramètres!$A$1:$I$89,3,0)*VLOOKUP('Données projet'!$B$12,Paramètres!$A$1:$I$89,5,0)</f>
        <v>-2.0572770154103635E-13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360.44607552967267</v>
      </c>
      <c r="CE155" s="59">
        <f t="shared" si="148"/>
        <v>271.54361159160169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174.44709264056974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6.8426319075126519E-16</v>
      </c>
      <c r="CN155" s="22">
        <f t="shared" si="172"/>
        <v>174.44709264056974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309.89554000341082</v>
      </c>
      <c r="CZ155" s="59">
        <f t="shared" si="150"/>
        <v>465.9235824539021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22.646111086801263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3.7145724390119118E-15</v>
      </c>
      <c r="DI155" s="22">
        <f t="shared" si="175"/>
        <v>22.646111086801266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-1.4897523215040567E-13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281.82797419088109</v>
      </c>
      <c r="T156" s="59">
        <f t="shared" si="142"/>
        <v>298.98873283425371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52.804697222600872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1.1011860026145098E-15</v>
      </c>
      <c r="AC156" s="22">
        <f t="shared" si="163"/>
        <v>52.804697222600872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-3.694822225952521E-13</v>
      </c>
      <c r="AJ156" s="13">
        <f>AI156*VLOOKUP('Données projet'!$B$10,Paramètres!$A$1:$I$89,3,0)*VLOOKUP('Données projet'!$B$10,Paramètres!$A$1:$I$89,5,0)</f>
        <v>-3.6889105103909971E-13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206.53345322763442</v>
      </c>
      <c r="AO156" s="59">
        <f t="shared" si="144"/>
        <v>96.700732426680929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115.79042499690124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8.5322939970009115E-15</v>
      </c>
      <c r="AX156" s="21">
        <f t="shared" si="166"/>
        <v>115.79042499690125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-2.2737367544323206E-13</v>
      </c>
      <c r="BE156" s="13">
        <f>BD156*VLOOKUP('Données projet'!$B$11,Paramètres!$A$1:$I$89,3,0)*VLOOKUP('Données projet'!$B$11,Paramètres!$A$1:$I$89,5,0)</f>
        <v>-1.915395841933787E-13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328.34986205643321</v>
      </c>
      <c r="BJ156" s="59">
        <f t="shared" si="146"/>
        <v>251.60894449147008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159.23137489706639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4.5047837386231769E-16</v>
      </c>
      <c r="BS156" s="22">
        <f t="shared" si="169"/>
        <v>159.23137489706639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-2.2737367544323206E-13</v>
      </c>
      <c r="BZ156" s="13">
        <f>BY156*VLOOKUP('Données projet'!$B$12,Paramètres!$A$1:$I$89,3,0)*VLOOKUP('Données projet'!$B$12,Paramètres!$A$1:$I$89,5,0)</f>
        <v>-2.0572770154103635E-13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360.44607552967267</v>
      </c>
      <c r="CE156" s="59">
        <f t="shared" si="148"/>
        <v>271.54361159160169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171.02629155610833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4.838471422965637E-16</v>
      </c>
      <c r="CN156" s="22">
        <f t="shared" si="172"/>
        <v>171.02629155610833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309.89554000341082</v>
      </c>
      <c r="CZ156" s="59">
        <f t="shared" si="150"/>
        <v>465.9235824539021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22.202034661152954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2.6265993608339761E-15</v>
      </c>
      <c r="DI156" s="22">
        <f t="shared" si="175"/>
        <v>22.202034661152958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-1.4897523215040567E-13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281.82797419088109</v>
      </c>
      <c r="T157" s="59">
        <f t="shared" si="142"/>
        <v>298.98873283425371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51.769229317750728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7.7865608979642718E-16</v>
      </c>
      <c r="AC157" s="22">
        <f t="shared" si="163"/>
        <v>51.769229317750728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-3.694822225952521E-13</v>
      </c>
      <c r="AJ157" s="13">
        <f>AI157*VLOOKUP('Données projet'!$B$10,Paramètres!$A$1:$I$89,3,0)*VLOOKUP('Données projet'!$B$10,Paramètres!$A$1:$I$89,5,0)</f>
        <v>-3.6889105103909971E-13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206.53345322763442</v>
      </c>
      <c r="AO157" s="59">
        <f t="shared" si="144"/>
        <v>96.700732426680929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113.51984538789759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6.0332429443566165E-15</v>
      </c>
      <c r="AX157" s="21">
        <f t="shared" si="166"/>
        <v>113.51984538789759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-2.2737367544323206E-13</v>
      </c>
      <c r="BE157" s="13">
        <f>BD157*VLOOKUP('Données projet'!$B$11,Paramètres!$A$1:$I$89,3,0)*VLOOKUP('Données projet'!$B$11,Paramètres!$A$1:$I$89,5,0)</f>
        <v>-1.915395841933787E-13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328.34986205643321</v>
      </c>
      <c r="BJ157" s="59">
        <f t="shared" si="146"/>
        <v>251.60894449147008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156.10894475688366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3.1853631293593363E-16</v>
      </c>
      <c r="BS157" s="22">
        <f t="shared" si="169"/>
        <v>156.10894475688366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-2.2737367544323206E-13</v>
      </c>
      <c r="BZ157" s="13">
        <f>BY157*VLOOKUP('Données projet'!$B$12,Paramètres!$A$1:$I$89,3,0)*VLOOKUP('Données projet'!$B$12,Paramètres!$A$1:$I$89,5,0)</f>
        <v>-2.0572770154103635E-13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360.44607552967267</v>
      </c>
      <c r="CE157" s="59">
        <f t="shared" si="148"/>
        <v>271.54361159160169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167.67257029443059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3.421315953756326E-16</v>
      </c>
      <c r="CN157" s="22">
        <f t="shared" si="172"/>
        <v>167.67257029443059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309.89554000341082</v>
      </c>
      <c r="CZ157" s="59">
        <f t="shared" si="150"/>
        <v>465.9235824539021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21.766666303351737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1.8572862195059559E-15</v>
      </c>
      <c r="DI157" s="22">
        <f t="shared" si="175"/>
        <v>21.766666303351741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-1.4897523215040567E-13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281.82797419088109</v>
      </c>
      <c r="T158" s="59">
        <f t="shared" si="142"/>
        <v>298.98873283425371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50.754066306941638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5.5059300130725492E-16</v>
      </c>
      <c r="AC158" s="22">
        <f t="shared" si="163"/>
        <v>50.754066306941638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-3.694822225952521E-13</v>
      </c>
      <c r="AJ158" s="13">
        <f>AI158*VLOOKUP('Données projet'!$B$10,Paramètres!$A$1:$I$89,3,0)*VLOOKUP('Données projet'!$B$10,Paramètres!$A$1:$I$89,5,0)</f>
        <v>-3.6889105103909971E-13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206.53345322763442</v>
      </c>
      <c r="AO158" s="59">
        <f t="shared" si="144"/>
        <v>96.700732426680929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111.29379046010969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4.2661469985004557E-15</v>
      </c>
      <c r="AX158" s="21">
        <f t="shared" si="166"/>
        <v>111.29379046010969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-2.2737367544323206E-13</v>
      </c>
      <c r="BE158" s="13">
        <f>BD158*VLOOKUP('Données projet'!$B$11,Paramètres!$A$1:$I$89,3,0)*VLOOKUP('Données projet'!$B$11,Paramètres!$A$1:$I$89,5,0)</f>
        <v>-1.915395841933787E-13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328.34986205643321</v>
      </c>
      <c r="BJ158" s="59">
        <f t="shared" si="146"/>
        <v>251.60894449147008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153.04774356725557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2.2523918693115885E-16</v>
      </c>
      <c r="BS158" s="22">
        <f t="shared" si="169"/>
        <v>153.04774356725557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-2.2737367544323206E-13</v>
      </c>
      <c r="BZ158" s="13">
        <f>BY158*VLOOKUP('Données projet'!$B$12,Paramètres!$A$1:$I$89,3,0)*VLOOKUP('Données projet'!$B$12,Paramètres!$A$1:$I$89,5,0)</f>
        <v>-2.0572770154103635E-13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360.44607552967267</v>
      </c>
      <c r="CE158" s="59">
        <f t="shared" si="148"/>
        <v>271.54361159160169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164.38461346112635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2.4192357114828185E-16</v>
      </c>
      <c r="CN158" s="22">
        <f t="shared" si="172"/>
        <v>164.38461346112635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309.89554000341082</v>
      </c>
      <c r="CZ158" s="59">
        <f t="shared" si="150"/>
        <v>465.9235824539021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21.339835253498524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1.313299680416988E-15</v>
      </c>
      <c r="DI158" s="22">
        <f t="shared" si="175"/>
        <v>21.339835253498524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-1.4897523215040567E-13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281.82797419088109</v>
      </c>
      <c r="T159" s="59">
        <f t="shared" si="142"/>
        <v>298.98873283425371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49.758810023586214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3.8932804489821359E-16</v>
      </c>
      <c r="AC159" s="22">
        <f t="shared" si="163"/>
        <v>49.758810023586214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-3.694822225952521E-13</v>
      </c>
      <c r="AJ159" s="13">
        <f>AI159*VLOOKUP('Données projet'!$B$10,Paramètres!$A$1:$I$89,3,0)*VLOOKUP('Données projet'!$B$10,Paramètres!$A$1:$I$89,5,0)</f>
        <v>-3.6889105103909971E-13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206.53345322763442</v>
      </c>
      <c r="AO159" s="59">
        <f t="shared" si="144"/>
        <v>96.700732426680929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109.11138711169627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3.0166214721783083E-15</v>
      </c>
      <c r="AX159" s="21">
        <f t="shared" si="166"/>
        <v>109.11138711169627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-2.2737367544323206E-13</v>
      </c>
      <c r="BE159" s="13">
        <f>BD159*VLOOKUP('Données projet'!$B$11,Paramètres!$A$1:$I$89,3,0)*VLOOKUP('Données projet'!$B$11,Paramètres!$A$1:$I$89,5,0)</f>
        <v>-1.915395841933787E-13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328.34986205643321</v>
      </c>
      <c r="BJ159" s="59">
        <f t="shared" si="146"/>
        <v>251.60894449147008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150.04657066580774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1.5926815646796681E-16</v>
      </c>
      <c r="BS159" s="22">
        <f t="shared" si="169"/>
        <v>150.04657066580774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-2.2737367544323206E-13</v>
      </c>
      <c r="BZ159" s="13">
        <f>BY159*VLOOKUP('Données projet'!$B$12,Paramètres!$A$1:$I$89,3,0)*VLOOKUP('Données projet'!$B$12,Paramètres!$A$1:$I$89,5,0)</f>
        <v>-2.0572770154103635E-13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360.44607552967267</v>
      </c>
      <c r="CE159" s="59">
        <f t="shared" si="148"/>
        <v>271.54361159160169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161.16113145586755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1.710657976878163E-16</v>
      </c>
      <c r="CN159" s="22">
        <f t="shared" si="172"/>
        <v>161.16113145586755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309.89554000341082</v>
      </c>
      <c r="CZ159" s="59">
        <f t="shared" si="150"/>
        <v>465.9235824539021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20.921374100191699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9.2864310975297794E-16</v>
      </c>
      <c r="DI159" s="22">
        <f t="shared" si="175"/>
        <v>20.921374100191699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-1.4897523215040567E-13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281.82797419088109</v>
      </c>
      <c r="T160" s="59">
        <f t="shared" si="142"/>
        <v>298.98873283425371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48.783070108901001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2.7529650065362746E-16</v>
      </c>
      <c r="AC160" s="22">
        <f t="shared" si="163"/>
        <v>48.783070108901001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-3.694822225952521E-13</v>
      </c>
      <c r="AJ160" s="13">
        <f>AI160*VLOOKUP('Données projet'!$B$10,Paramètres!$A$1:$I$89,3,0)*VLOOKUP('Données projet'!$B$10,Paramètres!$A$1:$I$89,5,0)</f>
        <v>-3.6889105103909971E-13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206.53345322763442</v>
      </c>
      <c r="AO160" s="59">
        <f t="shared" si="144"/>
        <v>96.700732426680929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106.97177936181065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2.1330734992502279E-15</v>
      </c>
      <c r="AX160" s="21">
        <f t="shared" si="166"/>
        <v>106.97177936181065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-2.2737367544323206E-13</v>
      </c>
      <c r="BE160" s="13">
        <f>BD160*VLOOKUP('Données projet'!$B$11,Paramètres!$A$1:$I$89,3,0)*VLOOKUP('Données projet'!$B$11,Paramètres!$A$1:$I$89,5,0)</f>
        <v>-1.915395841933787E-13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328.34986205643321</v>
      </c>
      <c r="BJ160" s="59">
        <f t="shared" si="146"/>
        <v>251.60894449147008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147.10424893442257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1.1261959346557942E-16</v>
      </c>
      <c r="BS160" s="22">
        <f t="shared" si="169"/>
        <v>147.10424893442257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-2.2737367544323206E-13</v>
      </c>
      <c r="BZ160" s="13">
        <f>BY160*VLOOKUP('Données projet'!$B$12,Paramètres!$A$1:$I$89,3,0)*VLOOKUP('Données projet'!$B$12,Paramètres!$A$1:$I$89,5,0)</f>
        <v>-2.0572770154103635E-13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360.44607552967267</v>
      </c>
      <c r="CE160" s="59">
        <f t="shared" si="148"/>
        <v>271.54361159160169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158.00085996660201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1.2096178557414093E-16</v>
      </c>
      <c r="CN160" s="22">
        <f t="shared" si="172"/>
        <v>158.00085996660201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309.89554000341082</v>
      </c>
      <c r="CZ160" s="59">
        <f t="shared" si="150"/>
        <v>465.9235824539021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20.51111871486512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6.5664984020849402E-16</v>
      </c>
      <c r="DI160" s="22">
        <f t="shared" si="175"/>
        <v>20.51111871486512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-1.4897523215040567E-13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281.82797419088109</v>
      </c>
      <c r="T161" s="59">
        <f t="shared" si="142"/>
        <v>298.98873283425371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47.826463858800182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1.9466402244910679E-16</v>
      </c>
      <c r="AC161" s="22">
        <f t="shared" si="163"/>
        <v>47.826463858800182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-3.694822225952521E-13</v>
      </c>
      <c r="AJ161" s="13">
        <f>AI161*VLOOKUP('Données projet'!$B$10,Paramètres!$A$1:$I$89,3,0)*VLOOKUP('Données projet'!$B$10,Paramètres!$A$1:$I$89,5,0)</f>
        <v>-3.6889105103909971E-13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206.53345322763442</v>
      </c>
      <c r="AO161" s="59">
        <f t="shared" si="144"/>
        <v>96.700732426680929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104.8741280148684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1.5083107360891541E-15</v>
      </c>
      <c r="AX161" s="21">
        <f t="shared" si="166"/>
        <v>104.8741280148684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-2.2737367544323206E-13</v>
      </c>
      <c r="BE161" s="13">
        <f>BD161*VLOOKUP('Données projet'!$B$11,Paramètres!$A$1:$I$89,3,0)*VLOOKUP('Données projet'!$B$11,Paramètres!$A$1:$I$89,5,0)</f>
        <v>-1.915395841933787E-13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328.34986205643321</v>
      </c>
      <c r="BJ161" s="59">
        <f t="shared" si="146"/>
        <v>251.60894449147008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144.21962433755081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7.9634078233983407E-17</v>
      </c>
      <c r="BS161" s="22">
        <f t="shared" si="169"/>
        <v>144.21962433755081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-2.2737367544323206E-13</v>
      </c>
      <c r="BZ161" s="13">
        <f>BY161*VLOOKUP('Données projet'!$B$12,Paramètres!$A$1:$I$89,3,0)*VLOOKUP('Données projet'!$B$12,Paramètres!$A$1:$I$89,5,0)</f>
        <v>-2.0572770154103635E-13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360.44607552967267</v>
      </c>
      <c r="CE161" s="59">
        <f t="shared" si="148"/>
        <v>271.54361159160169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154.90255947366566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8.5532898843908149E-17</v>
      </c>
      <c r="CN161" s="22">
        <f t="shared" si="172"/>
        <v>154.90255947366566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309.89554000341082</v>
      </c>
      <c r="CZ161" s="59">
        <f t="shared" si="150"/>
        <v>465.9235824539021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20.108908187413718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4.6432155487648897E-16</v>
      </c>
      <c r="DI161" s="22">
        <f t="shared" si="175"/>
        <v>20.108908187413718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-1.4897523215040567E-13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281.82797419088109</v>
      </c>
      <c r="T162" s="59">
        <f t="shared" si="142"/>
        <v>298.98873283425371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46.888616073791638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1.3764825032681373E-16</v>
      </c>
      <c r="AC162" s="22">
        <f t="shared" si="163"/>
        <v>46.888616073791638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-3.694822225952521E-13</v>
      </c>
      <c r="AJ162" s="13">
        <f>AI162*VLOOKUP('Données projet'!$B$10,Paramètres!$A$1:$I$89,3,0)*VLOOKUP('Données projet'!$B$10,Paramètres!$A$1:$I$89,5,0)</f>
        <v>-3.6889105103909971E-13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206.53345322763442</v>
      </c>
      <c r="AO162" s="59">
        <f t="shared" si="144"/>
        <v>96.700732426680929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102.81761033139871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1.0665367496251139E-15</v>
      </c>
      <c r="AX162" s="21">
        <f t="shared" si="166"/>
        <v>102.81761033139871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-2.2737367544323206E-13</v>
      </c>
      <c r="BE162" s="13">
        <f>BD162*VLOOKUP('Données projet'!$B$11,Paramètres!$A$1:$I$89,3,0)*VLOOKUP('Données projet'!$B$11,Paramètres!$A$1:$I$89,5,0)</f>
        <v>-1.915395841933787E-13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328.34986205643321</v>
      </c>
      <c r="BJ162" s="59">
        <f t="shared" si="146"/>
        <v>251.60894449147008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141.39156546957645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5.6309796732789712E-17</v>
      </c>
      <c r="BS162" s="22">
        <f t="shared" si="169"/>
        <v>141.39156546957645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-2.2737367544323206E-13</v>
      </c>
      <c r="BZ162" s="13">
        <f>BY162*VLOOKUP('Données projet'!$B$12,Paramètres!$A$1:$I$89,3,0)*VLOOKUP('Données projet'!$B$12,Paramètres!$A$1:$I$89,5,0)</f>
        <v>-2.0572770154103635E-13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360.44607552967267</v>
      </c>
      <c r="CE162" s="59">
        <f t="shared" si="148"/>
        <v>271.54361159160169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151.86501476361912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6.0480892787070463E-17</v>
      </c>
      <c r="CN162" s="22">
        <f t="shared" si="172"/>
        <v>151.86501476361912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309.89554000341082</v>
      </c>
      <c r="CZ162" s="59">
        <f t="shared" si="150"/>
        <v>465.9235824539021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19.71458476308144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3.2832492010424701E-16</v>
      </c>
      <c r="DI162" s="22">
        <f t="shared" si="175"/>
        <v>19.71458476308144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-1.4897523215040567E-13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281.82797419088109</v>
      </c>
      <c r="T163" s="59">
        <f t="shared" si="142"/>
        <v>298.98873283425371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45.96915891181645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9.7332011224553397E-17</v>
      </c>
      <c r="AC163" s="22">
        <f t="shared" si="163"/>
        <v>45.96915891181645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-3.694822225952521E-13</v>
      </c>
      <c r="AJ163" s="13">
        <f>AI163*VLOOKUP('Données projet'!$B$10,Paramètres!$A$1:$I$89,3,0)*VLOOKUP('Données projet'!$B$10,Paramètres!$A$1:$I$89,5,0)</f>
        <v>-3.6889105103909971E-13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206.53345322763442</v>
      </c>
      <c r="AO163" s="59">
        <f t="shared" si="144"/>
        <v>96.700732426680929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100.80141970534993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7.5415536804457707E-16</v>
      </c>
      <c r="AX163" s="21">
        <f t="shared" si="166"/>
        <v>100.80141970534993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-2.2737367544323206E-13</v>
      </c>
      <c r="BE163" s="13">
        <f>BD163*VLOOKUP('Données projet'!$B$11,Paramètres!$A$1:$I$89,3,0)*VLOOKUP('Données projet'!$B$11,Paramètres!$A$1:$I$89,5,0)</f>
        <v>-1.915395841933787E-13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328.34986205643321</v>
      </c>
      <c r="BJ163" s="59">
        <f t="shared" si="146"/>
        <v>251.60894449147008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138.61896311105747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3.9817039116991703E-17</v>
      </c>
      <c r="BS163" s="22">
        <f t="shared" si="169"/>
        <v>138.61896311105747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-2.2737367544323206E-13</v>
      </c>
      <c r="BZ163" s="13">
        <f>BY163*VLOOKUP('Données projet'!$B$12,Paramètres!$A$1:$I$89,3,0)*VLOOKUP('Données projet'!$B$12,Paramètres!$A$1:$I$89,5,0)</f>
        <v>-2.0572770154103635E-13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360.44607552967267</v>
      </c>
      <c r="CE163" s="59">
        <f t="shared" si="148"/>
        <v>271.54361159160169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148.88703445261726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4.2766449421954075E-17</v>
      </c>
      <c r="CN163" s="22">
        <f t="shared" si="172"/>
        <v>148.88703445261726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309.89554000341082</v>
      </c>
      <c r="CZ163" s="59">
        <f t="shared" si="150"/>
        <v>465.9235824539021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19.327993780586777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2.3216077743824449E-16</v>
      </c>
      <c r="DI163" s="22">
        <f t="shared" si="175"/>
        <v>19.327993780586777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-1.4897523215040567E-13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281.82797419088109</v>
      </c>
      <c r="T164" s="59">
        <f t="shared" si="142"/>
        <v>298.98873283425371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45.0677317439741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6.8824125163406866E-17</v>
      </c>
      <c r="AC164" s="22">
        <f t="shared" si="163"/>
        <v>45.0677317439741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-3.694822225952521E-13</v>
      </c>
      <c r="AJ164" s="13">
        <f>AI164*VLOOKUP('Données projet'!$B$10,Paramètres!$A$1:$I$89,3,0)*VLOOKUP('Données projet'!$B$10,Paramètres!$A$1:$I$89,5,0)</f>
        <v>-3.6889105103909971E-13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206.53345322763442</v>
      </c>
      <c r="AO164" s="59">
        <f t="shared" si="144"/>
        <v>96.700732426680929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98.824765347723115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5.3326837481255697E-16</v>
      </c>
      <c r="AX164" s="21">
        <f t="shared" si="166"/>
        <v>98.824765347723115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-2.2737367544323206E-13</v>
      </c>
      <c r="BE164" s="13">
        <f>BD164*VLOOKUP('Données projet'!$B$11,Paramètres!$A$1:$I$89,3,0)*VLOOKUP('Données projet'!$B$11,Paramètres!$A$1:$I$89,5,0)</f>
        <v>-1.915395841933787E-13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328.34986205643321</v>
      </c>
      <c r="BJ164" s="59">
        <f t="shared" si="146"/>
        <v>251.60894449147008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135.90072979366857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2.8154898366394856E-17</v>
      </c>
      <c r="BS164" s="22">
        <f t="shared" si="169"/>
        <v>135.90072979366857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-2.2737367544323206E-13</v>
      </c>
      <c r="BZ164" s="13">
        <f>BY164*VLOOKUP('Données projet'!$B$12,Paramètres!$A$1:$I$89,3,0)*VLOOKUP('Données projet'!$B$12,Paramètres!$A$1:$I$89,5,0)</f>
        <v>-2.0572770154103635E-13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360.44607552967267</v>
      </c>
      <c r="CE164" s="59">
        <f t="shared" si="148"/>
        <v>271.54361159160169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145.96745051912549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3.0240446393535231E-17</v>
      </c>
      <c r="CN164" s="22">
        <f t="shared" si="172"/>
        <v>145.96745051912549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309.89554000341082</v>
      </c>
      <c r="CZ164" s="59">
        <f t="shared" si="150"/>
        <v>465.9235824539021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18.948983611461617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1.6416246005212351E-16</v>
      </c>
      <c r="DI164" s="22">
        <f t="shared" si="175"/>
        <v>18.948983611461617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-1.4897523215040567E-13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281.82797419088109</v>
      </c>
      <c r="T165" s="59">
        <f t="shared" si="142"/>
        <v>298.98873283425371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44.18398101307686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4.8666005612276698E-17</v>
      </c>
      <c r="AC165" s="22">
        <f t="shared" si="163"/>
        <v>44.18398101307686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-3.694822225952521E-13</v>
      </c>
      <c r="AJ165" s="13">
        <f>AI165*VLOOKUP('Données projet'!$B$10,Paramètres!$A$1:$I$89,3,0)*VLOOKUP('Données projet'!$B$10,Paramètres!$A$1:$I$89,5,0)</f>
        <v>-3.6889105103909971E-13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206.53345322763442</v>
      </c>
      <c r="AO165" s="59">
        <f t="shared" si="144"/>
        <v>96.700732426680929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96.886871976409253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3.7707768402228853E-16</v>
      </c>
      <c r="AX165" s="21">
        <f t="shared" si="166"/>
        <v>96.886871976409253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-2.2737367544323206E-13</v>
      </c>
      <c r="BE165" s="13">
        <f>BD165*VLOOKUP('Données projet'!$B$11,Paramètres!$A$1:$I$89,3,0)*VLOOKUP('Données projet'!$B$11,Paramètres!$A$1:$I$89,5,0)</f>
        <v>-1.915395841933787E-13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328.34986205643321</v>
      </c>
      <c r="BJ165" s="59">
        <f t="shared" si="146"/>
        <v>251.60894449147008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133.23579937367506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1.9908519558495852E-17</v>
      </c>
      <c r="BS165" s="22">
        <f t="shared" si="169"/>
        <v>133.23579937367506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-2.2737367544323206E-13</v>
      </c>
      <c r="BZ165" s="13">
        <f>BY165*VLOOKUP('Données projet'!$B$12,Paramètres!$A$1:$I$89,3,0)*VLOOKUP('Données projet'!$B$12,Paramètres!$A$1:$I$89,5,0)</f>
        <v>-2.0572770154103635E-13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360.44607552967267</v>
      </c>
      <c r="CE165" s="59">
        <f t="shared" si="148"/>
        <v>271.54361159160169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143.10511784579913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2.1383224710977037E-17</v>
      </c>
      <c r="CN165" s="22">
        <f t="shared" si="172"/>
        <v>143.10511784579913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309.89554000341082</v>
      </c>
      <c r="CZ165" s="59">
        <f t="shared" si="150"/>
        <v>465.9235824539021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18.577405600579628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1.1608038871912224E-16</v>
      </c>
      <c r="DI165" s="22">
        <f t="shared" si="175"/>
        <v>18.577405600579628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-1.4897523215040567E-13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281.82797419088109</v>
      </c>
      <c r="T166" s="59">
        <f t="shared" si="142"/>
        <v>298.98873283425371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43.317560094977793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3.4412062581703433E-17</v>
      </c>
      <c r="AC166" s="22">
        <f t="shared" si="163"/>
        <v>43.317560094977793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-3.694822225952521E-13</v>
      </c>
      <c r="AJ166" s="13">
        <f>AI166*VLOOKUP('Données projet'!$B$10,Paramètres!$A$1:$I$89,3,0)*VLOOKUP('Données projet'!$B$10,Paramètres!$A$1:$I$89,5,0)</f>
        <v>-3.6889105103909971E-13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206.53345322763442</v>
      </c>
      <c r="AO166" s="59">
        <f t="shared" si="144"/>
        <v>96.700732426680929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94.986979512108604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2.6663418740627848E-16</v>
      </c>
      <c r="AX166" s="21">
        <f t="shared" si="166"/>
        <v>94.986979512108604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-2.2737367544323206E-13</v>
      </c>
      <c r="BE166" s="13">
        <f>BD166*VLOOKUP('Données projet'!$B$11,Paramètres!$A$1:$I$89,3,0)*VLOOKUP('Données projet'!$B$11,Paramètres!$A$1:$I$89,5,0)</f>
        <v>-1.915395841933787E-13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328.34986205643321</v>
      </c>
      <c r="BJ166" s="59">
        <f t="shared" si="146"/>
        <v>251.60894449147008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130.62312661377058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1.4077449183197428E-17</v>
      </c>
      <c r="BS166" s="22">
        <f t="shared" si="169"/>
        <v>130.62312661377058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-2.2737367544323206E-13</v>
      </c>
      <c r="BZ166" s="13">
        <f>BY166*VLOOKUP('Données projet'!$B$12,Paramètres!$A$1:$I$89,3,0)*VLOOKUP('Données projet'!$B$12,Paramètres!$A$1:$I$89,5,0)</f>
        <v>-2.0572770154103635E-13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360.44607552967267</v>
      </c>
      <c r="CE166" s="59">
        <f t="shared" si="148"/>
        <v>271.54361159160169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140.29891377034616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1.5120223196767616E-17</v>
      </c>
      <c r="CN166" s="22">
        <f t="shared" si="172"/>
        <v>140.29891377034616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309.89554000341082</v>
      </c>
      <c r="CZ166" s="59">
        <f t="shared" si="150"/>
        <v>465.9235824539021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18.213114007850823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8.2081230026061753E-17</v>
      </c>
      <c r="DI166" s="22">
        <f t="shared" si="175"/>
        <v>18.213114007850823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-1.4897523215040567E-13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281.82797419088109</v>
      </c>
      <c r="T167" s="59">
        <f t="shared" si="142"/>
        <v>298.98873283425371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42.468129162618069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2.4333002806138349E-17</v>
      </c>
      <c r="AC167" s="22">
        <f t="shared" si="163"/>
        <v>42.468129162618069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-3.694822225952521E-13</v>
      </c>
      <c r="AJ167" s="13">
        <f>AI167*VLOOKUP('Données projet'!$B$10,Paramètres!$A$1:$I$89,3,0)*VLOOKUP('Données projet'!$B$10,Paramètres!$A$1:$I$89,5,0)</f>
        <v>-3.6889105103909971E-13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206.53345322763442</v>
      </c>
      <c r="AO167" s="59">
        <f t="shared" si="144"/>
        <v>96.700732426680929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93.124342780212913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1.8853884201114427E-16</v>
      </c>
      <c r="AX167" s="21">
        <f t="shared" si="166"/>
        <v>93.124342780212913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-2.2737367544323206E-13</v>
      </c>
      <c r="BE167" s="13">
        <f>BD167*VLOOKUP('Données projet'!$B$11,Paramètres!$A$1:$I$89,3,0)*VLOOKUP('Données projet'!$B$11,Paramètres!$A$1:$I$89,5,0)</f>
        <v>-1.915395841933787E-13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328.34986205643321</v>
      </c>
      <c r="BJ167" s="59">
        <f t="shared" si="146"/>
        <v>251.60894449147008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128.06168677311479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9.9542597792479258E-18</v>
      </c>
      <c r="BS167" s="22">
        <f t="shared" si="169"/>
        <v>128.06168677311479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-2.2737367544323206E-13</v>
      </c>
      <c r="BZ167" s="13">
        <f>BY167*VLOOKUP('Données projet'!$B$12,Paramètres!$A$1:$I$89,3,0)*VLOOKUP('Données projet'!$B$12,Paramètres!$A$1:$I$89,5,0)</f>
        <v>-2.0572770154103635E-13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360.44607552967267</v>
      </c>
      <c r="CE167" s="59">
        <f t="shared" si="148"/>
        <v>271.54361159160169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137.54773764519734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1.0691612355488519E-17</v>
      </c>
      <c r="CN167" s="22">
        <f t="shared" si="172"/>
        <v>137.54773764519734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309.89554000341082</v>
      </c>
      <c r="CZ167" s="59">
        <f t="shared" si="150"/>
        <v>465.9235824539021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17.855965951059499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5.8040194359561121E-17</v>
      </c>
      <c r="DI167" s="22">
        <f t="shared" si="175"/>
        <v>17.855965951059499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-1.4897523215040567E-13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281.82797419088109</v>
      </c>
      <c r="T168" s="59">
        <f t="shared" si="142"/>
        <v>298.98873283425371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41.635355052740209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1.7206031290851716E-17</v>
      </c>
      <c r="AC168" s="22">
        <f t="shared" si="163"/>
        <v>41.635355052740209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-3.694822225952521E-13</v>
      </c>
      <c r="AJ168" s="13">
        <f>AI168*VLOOKUP('Données projet'!$B$10,Paramètres!$A$1:$I$89,3,0)*VLOOKUP('Données projet'!$B$10,Paramètres!$A$1:$I$89,5,0)</f>
        <v>-3.6889105103909971E-13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206.53345322763442</v>
      </c>
      <c r="AO168" s="59">
        <f t="shared" si="144"/>
        <v>96.700732426680929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91.298231218533473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1.3331709370313924E-16</v>
      </c>
      <c r="AX168" s="21">
        <f t="shared" si="166"/>
        <v>91.298231218533473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-2.2737367544323206E-13</v>
      </c>
      <c r="BE168" s="13">
        <f>BD168*VLOOKUP('Données projet'!$B$11,Paramètres!$A$1:$I$89,3,0)*VLOOKUP('Données projet'!$B$11,Paramètres!$A$1:$I$89,5,0)</f>
        <v>-1.915395841933787E-13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328.34986205643321</v>
      </c>
      <c r="BJ168" s="59">
        <f t="shared" si="146"/>
        <v>251.60894449147008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125.55047520541022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7.0387245915987139E-18</v>
      </c>
      <c r="BS168" s="22">
        <f t="shared" si="169"/>
        <v>125.55047520541022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-2.2737367544323206E-13</v>
      </c>
      <c r="BZ168" s="13">
        <f>BY168*VLOOKUP('Données projet'!$B$12,Paramètres!$A$1:$I$89,3,0)*VLOOKUP('Données projet'!$B$12,Paramètres!$A$1:$I$89,5,0)</f>
        <v>-2.0572770154103635E-13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360.44607552967267</v>
      </c>
      <c r="CE168" s="59">
        <f t="shared" si="148"/>
        <v>271.54361159160169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134.85051040581095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7.5601115983838079E-18</v>
      </c>
      <c r="CN168" s="22">
        <f t="shared" si="172"/>
        <v>134.85051040581095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309.89554000341082</v>
      </c>
      <c r="CZ168" s="59">
        <f t="shared" si="150"/>
        <v>465.9235824539021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17.505821349823048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4.1040615013030877E-17</v>
      </c>
      <c r="DI168" s="22">
        <f t="shared" si="175"/>
        <v>17.505821349823048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-1.4897523215040567E-13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281.82797419088109</v>
      </c>
      <c r="T169" s="59">
        <f t="shared" si="142"/>
        <v>298.98873283425371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40.818911135215004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1.2166501403069175E-17</v>
      </c>
      <c r="AC169" s="22">
        <f t="shared" si="163"/>
        <v>40.818911135215004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-3.694822225952521E-13</v>
      </c>
      <c r="AJ169" s="13">
        <f>AI169*VLOOKUP('Données projet'!$B$10,Paramètres!$A$1:$I$89,3,0)*VLOOKUP('Données projet'!$B$10,Paramètres!$A$1:$I$89,5,0)</f>
        <v>-3.6889105103909971E-13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206.53345322763442</v>
      </c>
      <c r="AO169" s="59">
        <f t="shared" si="144"/>
        <v>96.700732426680929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89.5079285907605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9.4269421005572133E-17</v>
      </c>
      <c r="AX169" s="21">
        <f t="shared" si="166"/>
        <v>89.5079285907605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-2.2737367544323206E-13</v>
      </c>
      <c r="BE169" s="13">
        <f>BD169*VLOOKUP('Données projet'!$B$11,Paramètres!$A$1:$I$89,3,0)*VLOOKUP('Données projet'!$B$11,Paramètres!$A$1:$I$89,5,0)</f>
        <v>-1.915395841933787E-13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328.34986205643321</v>
      </c>
      <c r="BJ169" s="59">
        <f t="shared" si="146"/>
        <v>251.60894449147008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123.08850696486053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4.9771298896239629E-18</v>
      </c>
      <c r="BS169" s="22">
        <f t="shared" si="169"/>
        <v>123.08850696486053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-2.2737367544323206E-13</v>
      </c>
      <c r="BZ169" s="13">
        <f>BY169*VLOOKUP('Données projet'!$B$12,Paramètres!$A$1:$I$89,3,0)*VLOOKUP('Données projet'!$B$12,Paramètres!$A$1:$I$89,5,0)</f>
        <v>-2.0572770154103635E-13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360.44607552967267</v>
      </c>
      <c r="CE169" s="59">
        <f t="shared" si="148"/>
        <v>271.54361159160169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132.20617414744277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5.3458061777442593E-18</v>
      </c>
      <c r="CN169" s="22">
        <f t="shared" si="172"/>
        <v>132.20617414744277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309.89554000341082</v>
      </c>
      <c r="CZ169" s="59">
        <f t="shared" si="150"/>
        <v>465.9235824539021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17.162542870649727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2.9020097179780561E-17</v>
      </c>
      <c r="DI169" s="22">
        <f t="shared" si="175"/>
        <v>17.162542870649727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-1.4897523215040567E-13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281.82797419088109</v>
      </c>
      <c r="T170" s="59">
        <f t="shared" si="142"/>
        <v>298.98873283425371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40.018477184930845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8.6030156454258582E-18</v>
      </c>
      <c r="AC170" s="22">
        <f t="shared" si="163"/>
        <v>40.018477184930845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-3.694822225952521E-13</v>
      </c>
      <c r="AJ170" s="13">
        <f>AI170*VLOOKUP('Données projet'!$B$10,Paramètres!$A$1:$I$89,3,0)*VLOOKUP('Données projet'!$B$10,Paramètres!$A$1:$I$89,5,0)</f>
        <v>-3.6889105103909971E-13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206.53345322763442</v>
      </c>
      <c r="AO170" s="59">
        <f t="shared" si="144"/>
        <v>96.700732426680929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87.752732705541376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6.6658546851569621E-17</v>
      </c>
      <c r="AX170" s="21">
        <f t="shared" si="166"/>
        <v>87.752732705541376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-2.2737367544323206E-13</v>
      </c>
      <c r="BE170" s="13">
        <f>BD170*VLOOKUP('Données projet'!$B$11,Paramètres!$A$1:$I$89,3,0)*VLOOKUP('Données projet'!$B$11,Paramètres!$A$1:$I$89,5,0)</f>
        <v>-1.915395841933787E-13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328.34986205643321</v>
      </c>
      <c r="BJ170" s="59">
        <f t="shared" si="146"/>
        <v>251.60894449147008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120.67481641985566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3.519362295799357E-18</v>
      </c>
      <c r="BS170" s="22">
        <f t="shared" si="169"/>
        <v>120.67481641985566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-2.2737367544323206E-13</v>
      </c>
      <c r="BZ170" s="13">
        <f>BY170*VLOOKUP('Données projet'!$B$12,Paramètres!$A$1:$I$89,3,0)*VLOOKUP('Données projet'!$B$12,Paramètres!$A$1:$I$89,5,0)</f>
        <v>-2.0572770154103635E-13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360.44607552967267</v>
      </c>
      <c r="CE170" s="59">
        <f t="shared" si="148"/>
        <v>271.54361159160169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129.61369171021533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3.7800557991919039E-18</v>
      </c>
      <c r="CN170" s="22">
        <f t="shared" si="172"/>
        <v>129.61369171021533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309.89554000341082</v>
      </c>
      <c r="CZ170" s="59">
        <f t="shared" si="150"/>
        <v>465.9235824539021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16.825995873073797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2.0520307506515438E-17</v>
      </c>
      <c r="DI170" s="22">
        <f t="shared" si="175"/>
        <v>16.825995873073797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-1.4897523215040567E-13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281.82797419088109</v>
      </c>
      <c r="T171" s="59">
        <f t="shared" si="142"/>
        <v>298.98873283425371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39.233739256195257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6.0832507015345873E-18</v>
      </c>
      <c r="AC171" s="22">
        <f t="shared" si="163"/>
        <v>39.233739256195257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-3.694822225952521E-13</v>
      </c>
      <c r="AJ171" s="13">
        <f>AI171*VLOOKUP('Données projet'!$B$10,Paramètres!$A$1:$I$89,3,0)*VLOOKUP('Données projet'!$B$10,Paramètres!$A$1:$I$89,5,0)</f>
        <v>-3.6889105103909971E-13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206.53345322763442</v>
      </c>
      <c r="AO171" s="59">
        <f t="shared" si="144"/>
        <v>96.700732426680929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86.031955141067613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4.7134710502786067E-17</v>
      </c>
      <c r="AX171" s="21">
        <f t="shared" si="166"/>
        <v>86.031955141067613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-2.2737367544323206E-13</v>
      </c>
      <c r="BE171" s="13">
        <f>BD171*VLOOKUP('Données projet'!$B$11,Paramètres!$A$1:$I$89,3,0)*VLOOKUP('Données projet'!$B$11,Paramètres!$A$1:$I$89,5,0)</f>
        <v>-1.915395841933787E-13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328.34986205643321</v>
      </c>
      <c r="BJ171" s="59">
        <f t="shared" si="146"/>
        <v>251.60894449147008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118.30845687423248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2.4885649448119815E-18</v>
      </c>
      <c r="BS171" s="22">
        <f t="shared" si="169"/>
        <v>118.30845687423248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-2.2737367544323206E-13</v>
      </c>
      <c r="BZ171" s="13">
        <f>BY171*VLOOKUP('Données projet'!$B$12,Paramètres!$A$1:$I$89,3,0)*VLOOKUP('Données projet'!$B$12,Paramètres!$A$1:$I$89,5,0)</f>
        <v>-2.0572770154103635E-13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360.44607552967267</v>
      </c>
      <c r="CE171" s="59">
        <f t="shared" si="148"/>
        <v>271.54361159160169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127.07204627232377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2.6729030888721297E-18</v>
      </c>
      <c r="CN171" s="22">
        <f t="shared" si="172"/>
        <v>127.07204627232377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309.89554000341082</v>
      </c>
      <c r="CZ171" s="59">
        <f t="shared" si="150"/>
        <v>465.9235824539021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16.496048356846931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1.451004858989028E-17</v>
      </c>
      <c r="DI171" s="22">
        <f t="shared" si="175"/>
        <v>16.496048356846931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-1.4897523215040567E-13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281.82797419088109</v>
      </c>
      <c r="T172" s="59">
        <f t="shared" si="142"/>
        <v>298.98873283425371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38.464389559599304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4.3015078227129291E-18</v>
      </c>
      <c r="AC172" s="22">
        <f t="shared" si="163"/>
        <v>38.464389559599304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-3.694822225952521E-13</v>
      </c>
      <c r="AJ172" s="13">
        <f>AI172*VLOOKUP('Données projet'!$B$10,Paramètres!$A$1:$I$89,3,0)*VLOOKUP('Données projet'!$B$10,Paramètres!$A$1:$I$89,5,0)</f>
        <v>-3.6889105103909971E-13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206.53345322763442</v>
      </c>
      <c r="AO172" s="59">
        <f t="shared" si="144"/>
        <v>96.700732426680929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84.344920975062507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3.332927342578481E-17</v>
      </c>
      <c r="AX172" s="21">
        <f t="shared" si="166"/>
        <v>84.344920975062507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-2.2737367544323206E-13</v>
      </c>
      <c r="BE172" s="13">
        <f>BD172*VLOOKUP('Données projet'!$B$11,Paramètres!$A$1:$I$89,3,0)*VLOOKUP('Données projet'!$B$11,Paramètres!$A$1:$I$89,5,0)</f>
        <v>-1.915395841933787E-13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328.34986205643321</v>
      </c>
      <c r="BJ172" s="59">
        <f t="shared" si="146"/>
        <v>251.60894449147008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115.98850019596216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1.7596811478996785E-18</v>
      </c>
      <c r="BS172" s="22">
        <f t="shared" si="169"/>
        <v>115.98850019596216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-2.2737367544323206E-13</v>
      </c>
      <c r="BZ172" s="13">
        <f>BY172*VLOOKUP('Données projet'!$B$12,Paramètres!$A$1:$I$89,3,0)*VLOOKUP('Données projet'!$B$12,Paramètres!$A$1:$I$89,5,0)</f>
        <v>-2.0572770154103635E-13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360.44607552967267</v>
      </c>
      <c r="CE172" s="59">
        <f t="shared" si="148"/>
        <v>271.54361159160169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124.58024095121863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1.890027899595952E-18</v>
      </c>
      <c r="CN172" s="22">
        <f t="shared" si="172"/>
        <v>124.58024095121863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309.89554000341082</v>
      </c>
      <c r="CZ172" s="59">
        <f t="shared" si="150"/>
        <v>465.9235824539021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16.17257091016516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1.0260153753257719E-17</v>
      </c>
      <c r="DI172" s="22">
        <f t="shared" si="175"/>
        <v>16.17257091016516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-1.4897523215040567E-13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281.82797419088109</v>
      </c>
      <c r="T173" s="59">
        <f t="shared" si="142"/>
        <v>298.98873283425371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37.710126341296615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3.0416253507672937E-18</v>
      </c>
      <c r="AC173" s="22">
        <f t="shared" si="163"/>
        <v>37.710126341296615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-3.694822225952521E-13</v>
      </c>
      <c r="AJ173" s="13">
        <f>AI173*VLOOKUP('Données projet'!$B$10,Paramètres!$A$1:$I$89,3,0)*VLOOKUP('Données projet'!$B$10,Paramètres!$A$1:$I$89,5,0)</f>
        <v>-3.6889105103909971E-13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206.53345322763442</v>
      </c>
      <c r="AO173" s="59">
        <f t="shared" si="144"/>
        <v>96.700732426680929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82.690968520063521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2.3567355251393033E-17</v>
      </c>
      <c r="AX173" s="21">
        <f t="shared" si="166"/>
        <v>82.690968520063521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-2.2737367544323206E-13</v>
      </c>
      <c r="BE173" s="13">
        <f>BD173*VLOOKUP('Données projet'!$B$11,Paramètres!$A$1:$I$89,3,0)*VLOOKUP('Données projet'!$B$11,Paramètres!$A$1:$I$89,5,0)</f>
        <v>-1.915395841933787E-13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328.34986205643321</v>
      </c>
      <c r="BJ173" s="59">
        <f t="shared" si="146"/>
        <v>251.60894449147008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113.71403645311888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1.2442824724059907E-18</v>
      </c>
      <c r="BS173" s="22">
        <f t="shared" si="169"/>
        <v>113.71403645311888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-2.2737367544323206E-13</v>
      </c>
      <c r="BZ173" s="13">
        <f>BY173*VLOOKUP('Données projet'!$B$12,Paramètres!$A$1:$I$89,3,0)*VLOOKUP('Données projet'!$B$12,Paramètres!$A$1:$I$89,5,0)</f>
        <v>-2.0572770154103635E-13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360.44607552967267</v>
      </c>
      <c r="CE173" s="59">
        <f t="shared" si="148"/>
        <v>271.54361159160169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122.13729841260917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1.3364515444360648E-18</v>
      </c>
      <c r="CN173" s="22">
        <f t="shared" si="172"/>
        <v>122.13729841260917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309.89554000341082</v>
      </c>
      <c r="CZ173" s="59">
        <f t="shared" si="150"/>
        <v>465.9235824539021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15.855436658911058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7.2550242949451402E-18</v>
      </c>
      <c r="DI173" s="22">
        <f t="shared" si="175"/>
        <v>15.855436658911058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-1.4897523215040567E-13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281.82797419088109</v>
      </c>
      <c r="T174" s="59">
        <f t="shared" si="142"/>
        <v>298.98873283425371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36.970653764649704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2.1507539113564645E-18</v>
      </c>
      <c r="AC174" s="22">
        <f t="shared" si="163"/>
        <v>36.970653764649704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-3.694822225952521E-13</v>
      </c>
      <c r="AJ174" s="13">
        <f>AI174*VLOOKUP('Données projet'!$B$10,Paramètres!$A$1:$I$89,3,0)*VLOOKUP('Données projet'!$B$10,Paramètres!$A$1:$I$89,5,0)</f>
        <v>-3.6889105103909971E-13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206.53345322763442</v>
      </c>
      <c r="AO174" s="59">
        <f t="shared" si="144"/>
        <v>96.700732426680929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81.069449063895675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1.6664636712892405E-17</v>
      </c>
      <c r="AX174" s="21">
        <f t="shared" si="166"/>
        <v>81.069449063895675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-2.2737367544323206E-13</v>
      </c>
      <c r="BE174" s="13">
        <f>BD174*VLOOKUP('Données projet'!$B$11,Paramètres!$A$1:$I$89,3,0)*VLOOKUP('Données projet'!$B$11,Paramètres!$A$1:$I$89,5,0)</f>
        <v>-1.915395841933787E-13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328.34986205643321</v>
      </c>
      <c r="BJ174" s="59">
        <f t="shared" si="146"/>
        <v>251.60894449147008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111.48417355698685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8.7984057394983924E-19</v>
      </c>
      <c r="BS174" s="22">
        <f t="shared" si="169"/>
        <v>111.48417355698685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-2.2737367544323206E-13</v>
      </c>
      <c r="BZ174" s="13">
        <f>BY174*VLOOKUP('Données projet'!$B$12,Paramètres!$A$1:$I$89,3,0)*VLOOKUP('Données projet'!$B$12,Paramètres!$A$1:$I$89,5,0)</f>
        <v>-2.0572770154103635E-13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360.44607552967267</v>
      </c>
      <c r="CE174" s="59">
        <f t="shared" si="148"/>
        <v>271.54361159160169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119.74226048713403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9.4501394979797598E-19</v>
      </c>
      <c r="CN174" s="22">
        <f t="shared" si="172"/>
        <v>119.74226048713403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309.89554000341082</v>
      </c>
      <c r="CZ174" s="59">
        <f t="shared" si="150"/>
        <v>465.9235824539021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15.544521216891257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5.1300768766288596E-18</v>
      </c>
      <c r="DI174" s="22">
        <f t="shared" si="175"/>
        <v>15.544521216891257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-1.4897523215040567E-13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281.82797419088109</v>
      </c>
      <c r="T175" s="59">
        <f t="shared" si="142"/>
        <v>298.98873283425371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36.245681794197104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1.5208126753836468E-18</v>
      </c>
      <c r="AC175" s="22">
        <f t="shared" si="163"/>
        <v>36.245681794197104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-3.694822225952521E-13</v>
      </c>
      <c r="AJ175" s="13">
        <f>AI175*VLOOKUP('Données projet'!$B$10,Paramètres!$A$1:$I$89,3,0)*VLOOKUP('Données projet'!$B$10,Paramètres!$A$1:$I$89,5,0)</f>
        <v>-3.6889105103909971E-13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206.53345322763442</v>
      </c>
      <c r="AO175" s="59">
        <f t="shared" si="144"/>
        <v>96.700732426680929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79.479726615234071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1.1783677625696517E-17</v>
      </c>
      <c r="AX175" s="21">
        <f t="shared" si="166"/>
        <v>79.479726615234071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-2.2737367544323206E-13</v>
      </c>
      <c r="BE175" s="13">
        <f>BD175*VLOOKUP('Données projet'!$B$11,Paramètres!$A$1:$I$89,3,0)*VLOOKUP('Données projet'!$B$11,Paramètres!$A$1:$I$89,5,0)</f>
        <v>-1.915395841933787E-13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328.34986205643321</v>
      </c>
      <c r="BJ175" s="59">
        <f t="shared" si="146"/>
        <v>251.60894449147008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109.2980369121659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6.2214123620299536E-19</v>
      </c>
      <c r="BS175" s="22">
        <f t="shared" si="169"/>
        <v>109.2980369121659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-2.2737367544323206E-13</v>
      </c>
      <c r="BZ175" s="13">
        <f>BY175*VLOOKUP('Données projet'!$B$12,Paramètres!$A$1:$I$89,3,0)*VLOOKUP('Données projet'!$B$12,Paramètres!$A$1:$I$89,5,0)</f>
        <v>-2.0572770154103635E-13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360.44607552967267</v>
      </c>
      <c r="CE175" s="59">
        <f t="shared" si="148"/>
        <v>271.54361159160169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117.39418779454857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6.6822577221803241E-19</v>
      </c>
      <c r="CN175" s="22">
        <f t="shared" si="172"/>
        <v>117.39418779454857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309.89554000341082</v>
      </c>
      <c r="CZ175" s="59">
        <f t="shared" si="150"/>
        <v>465.9235824539021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15.239702637049769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3.6275121474725701E-18</v>
      </c>
      <c r="DI175" s="22">
        <f t="shared" si="175"/>
        <v>15.239702637049769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-1.4897523215040567E-13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281.82797419088109</v>
      </c>
      <c r="T176" s="59">
        <f t="shared" si="142"/>
        <v>298.98873283425371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35.53492608189584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1.0753769556782323E-18</v>
      </c>
      <c r="AC176" s="22">
        <f t="shared" si="163"/>
        <v>35.53492608189584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-3.694822225952521E-13</v>
      </c>
      <c r="AJ176" s="13">
        <f>AI176*VLOOKUP('Données projet'!$B$10,Paramètres!$A$1:$I$89,3,0)*VLOOKUP('Données projet'!$B$10,Paramètres!$A$1:$I$89,5,0)</f>
        <v>-3.6889105103909971E-13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206.53345322763442</v>
      </c>
      <c r="AO176" s="59">
        <f t="shared" si="144"/>
        <v>96.700732426680929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77.92117765415577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8.3323183564462026E-18</v>
      </c>
      <c r="AX176" s="21">
        <f t="shared" si="166"/>
        <v>77.92117765415577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-2.2737367544323206E-13</v>
      </c>
      <c r="BE176" s="13">
        <f>BD176*VLOOKUP('Données projet'!$B$11,Paramètres!$A$1:$I$89,3,0)*VLOOKUP('Données projet'!$B$11,Paramètres!$A$1:$I$89,5,0)</f>
        <v>-1.915395841933787E-13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328.34986205643321</v>
      </c>
      <c r="BJ176" s="59">
        <f t="shared" si="146"/>
        <v>251.60894449147008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107.15476907353819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4.3992028697491962E-19</v>
      </c>
      <c r="BS176" s="22">
        <f t="shared" si="169"/>
        <v>107.15476907353819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-2.2737367544323206E-13</v>
      </c>
      <c r="BZ176" s="13">
        <f>BY176*VLOOKUP('Données projet'!$B$12,Paramètres!$A$1:$I$89,3,0)*VLOOKUP('Données projet'!$B$12,Paramètres!$A$1:$I$89,5,0)</f>
        <v>-2.0572770154103635E-13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360.44607552967267</v>
      </c>
      <c r="CE176" s="59">
        <f t="shared" si="148"/>
        <v>271.54361159160169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115.09215937528178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4.7250697489898799E-19</v>
      </c>
      <c r="CN176" s="22">
        <f t="shared" si="172"/>
        <v>115.09215937528178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309.89554000341082</v>
      </c>
      <c r="CZ176" s="59">
        <f t="shared" si="150"/>
        <v>465.9235824539021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14.940861363637996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2.5650384383144298E-18</v>
      </c>
      <c r="DI176" s="22">
        <f t="shared" si="175"/>
        <v>14.940861363637996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-1.4897523215040567E-13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281.82797419088109</v>
      </c>
      <c r="T177" s="59">
        <f t="shared" si="142"/>
        <v>298.98873283425371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34.838107855594629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7.6040633769182341E-19</v>
      </c>
      <c r="AC177" s="22">
        <f t="shared" si="163"/>
        <v>34.838107855594629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-3.694822225952521E-13</v>
      </c>
      <c r="AJ177" s="13">
        <f>AI177*VLOOKUP('Données projet'!$B$10,Paramètres!$A$1:$I$89,3,0)*VLOOKUP('Données projet'!$B$10,Paramètres!$A$1:$I$89,5,0)</f>
        <v>-3.6889105103909971E-13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206.53345322763442</v>
      </c>
      <c r="AO177" s="59">
        <f t="shared" si="144"/>
        <v>96.700732426680929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76.393190887583216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5.8918388128482583E-18</v>
      </c>
      <c r="AX177" s="21">
        <f t="shared" si="166"/>
        <v>76.393190887583216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-2.2737367544323206E-13</v>
      </c>
      <c r="BE177" s="13">
        <f>BD177*VLOOKUP('Données projet'!$B$11,Paramètres!$A$1:$I$89,3,0)*VLOOKUP('Données projet'!$B$11,Paramètres!$A$1:$I$89,5,0)</f>
        <v>-1.915395841933787E-13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328.34986205643321</v>
      </c>
      <c r="BJ177" s="59">
        <f t="shared" si="146"/>
        <v>251.60894449147008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105.05352940996168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3.1107061810149768E-19</v>
      </c>
      <c r="BS177" s="22">
        <f t="shared" si="169"/>
        <v>105.05352940996168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-2.2737367544323206E-13</v>
      </c>
      <c r="BZ177" s="13">
        <f>BY177*VLOOKUP('Données projet'!$B$12,Paramètres!$A$1:$I$89,3,0)*VLOOKUP('Données projet'!$B$12,Paramètres!$A$1:$I$89,5,0)</f>
        <v>-2.0572770154103635E-13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360.44607552967267</v>
      </c>
      <c r="CE177" s="59">
        <f t="shared" si="148"/>
        <v>271.54361159160169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112.83527232921811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3.3411288610901621E-19</v>
      </c>
      <c r="CN177" s="22">
        <f t="shared" si="172"/>
        <v>112.83527232921811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309.89554000341082</v>
      </c>
      <c r="CZ177" s="59">
        <f t="shared" si="150"/>
        <v>465.9235824539021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14.64788018532265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1.813756073736285E-18</v>
      </c>
      <c r="DI177" s="22">
        <f t="shared" si="175"/>
        <v>14.64788018532265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-1.4897523215040567E-13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281.82797419088109</v>
      </c>
      <c r="T178" s="59">
        <f t="shared" si="142"/>
        <v>298.98873283425371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34.154953809694028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5.3768847783911614E-19</v>
      </c>
      <c r="AC178" s="22">
        <f t="shared" si="163"/>
        <v>34.154953809694028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-3.694822225952521E-13</v>
      </c>
      <c r="AJ178" s="13">
        <f>AI178*VLOOKUP('Données projet'!$B$10,Paramètres!$A$1:$I$89,3,0)*VLOOKUP('Données projet'!$B$10,Paramètres!$A$1:$I$89,5,0)</f>
        <v>-3.6889105103909971E-13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206.53345322763442</v>
      </c>
      <c r="AO178" s="59">
        <f t="shared" si="144"/>
        <v>96.700732426680929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74.895167009523249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4.1661591782231013E-18</v>
      </c>
      <c r="AX178" s="21">
        <f t="shared" si="166"/>
        <v>74.895167009523249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-2.2737367544323206E-13</v>
      </c>
      <c r="BE178" s="13">
        <f>BD178*VLOOKUP('Données projet'!$B$11,Paramètres!$A$1:$I$89,3,0)*VLOOKUP('Données projet'!$B$11,Paramètres!$A$1:$I$89,5,0)</f>
        <v>-1.915395841933787E-13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328.34986205643321</v>
      </c>
      <c r="BJ178" s="59">
        <f t="shared" si="146"/>
        <v>251.60894449147008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102.99349377455826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2.1996014348745981E-19</v>
      </c>
      <c r="BS178" s="22">
        <f t="shared" si="169"/>
        <v>102.99349377455826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-2.2737367544323206E-13</v>
      </c>
      <c r="BZ178" s="13">
        <f>BY178*VLOOKUP('Données projet'!$B$12,Paramètres!$A$1:$I$89,3,0)*VLOOKUP('Données projet'!$B$12,Paramètres!$A$1:$I$89,5,0)</f>
        <v>-2.0572770154103635E-13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360.44607552967267</v>
      </c>
      <c r="CE178" s="59">
        <f t="shared" si="148"/>
        <v>271.54361159160169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110.62264146156259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2.36253487449494E-19</v>
      </c>
      <c r="CN178" s="22">
        <f t="shared" si="172"/>
        <v>110.62264146156259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309.89554000341082</v>
      </c>
      <c r="CZ178" s="59">
        <f t="shared" si="150"/>
        <v>465.9235824539021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14.360644189213195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1.2825192191572149E-18</v>
      </c>
      <c r="DI178" s="22">
        <f t="shared" si="175"/>
        <v>14.360644189213195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-1.4897523215040567E-13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281.82797419088109</v>
      </c>
      <c r="T179" s="59">
        <f t="shared" si="142"/>
        <v>298.98873283425371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33.485195997950719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3.8020316884591171E-19</v>
      </c>
      <c r="AC179" s="22">
        <f t="shared" si="163"/>
        <v>33.485195997950719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-3.694822225952521E-13</v>
      </c>
      <c r="AJ179" s="13">
        <f>AI179*VLOOKUP('Données projet'!$B$10,Paramètres!$A$1:$I$89,3,0)*VLOOKUP('Données projet'!$B$10,Paramètres!$A$1:$I$89,5,0)</f>
        <v>-3.6889105103909971E-13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206.53345322763442</v>
      </c>
      <c r="AO179" s="59">
        <f t="shared" si="144"/>
        <v>96.700732426680929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73.426518466007693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2.9459194064241292E-18</v>
      </c>
      <c r="AX179" s="21">
        <f t="shared" si="166"/>
        <v>73.426518466007693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-2.2737367544323206E-13</v>
      </c>
      <c r="BE179" s="13">
        <f>BD179*VLOOKUP('Données projet'!$B$11,Paramètres!$A$1:$I$89,3,0)*VLOOKUP('Données projet'!$B$11,Paramètres!$A$1:$I$89,5,0)</f>
        <v>-1.915395841933787E-13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328.34986205643321</v>
      </c>
      <c r="BJ179" s="59">
        <f t="shared" si="146"/>
        <v>251.60894449147008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100.97385418146743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1.5553530905074884E-19</v>
      </c>
      <c r="BS179" s="22">
        <f t="shared" si="169"/>
        <v>100.97385418146743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-2.2737367544323206E-13</v>
      </c>
      <c r="BZ179" s="13">
        <f>BY179*VLOOKUP('Données projet'!$B$12,Paramètres!$A$1:$I$89,3,0)*VLOOKUP('Données projet'!$B$12,Paramètres!$A$1:$I$89,5,0)</f>
        <v>-2.0572770154103635E-13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360.44607552967267</v>
      </c>
      <c r="CE179" s="59">
        <f t="shared" si="148"/>
        <v>271.54361159160169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108.45339893565023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1.670564430545081E-19</v>
      </c>
      <c r="CN179" s="22">
        <f t="shared" si="172"/>
        <v>108.45339893565023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309.89554000341082</v>
      </c>
      <c r="CZ179" s="59">
        <f t="shared" si="150"/>
        <v>465.9235824539021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14.079040715790788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9.0687803686814252E-19</v>
      </c>
      <c r="DI179" s="22">
        <f t="shared" si="175"/>
        <v>14.079040715790788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-1.4897523215040567E-13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281.82797419088109</v>
      </c>
      <c r="T180" s="59">
        <f t="shared" si="142"/>
        <v>298.98873283425371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32.828571728383764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2.6884423891955807E-19</v>
      </c>
      <c r="AC180" s="22">
        <f t="shared" si="163"/>
        <v>32.828571728383764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-3.694822225952521E-13</v>
      </c>
      <c r="AJ180" s="13">
        <f>AI180*VLOOKUP('Données projet'!$B$10,Paramètres!$A$1:$I$89,3,0)*VLOOKUP('Données projet'!$B$10,Paramètres!$A$1:$I$89,5,0)</f>
        <v>-3.6889105103909971E-13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206.53345322763442</v>
      </c>
      <c r="AO180" s="59">
        <f t="shared" si="144"/>
        <v>96.700732426680929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71.986669224643322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2.0830795891115507E-18</v>
      </c>
      <c r="AX180" s="21">
        <f t="shared" si="166"/>
        <v>71.986669224643322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-2.2737367544323206E-13</v>
      </c>
      <c r="BE180" s="13">
        <f>BD180*VLOOKUP('Données projet'!$B$11,Paramètres!$A$1:$I$89,3,0)*VLOOKUP('Données projet'!$B$11,Paramètres!$A$1:$I$89,5,0)</f>
        <v>-1.915395841933787E-13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328.34986205643321</v>
      </c>
      <c r="BJ180" s="59">
        <f t="shared" si="146"/>
        <v>251.60894449147008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98.993818488938601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1.0998007174372991E-19</v>
      </c>
      <c r="BS180" s="22">
        <f t="shared" si="169"/>
        <v>98.993818488938601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-2.2737367544323206E-13</v>
      </c>
      <c r="BZ180" s="13">
        <f>BY180*VLOOKUP('Données projet'!$B$12,Paramètres!$A$1:$I$89,3,0)*VLOOKUP('Données projet'!$B$12,Paramètres!$A$1:$I$89,5,0)</f>
        <v>-2.0572770154103635E-13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360.44607552967267</v>
      </c>
      <c r="CE180" s="59">
        <f t="shared" si="148"/>
        <v>271.54361159160169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106.3266939325637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1.18126743724747E-19</v>
      </c>
      <c r="CN180" s="22">
        <f t="shared" si="172"/>
        <v>106.3266939325637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309.89554000341082</v>
      </c>
      <c r="CZ180" s="59">
        <f t="shared" si="150"/>
        <v>465.9235824539021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13.802959314721035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6.4125960957860745E-19</v>
      </c>
      <c r="DI180" s="22">
        <f t="shared" si="175"/>
        <v>13.802959314721035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-1.4897523215040567E-13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281.82797419088109</v>
      </c>
      <c r="T181" s="59">
        <f t="shared" si="142"/>
        <v>298.98873283425371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32.184823460241759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1.9010158442295585E-19</v>
      </c>
      <c r="AC181" s="22">
        <f t="shared" si="163"/>
        <v>32.184823460241759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-3.694822225952521E-13</v>
      </c>
      <c r="AJ181" s="13">
        <f>AI181*VLOOKUP('Données projet'!$B$10,Paramètres!$A$1:$I$89,3,0)*VLOOKUP('Données projet'!$B$10,Paramètres!$A$1:$I$89,5,0)</f>
        <v>-3.6889105103909971E-13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206.53345322763442</v>
      </c>
      <c r="AO181" s="59">
        <f t="shared" si="144"/>
        <v>96.700732426680929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70.575054548680782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1.4729597032120646E-18</v>
      </c>
      <c r="AX181" s="21">
        <f t="shared" si="166"/>
        <v>70.575054548680782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-2.2737367544323206E-13</v>
      </c>
      <c r="BE181" s="13">
        <f>BD181*VLOOKUP('Données projet'!$B$11,Paramètres!$A$1:$I$89,3,0)*VLOOKUP('Données projet'!$B$11,Paramètres!$A$1:$I$89,5,0)</f>
        <v>-1.915395841933787E-13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328.34986205643321</v>
      </c>
      <c r="BJ181" s="59">
        <f t="shared" si="146"/>
        <v>251.60894449147008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97.052610088637735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7.776765452537442E-20</v>
      </c>
      <c r="BS181" s="22">
        <f t="shared" si="169"/>
        <v>97.052610088637735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-2.2737367544323206E-13</v>
      </c>
      <c r="BZ181" s="13">
        <f>BY181*VLOOKUP('Données projet'!$B$12,Paramètres!$A$1:$I$89,3,0)*VLOOKUP('Données projet'!$B$12,Paramètres!$A$1:$I$89,5,0)</f>
        <v>-2.0572770154103635E-13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360.44607552967267</v>
      </c>
      <c r="CE181" s="59">
        <f t="shared" si="148"/>
        <v>271.54361159160169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104.24169231742573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8.3528221527254052E-20</v>
      </c>
      <c r="CN181" s="22">
        <f t="shared" si="172"/>
        <v>104.24169231742573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309.89554000341082</v>
      </c>
      <c r="CZ181" s="59">
        <f t="shared" si="150"/>
        <v>465.9235824539021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13.532291701533232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4.5343901843407126E-19</v>
      </c>
      <c r="DI181" s="22">
        <f t="shared" si="175"/>
        <v>13.532291701533232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-1.4897523215040567E-13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281.82797419088109</v>
      </c>
      <c r="T182" s="59">
        <f t="shared" si="142"/>
        <v>298.98873283425371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31.553698702990349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1.3442211945977903E-19</v>
      </c>
      <c r="AC182" s="22">
        <f t="shared" si="163"/>
        <v>31.553698702990349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-3.694822225952521E-13</v>
      </c>
      <c r="AJ182" s="13">
        <f>AI182*VLOOKUP('Données projet'!$B$10,Paramètres!$A$1:$I$89,3,0)*VLOOKUP('Données projet'!$B$10,Paramètres!$A$1:$I$89,5,0)</f>
        <v>-3.6889105103909971E-13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206.53345322763442</v>
      </c>
      <c r="AO182" s="59">
        <f t="shared" si="144"/>
        <v>96.700732426680929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69.191120775513937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1.0415397945557753E-18</v>
      </c>
      <c r="AX182" s="21">
        <f t="shared" si="166"/>
        <v>69.191120775513937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-2.2737367544323206E-13</v>
      </c>
      <c r="BE182" s="13">
        <f>BD182*VLOOKUP('Données projet'!$B$11,Paramètres!$A$1:$I$89,3,0)*VLOOKUP('Données projet'!$B$11,Paramètres!$A$1:$I$89,5,0)</f>
        <v>-1.915395841933787E-13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328.34986205643321</v>
      </c>
      <c r="BJ182" s="59">
        <f t="shared" si="146"/>
        <v>251.60894449147008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95.149467601046553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5.4990035871864953E-20</v>
      </c>
      <c r="BS182" s="22">
        <f t="shared" si="169"/>
        <v>95.149467601046553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-2.2737367544323206E-13</v>
      </c>
      <c r="BZ182" s="13">
        <f>BY182*VLOOKUP('Données projet'!$B$12,Paramètres!$A$1:$I$89,3,0)*VLOOKUP('Données projet'!$B$12,Paramètres!$A$1:$I$89,5,0)</f>
        <v>-2.0572770154103635E-13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360.44607552967267</v>
      </c>
      <c r="CE182" s="59">
        <f t="shared" si="148"/>
        <v>271.54361159160169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102.19757631223521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5.9063371862373499E-20</v>
      </c>
      <c r="CN182" s="22">
        <f t="shared" si="172"/>
        <v>102.19757631223521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309.89554000341082</v>
      </c>
      <c r="CZ182" s="59">
        <f t="shared" si="150"/>
        <v>465.9235824539021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13.2669317151491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3.2062980478930372E-19</v>
      </c>
      <c r="DI182" s="22">
        <f t="shared" si="175"/>
        <v>13.2669317151491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-1.4897523215040567E-13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281.82797419088109</v>
      </c>
      <c r="T183" s="59">
        <f t="shared" si="142"/>
        <v>298.98873283425371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30.934949917280548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9.5050792211477927E-20</v>
      </c>
      <c r="AC183" s="22">
        <f t="shared" si="163"/>
        <v>30.934949917280548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-3.694822225952521E-13</v>
      </c>
      <c r="AJ183" s="13">
        <f>AI183*VLOOKUP('Données projet'!$B$10,Paramètres!$A$1:$I$89,3,0)*VLOOKUP('Données projet'!$B$10,Paramètres!$A$1:$I$89,5,0)</f>
        <v>-3.6889105103909971E-13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206.53345322763442</v>
      </c>
      <c r="AO183" s="59">
        <f t="shared" si="144"/>
        <v>96.700732426680929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67.834325099522644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7.3647985160603229E-19</v>
      </c>
      <c r="AX183" s="21">
        <f t="shared" si="166"/>
        <v>67.834325099522644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-2.2737367544323206E-13</v>
      </c>
      <c r="BE183" s="13">
        <f>BD183*VLOOKUP('Données projet'!$B$11,Paramètres!$A$1:$I$89,3,0)*VLOOKUP('Données projet'!$B$11,Paramètres!$A$1:$I$89,5,0)</f>
        <v>-1.915395841933787E-13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328.34986205643321</v>
      </c>
      <c r="BJ183" s="59">
        <f t="shared" si="146"/>
        <v>251.60894449147008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93.283644576834746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3.888382726268721E-20</v>
      </c>
      <c r="BS183" s="22">
        <f t="shared" si="169"/>
        <v>93.283644576834746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-2.2737367544323206E-13</v>
      </c>
      <c r="BZ183" s="13">
        <f>BY183*VLOOKUP('Données projet'!$B$12,Paramètres!$A$1:$I$89,3,0)*VLOOKUP('Données projet'!$B$12,Paramètres!$A$1:$I$89,5,0)</f>
        <v>-2.0572770154103635E-13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360.44607552967267</v>
      </c>
      <c r="CE183" s="59">
        <f t="shared" si="148"/>
        <v>271.54361159160169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100.19354417511883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4.1764110763627026E-20</v>
      </c>
      <c r="CN183" s="22">
        <f t="shared" si="172"/>
        <v>100.19354417511883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309.89554000341082</v>
      </c>
      <c r="CZ183" s="59">
        <f t="shared" si="150"/>
        <v>465.9235824539021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13.006775276244351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2.2671950921703563E-19</v>
      </c>
      <c r="DI183" s="22">
        <f t="shared" si="175"/>
        <v>13.006775276244351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-1.4897523215040567E-13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281.82797419088109</v>
      </c>
      <c r="T184" s="59">
        <f t="shared" si="142"/>
        <v>298.98873283425371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30.328334417859022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6.7211059729889517E-20</v>
      </c>
      <c r="AC184" s="22">
        <f t="shared" si="163"/>
        <v>30.328334417859022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-3.694822225952521E-13</v>
      </c>
      <c r="AJ184" s="13">
        <f>AI184*VLOOKUP('Données projet'!$B$10,Paramètres!$A$1:$I$89,3,0)*VLOOKUP('Données projet'!$B$10,Paramètres!$A$1:$I$89,5,0)</f>
        <v>-3.6889105103909971E-13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206.53345322763442</v>
      </c>
      <c r="AO184" s="59">
        <f t="shared" si="144"/>
        <v>96.700732426680929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66.504135359173887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5.2076989727788766E-19</v>
      </c>
      <c r="AX184" s="21">
        <f t="shared" si="166"/>
        <v>66.504135359173887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-2.2737367544323206E-13</v>
      </c>
      <c r="BE184" s="13">
        <f>BD184*VLOOKUP('Données projet'!$B$11,Paramètres!$A$1:$I$89,3,0)*VLOOKUP('Données projet'!$B$11,Paramètres!$A$1:$I$89,5,0)</f>
        <v>-1.915395841933787E-13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328.34986205643321</v>
      </c>
      <c r="BJ184" s="59">
        <f t="shared" si="146"/>
        <v>251.60894449147008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91.454409204088051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2.7495017935932476E-20</v>
      </c>
      <c r="BS184" s="22">
        <f t="shared" si="169"/>
        <v>91.454409204088051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-2.2737367544323206E-13</v>
      </c>
      <c r="BZ184" s="13">
        <f>BY184*VLOOKUP('Données projet'!$B$12,Paramètres!$A$1:$I$89,3,0)*VLOOKUP('Données projet'!$B$12,Paramètres!$A$1:$I$89,5,0)</f>
        <v>-2.0572770154103635E-13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360.44607552967267</v>
      </c>
      <c r="CE184" s="59">
        <f t="shared" si="148"/>
        <v>271.54361159160169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98.22880988587238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2.9531685931186749E-20</v>
      </c>
      <c r="CN184" s="22">
        <f t="shared" si="172"/>
        <v>98.22880988587238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309.89554000341082</v>
      </c>
      <c r="CZ184" s="59">
        <f t="shared" si="150"/>
        <v>465.9235824539021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12.751720346426765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1.6031490239465186E-19</v>
      </c>
      <c r="DI184" s="22">
        <f t="shared" si="175"/>
        <v>12.751720346426765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-1.4897523215040567E-13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281.82797419088109</v>
      </c>
      <c r="T185" s="59">
        <f t="shared" si="142"/>
        <v>298.98873283425371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29.73361427838223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4.7525396105738963E-20</v>
      </c>
      <c r="AC185" s="22">
        <f t="shared" si="163"/>
        <v>29.73361427838223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-3.694822225952521E-13</v>
      </c>
      <c r="AJ185" s="13">
        <f>AI185*VLOOKUP('Données projet'!$B$10,Paramètres!$A$1:$I$89,3,0)*VLOOKUP('Données projet'!$B$10,Paramètres!$A$1:$I$89,5,0)</f>
        <v>-3.6889105103909971E-13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206.53345322763442</v>
      </c>
      <c r="AO185" s="59">
        <f t="shared" si="144"/>
        <v>96.700732426680929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65.200029828297744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3.6823992580301615E-19</v>
      </c>
      <c r="AX185" s="21">
        <f t="shared" si="166"/>
        <v>65.200029828297744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-2.2737367544323206E-13</v>
      </c>
      <c r="BE185" s="13">
        <f>BD185*VLOOKUP('Données projet'!$B$11,Paramètres!$A$1:$I$89,3,0)*VLOOKUP('Données projet'!$B$11,Paramètres!$A$1:$I$89,5,0)</f>
        <v>-1.915395841933787E-13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328.34986205643321</v>
      </c>
      <c r="BJ185" s="59">
        <f t="shared" si="146"/>
        <v>251.60894449147008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89.661044021277519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1.9441913631343605E-20</v>
      </c>
      <c r="BS185" s="22">
        <f t="shared" si="169"/>
        <v>89.661044021277519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-2.2737367544323206E-13</v>
      </c>
      <c r="BZ185" s="13">
        <f>BY185*VLOOKUP('Données projet'!$B$12,Paramètres!$A$1:$I$89,3,0)*VLOOKUP('Données projet'!$B$12,Paramètres!$A$1:$I$89,5,0)</f>
        <v>-2.0572770154103635E-13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360.44607552967267</v>
      </c>
      <c r="CE185" s="59">
        <f t="shared" si="148"/>
        <v>271.54361159160169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96.302602837668474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2.0882055381813513E-20</v>
      </c>
      <c r="CN185" s="22">
        <f t="shared" si="172"/>
        <v>96.302602837668474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309.89554000341082</v>
      </c>
      <c r="CZ185" s="59">
        <f t="shared" si="150"/>
        <v>465.9235824539021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12.501666888214755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1.1335975460851782E-19</v>
      </c>
      <c r="DI185" s="22">
        <f t="shared" si="175"/>
        <v>12.501666888214755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-1.4897523215040567E-13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281.82797419088109</v>
      </c>
      <c r="T186" s="59">
        <f t="shared" si="142"/>
        <v>298.98873283425371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29.15055623809711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3.3605529864944759E-20</v>
      </c>
      <c r="AC186" s="22">
        <f t="shared" si="163"/>
        <v>29.15055623809711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-3.694822225952521E-13</v>
      </c>
      <c r="AJ186" s="13">
        <f>AI186*VLOOKUP('Données projet'!$B$10,Paramètres!$A$1:$I$89,3,0)*VLOOKUP('Données projet'!$B$10,Paramètres!$A$1:$I$89,5,0)</f>
        <v>-3.6889105103909971E-13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206.53345322763442</v>
      </c>
      <c r="AO186" s="59">
        <f t="shared" si="144"/>
        <v>96.700732426680929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63.921497011456246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2.6038494863894383E-19</v>
      </c>
      <c r="AX186" s="21">
        <f t="shared" si="166"/>
        <v>63.921497011456246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-2.2737367544323206E-13</v>
      </c>
      <c r="BE186" s="13">
        <f>BD186*VLOOKUP('Données projet'!$B$11,Paramètres!$A$1:$I$89,3,0)*VLOOKUP('Données projet'!$B$11,Paramètres!$A$1:$I$89,5,0)</f>
        <v>-1.915395841933787E-13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328.34986205643321</v>
      </c>
      <c r="BJ186" s="59">
        <f t="shared" si="146"/>
        <v>251.60894449147008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87.902845635857147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1.3747508967966238E-20</v>
      </c>
      <c r="BS186" s="22">
        <f t="shared" si="169"/>
        <v>87.902845635857147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-2.2737367544323206E-13</v>
      </c>
      <c r="BZ186" s="13">
        <f>BY186*VLOOKUP('Données projet'!$B$12,Paramètres!$A$1:$I$89,3,0)*VLOOKUP('Données projet'!$B$12,Paramètres!$A$1:$I$89,5,0)</f>
        <v>-2.0572770154103635E-13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360.44607552967267</v>
      </c>
      <c r="CE186" s="59">
        <f t="shared" si="148"/>
        <v>271.54361159160169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94.41416753480955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1.4765842965593375E-20</v>
      </c>
      <c r="CN186" s="22">
        <f t="shared" si="172"/>
        <v>94.41416753480955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309.89554000341082</v>
      </c>
      <c r="CZ186" s="59">
        <f t="shared" si="150"/>
        <v>465.9235824539021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12.256516825800734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8.0157451197325931E-20</v>
      </c>
      <c r="DI186" s="22">
        <f t="shared" si="175"/>
        <v>12.256516825800734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-1.4897523215040567E-13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281.82797419088109</v>
      </c>
      <c r="T187" s="59">
        <f t="shared" si="142"/>
        <v>298.98873283425371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28.578931610351692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2.3762698052869482E-20</v>
      </c>
      <c r="AC187" s="22">
        <f t="shared" si="163"/>
        <v>28.578931610351692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-3.694822225952521E-13</v>
      </c>
      <c r="AJ187" s="13">
        <f>AI187*VLOOKUP('Données projet'!$B$10,Paramètres!$A$1:$I$89,3,0)*VLOOKUP('Données projet'!$B$10,Paramètres!$A$1:$I$89,5,0)</f>
        <v>-3.6889105103909971E-13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206.53345322763442</v>
      </c>
      <c r="AO187" s="59">
        <f t="shared" si="144"/>
        <v>96.700732426680929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62.668035443324996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1.8411996290150807E-19</v>
      </c>
      <c r="AX187" s="21">
        <f t="shared" si="166"/>
        <v>62.668035443324996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-2.2737367544323206E-13</v>
      </c>
      <c r="BE187" s="13">
        <f>BD187*VLOOKUP('Données projet'!$B$11,Paramètres!$A$1:$I$89,3,0)*VLOOKUP('Données projet'!$B$11,Paramètres!$A$1:$I$89,5,0)</f>
        <v>-1.915395841933787E-13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328.34986205643321</v>
      </c>
      <c r="BJ187" s="59">
        <f t="shared" si="146"/>
        <v>251.60894449147008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86.179124448379739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9.7209568156718026E-21</v>
      </c>
      <c r="BS187" s="22">
        <f t="shared" si="169"/>
        <v>86.179124448379739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-2.2737367544323206E-13</v>
      </c>
      <c r="BZ187" s="13">
        <f>BY187*VLOOKUP('Données projet'!$B$12,Paramètres!$A$1:$I$89,3,0)*VLOOKUP('Données projet'!$B$12,Paramètres!$A$1:$I$89,5,0)</f>
        <v>-2.0572770154103635E-13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360.44607552967267</v>
      </c>
      <c r="CE187" s="59">
        <f t="shared" si="148"/>
        <v>271.54361159160169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92.562763296407894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1.0441027690906756E-20</v>
      </c>
      <c r="CN187" s="22">
        <f t="shared" si="172"/>
        <v>92.562763296407894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309.89554000341082</v>
      </c>
      <c r="CZ187" s="59">
        <f t="shared" si="150"/>
        <v>465.9235824539021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12.016174006583878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5.6679877304258908E-20</v>
      </c>
      <c r="DI187" s="22">
        <f t="shared" si="175"/>
        <v>12.016174006583878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-1.4897523215040567E-13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281.82797419088109</v>
      </c>
      <c r="T188" s="59">
        <f t="shared" si="142"/>
        <v>298.98873283425371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28.018516192899767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1.6802764932472379E-20</v>
      </c>
      <c r="AC188" s="22">
        <f t="shared" si="163"/>
        <v>28.018516192899767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-3.694822225952521E-13</v>
      </c>
      <c r="AJ188" s="13">
        <f>AI188*VLOOKUP('Données projet'!$B$10,Paramètres!$A$1:$I$89,3,0)*VLOOKUP('Données projet'!$B$10,Paramètres!$A$1:$I$89,5,0)</f>
        <v>-3.6889105103909971E-13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206.53345322763442</v>
      </c>
      <c r="AO188" s="59">
        <f t="shared" si="144"/>
        <v>96.700732426680929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61.439153492008735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1.3019247431947192E-19</v>
      </c>
      <c r="AX188" s="21">
        <f t="shared" si="166"/>
        <v>61.439153492008735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-2.2737367544323206E-13</v>
      </c>
      <c r="BE188" s="13">
        <f>BD188*VLOOKUP('Données projet'!$B$11,Paramètres!$A$1:$I$89,3,0)*VLOOKUP('Données projet'!$B$11,Paramètres!$A$1:$I$89,5,0)</f>
        <v>-1.915395841933787E-13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328.34986205643321</v>
      </c>
      <c r="BJ188" s="59">
        <f t="shared" si="146"/>
        <v>251.60894449147008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84.489204382022649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6.8737544839831191E-21</v>
      </c>
      <c r="BS188" s="22">
        <f t="shared" si="169"/>
        <v>84.489204382022649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-2.2737367544323206E-13</v>
      </c>
      <c r="BZ188" s="13">
        <f>BY188*VLOOKUP('Données projet'!$B$12,Paramètres!$A$1:$I$89,3,0)*VLOOKUP('Données projet'!$B$12,Paramètres!$A$1:$I$89,5,0)</f>
        <v>-2.0572770154103635E-13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360.44607552967267</v>
      </c>
      <c r="CE188" s="59">
        <f t="shared" si="148"/>
        <v>271.54361159160169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90.747663965876214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7.3829214827966874E-21</v>
      </c>
      <c r="CN188" s="22">
        <f t="shared" si="172"/>
        <v>90.747663965876214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309.89554000341082</v>
      </c>
      <c r="CZ188" s="59">
        <f t="shared" si="150"/>
        <v>465.9235824539021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11.78054416345722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4.0078725598662965E-20</v>
      </c>
      <c r="DI188" s="22">
        <f t="shared" si="175"/>
        <v>11.78054416345722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-1.4897523215040567E-13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281.82797419088109</v>
      </c>
      <c r="T189" s="59">
        <f t="shared" si="142"/>
        <v>298.98873283425371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27.469090179964422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1.1881349026434741E-20</v>
      </c>
      <c r="AC189" s="22">
        <f t="shared" si="163"/>
        <v>27.469090179964422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-3.694822225952521E-13</v>
      </c>
      <c r="AJ189" s="13">
        <f>AI189*VLOOKUP('Données projet'!$B$10,Paramètres!$A$1:$I$89,3,0)*VLOOKUP('Données projet'!$B$10,Paramètres!$A$1:$I$89,5,0)</f>
        <v>-3.6889105103909971E-13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206.53345322763442</v>
      </c>
      <c r="AO189" s="59">
        <f t="shared" si="144"/>
        <v>96.700732426680929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60.234369166213803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9.2059981450754037E-20</v>
      </c>
      <c r="AX189" s="21">
        <f t="shared" si="166"/>
        <v>60.234369166213803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-2.2737367544323206E-13</v>
      </c>
      <c r="BE189" s="13">
        <f>BD189*VLOOKUP('Données projet'!$B$11,Paramètres!$A$1:$I$89,3,0)*VLOOKUP('Données projet'!$B$11,Paramètres!$A$1:$I$89,5,0)</f>
        <v>-1.915395841933787E-13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328.34986205643321</v>
      </c>
      <c r="BJ189" s="59">
        <f t="shared" si="146"/>
        <v>251.60894449147008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82.832422617417365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4.8604784078359013E-21</v>
      </c>
      <c r="BS189" s="22">
        <f t="shared" si="169"/>
        <v>82.832422617417365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-2.2737367544323206E-13</v>
      </c>
      <c r="BZ189" s="13">
        <f>BY189*VLOOKUP('Données projet'!$B$12,Paramètres!$A$1:$I$89,3,0)*VLOOKUP('Données projet'!$B$12,Paramètres!$A$1:$I$89,5,0)</f>
        <v>-2.0572770154103635E-13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360.44607552967267</v>
      </c>
      <c r="CE189" s="59">
        <f t="shared" si="148"/>
        <v>271.54361159160169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88.968157626114987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5.2205138454533782E-21</v>
      </c>
      <c r="CN189" s="22">
        <f t="shared" si="172"/>
        <v>88.968157626114987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309.89554000341082</v>
      </c>
      <c r="CZ189" s="59">
        <f t="shared" si="150"/>
        <v>465.9235824539021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11.549534877834262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2.8339938652129454E-20</v>
      </c>
      <c r="DI189" s="22">
        <f t="shared" si="175"/>
        <v>11.549534877834262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-1.4897523215040567E-13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281.82797419088109</v>
      </c>
      <c r="T190" s="59">
        <f t="shared" si="142"/>
        <v>298.98873283425371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26.930438076025961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8.4013824662361896E-21</v>
      </c>
      <c r="AC190" s="22">
        <f t="shared" si="163"/>
        <v>26.930438076025961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-3.694822225952521E-13</v>
      </c>
      <c r="AJ190" s="13">
        <f>AI190*VLOOKUP('Données projet'!$B$10,Paramètres!$A$1:$I$89,3,0)*VLOOKUP('Données projet'!$B$10,Paramètres!$A$1:$I$89,5,0)</f>
        <v>-3.6889105103909971E-13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206.53345322763442</v>
      </c>
      <c r="AO190" s="59">
        <f t="shared" si="144"/>
        <v>96.700732426680929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59.053209926201831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6.5096237159735958E-20</v>
      </c>
      <c r="AX190" s="21">
        <f t="shared" si="166"/>
        <v>59.053209926201831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-2.2737367544323206E-13</v>
      </c>
      <c r="BE190" s="13">
        <f>BD190*VLOOKUP('Données projet'!$B$11,Paramètres!$A$1:$I$89,3,0)*VLOOKUP('Données projet'!$B$11,Paramètres!$A$1:$I$89,5,0)</f>
        <v>-1.915395841933787E-13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328.34986205643321</v>
      </c>
      <c r="BJ190" s="59">
        <f t="shared" si="146"/>
        <v>251.60894449147008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81.208129332678894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3.4368772419915595E-21</v>
      </c>
      <c r="BS190" s="22">
        <f t="shared" si="169"/>
        <v>81.208129332678894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-2.2737367544323206E-13</v>
      </c>
      <c r="BZ190" s="13">
        <f>BY190*VLOOKUP('Données projet'!$B$12,Paramètres!$A$1:$I$89,3,0)*VLOOKUP('Données projet'!$B$12,Paramètres!$A$1:$I$89,5,0)</f>
        <v>-2.0572770154103635E-13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360.44607552967267</v>
      </c>
      <c r="CE190" s="59">
        <f t="shared" si="148"/>
        <v>271.54361159160169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87.223546320284782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3.6914607413983437E-21</v>
      </c>
      <c r="CN190" s="22">
        <f t="shared" si="172"/>
        <v>87.223546320284782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309.89554000341082</v>
      </c>
      <c r="CZ190" s="59">
        <f t="shared" si="150"/>
        <v>465.9235824539021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11.323055543400619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2.0039362799331483E-20</v>
      </c>
      <c r="DI190" s="22">
        <f t="shared" si="175"/>
        <v>11.323055543400619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-1.4897523215040567E-13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281.82797419088109</v>
      </c>
      <c r="T191" s="59">
        <f t="shared" si="142"/>
        <v>298.98873283425371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26.40234861130039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5.9406745132173704E-21</v>
      </c>
      <c r="AC191" s="22">
        <f t="shared" si="163"/>
        <v>26.40234861130039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-3.694822225952521E-13</v>
      </c>
      <c r="AJ191" s="13">
        <f>AI191*VLOOKUP('Données projet'!$B$10,Paramètres!$A$1:$I$89,3,0)*VLOOKUP('Données projet'!$B$10,Paramètres!$A$1:$I$89,5,0)</f>
        <v>-3.6889105103909971E-13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206.53345322763442</v>
      </c>
      <c r="AO191" s="59">
        <f t="shared" si="144"/>
        <v>96.700732426680929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57.895212498450498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4.6029990725377018E-20</v>
      </c>
      <c r="AX191" s="21">
        <f t="shared" si="166"/>
        <v>57.895212498450498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-2.2737367544323206E-13</v>
      </c>
      <c r="BE191" s="13">
        <f>BD191*VLOOKUP('Données projet'!$B$11,Paramètres!$A$1:$I$89,3,0)*VLOOKUP('Données projet'!$B$11,Paramètres!$A$1:$I$89,5,0)</f>
        <v>-1.915395841933787E-13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328.34986205643321</v>
      </c>
      <c r="BJ191" s="59">
        <f t="shared" si="146"/>
        <v>251.60894449147008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79.615687448533066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2.4302392039179506E-21</v>
      </c>
      <c r="BS191" s="22">
        <f t="shared" si="169"/>
        <v>79.615687448533066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-2.2737367544323206E-13</v>
      </c>
      <c r="BZ191" s="13">
        <f>BY191*VLOOKUP('Données projet'!$B$12,Paramètres!$A$1:$I$89,3,0)*VLOOKUP('Données projet'!$B$12,Paramètres!$A$1:$I$89,5,0)</f>
        <v>-2.0572770154103635E-13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360.44607552967267</v>
      </c>
      <c r="CE191" s="59">
        <f t="shared" si="148"/>
        <v>271.54361159160169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85.513145778054081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2.6102569227266891E-21</v>
      </c>
      <c r="CN191" s="22">
        <f t="shared" si="172"/>
        <v>85.513145778054081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309.89554000341082</v>
      </c>
      <c r="CZ191" s="59">
        <f t="shared" si="150"/>
        <v>465.9235824539021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11.101017330576466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1.4169969326064727E-20</v>
      </c>
      <c r="DI191" s="22">
        <f t="shared" si="175"/>
        <v>11.101017330576466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-1.4897523215040567E-13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281.82797419088109</v>
      </c>
      <c r="T192" s="59">
        <f t="shared" si="142"/>
        <v>298.98873283425371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25.884614658875321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4.2006912331180948E-21</v>
      </c>
      <c r="AC192" s="22">
        <f t="shared" si="163"/>
        <v>25.884614658875321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-3.694822225952521E-13</v>
      </c>
      <c r="AJ192" s="13">
        <f>AI192*VLOOKUP('Données projet'!$B$10,Paramètres!$A$1:$I$89,3,0)*VLOOKUP('Données projet'!$B$10,Paramètres!$A$1:$I$89,5,0)</f>
        <v>-3.6889105103909971E-13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206.53345322763442</v>
      </c>
      <c r="AO192" s="59">
        <f t="shared" si="144"/>
        <v>96.700732426680929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56.759922693948681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3.2548118579867979E-20</v>
      </c>
      <c r="AX192" s="21">
        <f t="shared" si="166"/>
        <v>56.759922693948681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-2.2737367544323206E-13</v>
      </c>
      <c r="BE192" s="13">
        <f>BD192*VLOOKUP('Données projet'!$B$11,Paramètres!$A$1:$I$89,3,0)*VLOOKUP('Données projet'!$B$11,Paramètres!$A$1:$I$89,5,0)</f>
        <v>-1.915395841933787E-13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328.34986205643321</v>
      </c>
      <c r="BJ192" s="59">
        <f t="shared" si="146"/>
        <v>251.60894449147008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78.054472378441702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1.7184386209957798E-21</v>
      </c>
      <c r="BS192" s="22">
        <f t="shared" si="169"/>
        <v>78.054472378441702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-2.2737367544323206E-13</v>
      </c>
      <c r="BZ192" s="13">
        <f>BY192*VLOOKUP('Données projet'!$B$12,Paramètres!$A$1:$I$89,3,0)*VLOOKUP('Données projet'!$B$12,Paramètres!$A$1:$I$89,5,0)</f>
        <v>-2.0572770154103635E-13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360.44607552967267</v>
      </c>
      <c r="CE192" s="59">
        <f t="shared" si="148"/>
        <v>271.54361159160169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83.836285147215207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1.8457303706991718E-21</v>
      </c>
      <c r="CN192" s="22">
        <f t="shared" si="172"/>
        <v>83.836285147215207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309.89554000341082</v>
      </c>
      <c r="CZ192" s="59">
        <f t="shared" si="150"/>
        <v>465.9235824539021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10.883333151675858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1.0019681399665741E-20</v>
      </c>
      <c r="DI192" s="22">
        <f t="shared" si="175"/>
        <v>10.883333151675858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-1.4897523215040567E-13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281.82797419088109</v>
      </c>
      <c r="T193" s="59">
        <f t="shared" si="142"/>
        <v>298.98873283425371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25.377033153470776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2.9703372566086852E-21</v>
      </c>
      <c r="AC193" s="22">
        <f t="shared" si="163"/>
        <v>25.377033153470776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-3.694822225952521E-13</v>
      </c>
      <c r="AJ193" s="13">
        <f>AI193*VLOOKUP('Données projet'!$B$10,Paramètres!$A$1:$I$89,3,0)*VLOOKUP('Données projet'!$B$10,Paramètres!$A$1:$I$89,5,0)</f>
        <v>-3.6889105103909971E-13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206.53345322763442</v>
      </c>
      <c r="AO193" s="59">
        <f t="shared" si="144"/>
        <v>96.700732426680929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55.646895230054739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2.3014995362688509E-20</v>
      </c>
      <c r="AX193" s="21">
        <f t="shared" si="166"/>
        <v>55.646895230054739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-2.2737367544323206E-13</v>
      </c>
      <c r="BE193" s="13">
        <f>BD193*VLOOKUP('Données projet'!$B$11,Paramètres!$A$1:$I$89,3,0)*VLOOKUP('Données projet'!$B$11,Paramètres!$A$1:$I$89,5,0)</f>
        <v>-1.915395841933787E-13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328.34986205643321</v>
      </c>
      <c r="BJ193" s="59">
        <f t="shared" si="146"/>
        <v>251.60894449147008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76.523871783627655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1.2151196019589753E-21</v>
      </c>
      <c r="BS193" s="22">
        <f t="shared" si="169"/>
        <v>76.523871783627655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-2.2737367544323206E-13</v>
      </c>
      <c r="BZ193" s="13">
        <f>BY193*VLOOKUP('Données projet'!$B$12,Paramètres!$A$1:$I$89,3,0)*VLOOKUP('Données projet'!$B$12,Paramètres!$A$1:$I$89,5,0)</f>
        <v>-2.0572770154103635E-13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360.44607552967267</v>
      </c>
      <c r="CE193" s="59">
        <f t="shared" si="148"/>
        <v>271.54361159160169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82.192306730563089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1.3051284613633446E-21</v>
      </c>
      <c r="CN193" s="22">
        <f t="shared" si="172"/>
        <v>82.192306730563089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309.89554000341082</v>
      </c>
      <c r="CZ193" s="59">
        <f t="shared" si="150"/>
        <v>465.9235824539021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10.669917626749251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7.0849846630323634E-21</v>
      </c>
      <c r="DI193" s="22">
        <f t="shared" si="175"/>
        <v>10.669917626749251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-1.4897523215040567E-13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281.82797419088109</v>
      </c>
      <c r="T194" s="59">
        <f t="shared" si="142"/>
        <v>298.98873283425371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24.879405011793068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2.1003456165590474E-21</v>
      </c>
      <c r="AC194" s="22">
        <f t="shared" si="163"/>
        <v>24.879405011793068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-3.694822225952521E-13</v>
      </c>
      <c r="AJ194" s="13">
        <f>AI194*VLOOKUP('Données projet'!$B$10,Paramètres!$A$1:$I$89,3,0)*VLOOKUP('Données projet'!$B$10,Paramètres!$A$1:$I$89,5,0)</f>
        <v>-3.6889105103909971E-13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206.53345322763442</v>
      </c>
      <c r="AO194" s="59">
        <f t="shared" si="144"/>
        <v>96.700732426680929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54.555693555848038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1.627405928993399E-20</v>
      </c>
      <c r="AX194" s="21">
        <f t="shared" si="166"/>
        <v>54.555693555848038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-2.2737367544323206E-13</v>
      </c>
      <c r="BE194" s="13">
        <f>BD194*VLOOKUP('Données projet'!$B$11,Paramètres!$A$1:$I$89,3,0)*VLOOKUP('Données projet'!$B$11,Paramètres!$A$1:$I$89,5,0)</f>
        <v>-1.915395841933787E-13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328.34986205643321</v>
      </c>
      <c r="BJ194" s="59">
        <f t="shared" si="146"/>
        <v>251.60894449147008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75.02328533290374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8.5921931049788989E-22</v>
      </c>
      <c r="BS194" s="22">
        <f t="shared" si="169"/>
        <v>75.02328533290374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-2.2737367544323206E-13</v>
      </c>
      <c r="BZ194" s="13">
        <f>BY194*VLOOKUP('Données projet'!$B$12,Paramètres!$A$1:$I$89,3,0)*VLOOKUP('Données projet'!$B$12,Paramètres!$A$1:$I$89,5,0)</f>
        <v>-2.0572770154103635E-13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360.44607552967267</v>
      </c>
      <c r="CE194" s="59">
        <f t="shared" si="148"/>
        <v>271.54361159160169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80.580565727933688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9.2286518534958592E-22</v>
      </c>
      <c r="CN194" s="22">
        <f t="shared" si="172"/>
        <v>80.580565727933688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309.89554000341082</v>
      </c>
      <c r="CZ194" s="59">
        <f t="shared" si="150"/>
        <v>465.9235824539021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10.460687050095839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5.0098406998328707E-21</v>
      </c>
      <c r="DI194" s="22">
        <f t="shared" si="175"/>
        <v>10.460687050095839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-1.4897523215040567E-13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281.82797419088109</v>
      </c>
      <c r="T195" s="59">
        <f t="shared" si="142"/>
        <v>298.98873283425371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24.391535054450461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1.4851686283043426E-21</v>
      </c>
      <c r="AC195" s="22">
        <f t="shared" si="163"/>
        <v>24.391535054450461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-3.694822225952521E-13</v>
      </c>
      <c r="AJ195" s="13">
        <f>AI195*VLOOKUP('Données projet'!$B$10,Paramètres!$A$1:$I$89,3,0)*VLOOKUP('Données projet'!$B$10,Paramètres!$A$1:$I$89,5,0)</f>
        <v>-3.6889105103909971E-13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206.53345322763442</v>
      </c>
      <c r="AO195" s="59">
        <f t="shared" si="144"/>
        <v>96.700732426680929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53.485889680905224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1.1507497681344255E-20</v>
      </c>
      <c r="AX195" s="21">
        <f t="shared" si="166"/>
        <v>53.485889680905224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-2.2737367544323206E-13</v>
      </c>
      <c r="BE195" s="13">
        <f>BD195*VLOOKUP('Données projet'!$B$11,Paramètres!$A$1:$I$89,3,0)*VLOOKUP('Données projet'!$B$11,Paramètres!$A$1:$I$89,5,0)</f>
        <v>-1.915395841933787E-13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328.34986205643321</v>
      </c>
      <c r="BJ195" s="59">
        <f t="shared" si="146"/>
        <v>251.60894449147008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73.552124467211158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6.0755980097948766E-22</v>
      </c>
      <c r="BS195" s="22">
        <f t="shared" si="169"/>
        <v>73.552124467211158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-2.2737367544323206E-13</v>
      </c>
      <c r="BZ195" s="13">
        <f>BY195*VLOOKUP('Données projet'!$B$12,Paramètres!$A$1:$I$89,3,0)*VLOOKUP('Données projet'!$B$12,Paramètres!$A$1:$I$89,5,0)</f>
        <v>-2.0572770154103635E-13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360.44607552967267</v>
      </c>
      <c r="CE195" s="59">
        <f t="shared" si="148"/>
        <v>271.54361159160169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79.000429983300918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6.5256423068167228E-22</v>
      </c>
      <c r="CN195" s="22">
        <f t="shared" si="172"/>
        <v>79.000429983300918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309.89554000341082</v>
      </c>
      <c r="CZ195" s="59">
        <f t="shared" si="150"/>
        <v>465.9235824539021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10.255559357432549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3.5424923315161817E-21</v>
      </c>
      <c r="DI195" s="22">
        <f t="shared" si="175"/>
        <v>10.255559357432549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-1.4897523215040567E-13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281.82797419088109</v>
      </c>
      <c r="T196" s="59">
        <f t="shared" si="142"/>
        <v>298.98873283425371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23.913231929400052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1.0501728082795237E-21</v>
      </c>
      <c r="AC196" s="22">
        <f t="shared" si="163"/>
        <v>23.913231929400052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-3.694822225952521E-13</v>
      </c>
      <c r="AJ196" s="13">
        <f>AI196*VLOOKUP('Données projet'!$B$10,Paramètres!$A$1:$I$89,3,0)*VLOOKUP('Données projet'!$B$10,Paramètres!$A$1:$I$89,5,0)</f>
        <v>-3.6889105103909971E-13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206.53345322763442</v>
      </c>
      <c r="AO196" s="59">
        <f t="shared" si="144"/>
        <v>96.700732426680929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52.43706400743411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8.1370296449669948E-21</v>
      </c>
      <c r="AX196" s="21">
        <f t="shared" si="166"/>
        <v>52.43706400743411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-2.2737367544323206E-13</v>
      </c>
      <c r="BE196" s="13">
        <f>BD196*VLOOKUP('Données projet'!$B$11,Paramètres!$A$1:$I$89,3,0)*VLOOKUP('Données projet'!$B$11,Paramètres!$A$1:$I$89,5,0)</f>
        <v>-1.915395841933787E-13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328.34986205643321</v>
      </c>
      <c r="BJ196" s="59">
        <f t="shared" si="146"/>
        <v>251.60894449147008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72.109812168775278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4.2960965524894494E-22</v>
      </c>
      <c r="BS196" s="22">
        <f t="shared" si="169"/>
        <v>72.109812168775278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-2.2737367544323206E-13</v>
      </c>
      <c r="BZ196" s="13">
        <f>BY196*VLOOKUP('Données projet'!$B$12,Paramètres!$A$1:$I$89,3,0)*VLOOKUP('Données projet'!$B$12,Paramètres!$A$1:$I$89,5,0)</f>
        <v>-2.0572770154103635E-13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360.44607552967267</v>
      </c>
      <c r="CE196" s="59">
        <f t="shared" si="148"/>
        <v>271.54361159160169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77.45127973683276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4.6143259267479296E-22</v>
      </c>
      <c r="CN196" s="22">
        <f t="shared" si="172"/>
        <v>77.45127973683276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309.89554000341082</v>
      </c>
      <c r="CZ196" s="59">
        <f t="shared" si="150"/>
        <v>465.9235824539021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10.054454093706848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2.5049203499164353E-21</v>
      </c>
      <c r="DI196" s="22">
        <f t="shared" si="175"/>
        <v>10.054454093706848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-1.4897523215040567E-13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281.82797419088109</v>
      </c>
      <c r="T197" s="59">
        <f t="shared" ref="T197:T203" si="204">$T$3</f>
        <v>298.98873283425371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23.444308036895784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7.425843141521713E-22</v>
      </c>
      <c r="AC197" s="22">
        <f t="shared" si="163"/>
        <v>23.444308036895784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-3.694822225952521E-13</v>
      </c>
      <c r="AJ197" s="13">
        <f>AI197*VLOOKUP('Données projet'!$B$10,Paramètres!$A$1:$I$89,3,0)*VLOOKUP('Données projet'!$B$10,Paramètres!$A$1:$I$89,5,0)</f>
        <v>-3.6889105103909971E-13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206.53345322763442</v>
      </c>
      <c r="AO197" s="59">
        <f t="shared" ref="AO197:AO203" si="205">$AO$3</f>
        <v>96.700732426680929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51.40880516569927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5.7537488406721273E-21</v>
      </c>
      <c r="AX197" s="21">
        <f t="shared" si="166"/>
        <v>51.40880516569927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-2.2737367544323206E-13</v>
      </c>
      <c r="BE197" s="13">
        <f>BD197*VLOOKUP('Données projet'!$B$11,Paramètres!$A$1:$I$89,3,0)*VLOOKUP('Données projet'!$B$11,Paramètres!$A$1:$I$89,5,0)</f>
        <v>-1.915395841933787E-13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328.34986205643321</v>
      </c>
      <c r="BJ197" s="59">
        <f t="shared" ref="BJ197:BJ203" si="206">$BJ$3</f>
        <v>251.60894449147008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70.695782734788096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3.0377990048974383E-22</v>
      </c>
      <c r="BS197" s="22">
        <f t="shared" si="169"/>
        <v>70.695782734788096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-2.2737367544323206E-13</v>
      </c>
      <c r="BZ197" s="13">
        <f>BY197*VLOOKUP('Données projet'!$B$12,Paramètres!$A$1:$I$89,3,0)*VLOOKUP('Données projet'!$B$12,Paramètres!$A$1:$I$89,5,0)</f>
        <v>-2.0572770154103635E-13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360.44607552967267</v>
      </c>
      <c r="CE197" s="59">
        <f t="shared" ref="CE197:CE203" si="207">$CE$3</f>
        <v>271.54361159160169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75.932507381809486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3.2628211534083614E-22</v>
      </c>
      <c r="CN197" s="22">
        <f t="shared" si="172"/>
        <v>75.932507381809486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309.89554000341082</v>
      </c>
      <c r="CZ197" s="59">
        <f t="shared" ref="CZ197:CZ203" si="208">$CZ$3</f>
        <v>465.9235824539021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9.8572923815407094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1.7712461657580909E-21</v>
      </c>
      <c r="DI197" s="22">
        <f t="shared" si="175"/>
        <v>9.8572923815407094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-1.4897523215040567E-13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281.82797419088109</v>
      </c>
      <c r="T198" s="59">
        <f t="shared" si="204"/>
        <v>298.98873283425371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22.98457945590819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5.2508640413976185E-22</v>
      </c>
      <c r="AC198" s="22">
        <f t="shared" si="163"/>
        <v>22.98457945590819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-3.694822225952521E-13</v>
      </c>
      <c r="AJ198" s="13">
        <f>AI198*VLOOKUP('Données projet'!$B$10,Paramètres!$A$1:$I$89,3,0)*VLOOKUP('Données projet'!$B$10,Paramètres!$A$1:$I$89,5,0)</f>
        <v>-3.6889105103909971E-13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206.53345322763442</v>
      </c>
      <c r="AO198" s="59">
        <f t="shared" si="205"/>
        <v>96.700732426680929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50.400709852674886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4.0685148224834974E-21</v>
      </c>
      <c r="AX198" s="21">
        <f t="shared" si="166"/>
        <v>50.400709852674886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-2.2737367544323206E-13</v>
      </c>
      <c r="BE198" s="13">
        <f>BD198*VLOOKUP('Données projet'!$B$11,Paramètres!$A$1:$I$89,3,0)*VLOOKUP('Données projet'!$B$11,Paramètres!$A$1:$I$89,5,0)</f>
        <v>-1.915395841933787E-13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328.34986205643321</v>
      </c>
      <c r="BJ198" s="59">
        <f t="shared" si="206"/>
        <v>251.60894449147008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69.309481555528606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2.1480482762447247E-22</v>
      </c>
      <c r="BS198" s="22">
        <f t="shared" si="169"/>
        <v>69.309481555528606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-2.2737367544323206E-13</v>
      </c>
      <c r="BZ198" s="13">
        <f>BY198*VLOOKUP('Données projet'!$B$12,Paramètres!$A$1:$I$89,3,0)*VLOOKUP('Données projet'!$B$12,Paramètres!$A$1:$I$89,5,0)</f>
        <v>-2.0572770154103635E-13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360.44607552967267</v>
      </c>
      <c r="CE198" s="59">
        <f t="shared" si="207"/>
        <v>271.54361159160169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74.443517226308558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2.3071629633739648E-22</v>
      </c>
      <c r="CN198" s="22">
        <f t="shared" si="172"/>
        <v>74.443517226308558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309.89554000341082</v>
      </c>
      <c r="CZ198" s="59">
        <f t="shared" si="208"/>
        <v>465.9235824539021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9.6639968902933777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1.2524601749582177E-21</v>
      </c>
      <c r="DI198" s="22">
        <f t="shared" si="175"/>
        <v>9.6639968902933777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-1.4897523215040567E-13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281.82797419088109</v>
      </c>
      <c r="T199" s="59">
        <f t="shared" si="204"/>
        <v>298.98873283425371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22.533865871987015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3.7129215707608565E-22</v>
      </c>
      <c r="AC199" s="22">
        <f t="shared" si="163"/>
        <v>22.533865871987015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-3.694822225952521E-13</v>
      </c>
      <c r="AJ199" s="13">
        <f>AI199*VLOOKUP('Données projet'!$B$10,Paramètres!$A$1:$I$89,3,0)*VLOOKUP('Données projet'!$B$10,Paramètres!$A$1:$I$89,5,0)</f>
        <v>-3.6889105103909971E-13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206.53345322763442</v>
      </c>
      <c r="AO199" s="59">
        <f t="shared" si="205"/>
        <v>96.700732426680929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49.41238267386148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2.8768744203360636E-21</v>
      </c>
      <c r="AX199" s="21">
        <f t="shared" si="166"/>
        <v>49.41238267386148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-2.2737367544323206E-13</v>
      </c>
      <c r="BE199" s="13">
        <f>BD199*VLOOKUP('Données projet'!$B$11,Paramètres!$A$1:$I$89,3,0)*VLOOKUP('Données projet'!$B$11,Paramètres!$A$1:$I$89,5,0)</f>
        <v>-1.915395841933787E-13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328.34986205643321</v>
      </c>
      <c r="BJ199" s="59">
        <f t="shared" si="206"/>
        <v>251.60894449147008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67.950364896834174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1.5188995024487192E-22</v>
      </c>
      <c r="BS199" s="22">
        <f t="shared" si="169"/>
        <v>67.950364896834174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-2.2737367544323206E-13</v>
      </c>
      <c r="BZ199" s="13">
        <f>BY199*VLOOKUP('Données projet'!$B$12,Paramètres!$A$1:$I$89,3,0)*VLOOKUP('Données projet'!$B$12,Paramètres!$A$1:$I$89,5,0)</f>
        <v>-2.0572770154103635E-13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360.44607552967267</v>
      </c>
      <c r="CE199" s="59">
        <f t="shared" si="207"/>
        <v>271.54361159160169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72.983725259562675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1.6314105767041807E-22</v>
      </c>
      <c r="CN199" s="22">
        <f t="shared" si="172"/>
        <v>72.983725259562675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309.89554000341082</v>
      </c>
      <c r="CZ199" s="59">
        <f t="shared" si="208"/>
        <v>465.9235824539021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9.4744918057307981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8.8562308287904543E-22</v>
      </c>
      <c r="DI199" s="22">
        <f t="shared" si="175"/>
        <v>9.4744918057307981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-1.4897523215040567E-13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281.82797419088109</v>
      </c>
      <c r="T200" s="59">
        <f t="shared" si="204"/>
        <v>298.98873283425371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22.091990506538394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2.6254320206988093E-22</v>
      </c>
      <c r="AC200" s="22">
        <f t="shared" si="163"/>
        <v>22.091990506538394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-3.694822225952521E-13</v>
      </c>
      <c r="AJ200" s="13">
        <f>AI200*VLOOKUP('Données projet'!$B$10,Paramètres!$A$1:$I$89,3,0)*VLOOKUP('Données projet'!$B$10,Paramètres!$A$1:$I$89,5,0)</f>
        <v>-3.6889105103909971E-13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206.53345322763442</v>
      </c>
      <c r="AO200" s="59">
        <f t="shared" si="205"/>
        <v>96.700732426680929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48.443435988204548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2.0342574112417487E-21</v>
      </c>
      <c r="AX200" s="21">
        <f t="shared" si="166"/>
        <v>48.443435988204548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-2.2737367544323206E-13</v>
      </c>
      <c r="BE200" s="13">
        <f>BD200*VLOOKUP('Données projet'!$B$11,Paramètres!$A$1:$I$89,3,0)*VLOOKUP('Données projet'!$B$11,Paramètres!$A$1:$I$89,5,0)</f>
        <v>-1.915395841933787E-13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328.34986205643321</v>
      </c>
      <c r="BJ200" s="59">
        <f t="shared" si="206"/>
        <v>251.60894449147008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66.617899686837433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1.0740241381223624E-22</v>
      </c>
      <c r="BS200" s="22">
        <f t="shared" si="169"/>
        <v>66.617899686837433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-2.2737367544323206E-13</v>
      </c>
      <c r="BZ200" s="13">
        <f>BY200*VLOOKUP('Données projet'!$B$12,Paramètres!$A$1:$I$89,3,0)*VLOOKUP('Données projet'!$B$12,Paramètres!$A$1:$I$89,5,0)</f>
        <v>-2.0572770154103635E-13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360.44607552967267</v>
      </c>
      <c r="CE200" s="59">
        <f t="shared" si="207"/>
        <v>271.54361159160169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71.552558922899507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1.1535814816869824E-22</v>
      </c>
      <c r="CN200" s="22">
        <f t="shared" si="172"/>
        <v>71.552558922899507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309.89554000341082</v>
      </c>
      <c r="CZ200" s="59">
        <f t="shared" si="208"/>
        <v>465.9235824539021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9.2887028002898031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6.2623008747910883E-22</v>
      </c>
      <c r="DI200" s="22">
        <f t="shared" si="175"/>
        <v>9.2887028002898031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-1.4897523215040567E-13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281.82797419088109</v>
      </c>
      <c r="T201" s="59">
        <f t="shared" si="204"/>
        <v>298.98873283425371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21.658780047488861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1.8564607853804283E-22</v>
      </c>
      <c r="AC201" s="22">
        <f t="shared" si="163"/>
        <v>21.658780047488861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-3.694822225952521E-13</v>
      </c>
      <c r="AJ201" s="13">
        <f>AI201*VLOOKUP('Données projet'!$B$10,Paramètres!$A$1:$I$89,3,0)*VLOOKUP('Données projet'!$B$10,Paramètres!$A$1:$I$89,5,0)</f>
        <v>-3.6889105103909971E-13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206.53345322763442</v>
      </c>
      <c r="AO201" s="59">
        <f t="shared" si="205"/>
        <v>96.700732426680929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47.493489756054231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1.4384372101680318E-21</v>
      </c>
      <c r="AX201" s="21">
        <f t="shared" si="166"/>
        <v>47.493489756054231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-2.2737367544323206E-13</v>
      </c>
      <c r="BE201" s="13">
        <f>BD201*VLOOKUP('Données projet'!$B$11,Paramètres!$A$1:$I$89,3,0)*VLOOKUP('Données projet'!$B$11,Paramètres!$A$1:$I$89,5,0)</f>
        <v>-1.915395841933787E-13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328.34986205643321</v>
      </c>
      <c r="BJ201" s="59">
        <f t="shared" si="206"/>
        <v>251.60894449147008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65.311563306885191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7.5944975122435958E-23</v>
      </c>
      <c r="BS201" s="22">
        <f t="shared" si="169"/>
        <v>65.311563306885191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-2.2737367544323206E-13</v>
      </c>
      <c r="BZ201" s="13">
        <f>BY201*VLOOKUP('Données projet'!$B$12,Paramètres!$A$1:$I$89,3,0)*VLOOKUP('Données projet'!$B$12,Paramètres!$A$1:$I$89,5,0)</f>
        <v>-2.0572770154103635E-13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360.44607552967267</v>
      </c>
      <c r="CE201" s="59">
        <f t="shared" si="207"/>
        <v>271.54361159160169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70.149456885173024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8.1570528835209035E-23</v>
      </c>
      <c r="CN201" s="22">
        <f t="shared" si="172"/>
        <v>70.149456885173024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309.89554000341082</v>
      </c>
      <c r="CZ201" s="59">
        <f t="shared" si="208"/>
        <v>465.9235824539021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9.1065570039254009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4.4281154143952272E-22</v>
      </c>
      <c r="DI201" s="22">
        <f t="shared" si="175"/>
        <v>9.1065570039254009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-1.4897523215040567E-13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281.82797419088109</v>
      </c>
      <c r="T202" s="59">
        <f t="shared" si="204"/>
        <v>298.98873283425371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21.234064581308999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1.3127160103494046E-22</v>
      </c>
      <c r="AC202" s="22">
        <f t="shared" si="163"/>
        <v>21.234064581308999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-3.694822225952521E-13</v>
      </c>
      <c r="AJ202" s="13">
        <f>AI202*VLOOKUP('Données projet'!$B$10,Paramètres!$A$1:$I$89,3,0)*VLOOKUP('Données projet'!$B$10,Paramètres!$A$1:$I$89,5,0)</f>
        <v>-3.6889105103909971E-13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206.53345322763442</v>
      </c>
      <c r="AO202" s="59">
        <f t="shared" si="205"/>
        <v>96.700732426680929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46.562171390106393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1.0171287056208743E-21</v>
      </c>
      <c r="AX202" s="21">
        <f t="shared" si="166"/>
        <v>46.562171390106393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-2.2737367544323206E-13</v>
      </c>
      <c r="BE202" s="13">
        <f>BD202*VLOOKUP('Données projet'!$B$11,Paramètres!$A$1:$I$89,3,0)*VLOOKUP('Données projet'!$B$11,Paramètres!$A$1:$I$89,5,0)</f>
        <v>-1.915395841933787E-13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328.34986205643321</v>
      </c>
      <c r="BJ202" s="59">
        <f t="shared" si="206"/>
        <v>251.60894449147008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64.030843386557294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5.3701206906118118E-23</v>
      </c>
      <c r="BS202" s="22">
        <f t="shared" si="169"/>
        <v>64.030843386557294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-2.2737367544323206E-13</v>
      </c>
      <c r="BZ202" s="13">
        <f>BY202*VLOOKUP('Données projet'!$B$12,Paramètres!$A$1:$I$89,3,0)*VLOOKUP('Données projet'!$B$12,Paramètres!$A$1:$I$89,5,0)</f>
        <v>-2.0572770154103635E-13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360.44607552967267</v>
      </c>
      <c r="CE202" s="59">
        <f t="shared" si="207"/>
        <v>271.54361159160169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68.773868822598615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5.767907408434912E-23</v>
      </c>
      <c r="CN202" s="22">
        <f t="shared" si="172"/>
        <v>68.773868822598615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309.89554000341082</v>
      </c>
      <c r="CZ202" s="59">
        <f t="shared" si="208"/>
        <v>465.9235824539021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8.9279829755297389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3.1311504373955442E-22</v>
      </c>
      <c r="DI202" s="22">
        <f t="shared" si="175"/>
        <v>8.9279829755297389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-1.4897523215040567E-13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281.82797419088109</v>
      </c>
      <c r="T203" s="59">
        <f t="shared" si="204"/>
        <v>298.98873283425371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20.817677526370069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9.2823039269021413E-23</v>
      </c>
      <c r="AC203" s="22">
        <f t="shared" si="163"/>
        <v>20.817677526370069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-3.694822225952521E-13</v>
      </c>
      <c r="AJ203" s="13">
        <f>AI203*VLOOKUP('Données projet'!$B$10,Paramètres!$A$1:$I$89,3,0)*VLOOKUP('Données projet'!$B$10,Paramètres!$A$1:$I$89,5,0)</f>
        <v>-3.6889105103909971E-13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206.53345322763442</v>
      </c>
      <c r="AO203" s="59">
        <f t="shared" si="205"/>
        <v>96.700732426680929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45.649115609266673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7.1921860508401591E-22</v>
      </c>
      <c r="AX203" s="21">
        <f t="shared" si="166"/>
        <v>45.649115609266673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-2.2737367544323206E-13</v>
      </c>
      <c r="BE203" s="13">
        <f>BD203*VLOOKUP('Données projet'!$B$11,Paramètres!$A$1:$I$89,3,0)*VLOOKUP('Données projet'!$B$11,Paramètres!$A$1:$I$89,5,0)</f>
        <v>-1.915395841933787E-13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328.34986205643321</v>
      </c>
      <c r="BJ203" s="59">
        <f t="shared" si="206"/>
        <v>251.60894449147008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62.775237602705012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3.7972487561217979E-23</v>
      </c>
      <c r="BS203" s="22">
        <f t="shared" si="169"/>
        <v>62.775237602705012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-2.2737367544323206E-13</v>
      </c>
      <c r="BZ203" s="13">
        <f>BY203*VLOOKUP('Données projet'!$B$12,Paramètres!$A$1:$I$89,3,0)*VLOOKUP('Données projet'!$B$12,Paramètres!$A$1:$I$89,5,0)</f>
        <v>-2.0572770154103635E-13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360.44607552967267</v>
      </c>
      <c r="CE203" s="59">
        <f t="shared" si="207"/>
        <v>271.54361159160169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67.425255202905419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4.0785264417604517E-23</v>
      </c>
      <c r="CN203" s="22">
        <f t="shared" si="172"/>
        <v>67.425255202905419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309.89554000341082</v>
      </c>
      <c r="CZ203" s="59">
        <f t="shared" si="208"/>
        <v>465.9235824539021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8.7529106749115133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2.2140577071976136E-22</v>
      </c>
      <c r="DI203" s="22">
        <f t="shared" si="175"/>
        <v>8.7529106749115133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1.4269435884576509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1.1422113165588705</v>
      </c>
      <c r="BA205" s="82">
        <f>EXP(LN('Données projet'!B88)/'Données projet'!A88)</f>
        <v>1.2392705892426346</v>
      </c>
      <c r="BV205" s="82">
        <f>EXP(LN('Données projet'!B114)/'Données projet'!A114)</f>
        <v>1.2392705892426346</v>
      </c>
      <c r="CQ205" s="82">
        <f>EXP(LN('Données projet'!B140)/'Données projet'!A140)</f>
        <v>1.6298197193463291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zoomScale="90" zoomScaleNormal="90" workbookViewId="0">
      <selection activeCell="M13" sqref="M13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rouge d'Amérique</v>
      </c>
      <c r="B6" s="146">
        <f>'Données projet'!D9</f>
        <v>1.3125</v>
      </c>
      <c r="C6" s="147">
        <f ca="1">IF(OR('Données projet'!B9="",'Données projet'!C9="",'Données projet'!C9=0%),0,Calculateur!S3)</f>
        <v>281.82797419088109</v>
      </c>
      <c r="D6" s="147">
        <f>IF(OR('Données projet'!B9="",'Données projet'!C9="",'Données projet'!C9=0%),0,Calculateur!T3)</f>
        <v>298.98873283425371</v>
      </c>
      <c r="E6" s="147">
        <f ca="1">MIN(C6,D6)</f>
        <v>281.82797419088109</v>
      </c>
      <c r="F6" s="147">
        <f ca="1">E6*B6</f>
        <v>369.89921612553144</v>
      </c>
      <c r="G6" s="147">
        <f ca="1">F6*(100%-'Données projet'!$C$24)*(100%-'Données projet'!$C$25)*(100%-'Données projet'!$C$26)*(100%-'Données projet'!$C$27)</f>
        <v>253.01106382986353</v>
      </c>
      <c r="H6" s="148">
        <f>IF(OR('Données projet'!B9="",'Données projet'!C9="",'Données projet'!C9=0%),0,AVERAGE(Calculateur!$AC$3:$AC$33)*B6)</f>
        <v>3.590633638332672</v>
      </c>
      <c r="I6" s="149">
        <f>H6*(100%-'Données projet'!$C$24)*(100%-'Données projet'!$C$25)*(100%-'Données projet'!$C$26)*(100%-'Données projet'!$C$27)</f>
        <v>2.4559934086195478</v>
      </c>
      <c r="J6" s="150">
        <f>IF(OR('Données projet'!B9="",'Données projet'!C9="",'Données projet'!C9=0%),0,SUM(Calculateur!$V$3:$V$33)*VLOOKUP('Données projet'!$B$9,Paramètres!$A$1:$I$89,9,0)*B6)</f>
        <v>40.03125</v>
      </c>
      <c r="K6" s="151">
        <f>J6*(100%-'Données projet'!$C$24)*(100%-'Données projet'!$C$25)*(100%-'Données projet'!$C$26)*(100%-'Données projet'!$C$27)</f>
        <v>27.381374999999998</v>
      </c>
      <c r="L6" s="152">
        <f ca="1">G6+I6+K6</f>
        <v>282.8484322384831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tauzin</v>
      </c>
      <c r="B7" s="154">
        <f>'Données projet'!D10</f>
        <v>0.89250000000000007</v>
      </c>
      <c r="C7" s="147">
        <f ca="1">IF(OR('Données projet'!B10="",'Données projet'!C10="",'Données projet'!C10=0%),0,Calculateur!AN3)</f>
        <v>206.53345322763442</v>
      </c>
      <c r="D7" s="147">
        <f>IF(OR('Données projet'!B10="",'Données projet'!C10="",'Données projet'!C10=0%),0,Calculateur!AO3)</f>
        <v>96.700732426680929</v>
      </c>
      <c r="E7" s="147">
        <f t="shared" ref="E7:E15" ca="1" si="0">MIN(C7,D7)</f>
        <v>96.700732426680929</v>
      </c>
      <c r="F7" s="147">
        <f t="shared" ref="F7:F15" ca="1" si="1">E7*B7</f>
        <v>86.305403690812739</v>
      </c>
      <c r="G7" s="147">
        <f ca="1">F7*(100%-'Données projet'!$C$24)*(100%-'Données projet'!$C$25)*(100%-'Données projet'!$C$26)*(100%-'Données projet'!$C$27)</f>
        <v>59.032896124515915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59.032896124515915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pédonculé</v>
      </c>
      <c r="B8" s="154">
        <f>'Données projet'!D11</f>
        <v>1.365</v>
      </c>
      <c r="C8" s="147">
        <f ca="1">IF(OR('Données projet'!B11="",'Données projet'!C11="",'Données projet'!C11=0%),0,Calculateur!BI3)</f>
        <v>328.34986205643321</v>
      </c>
      <c r="D8" s="147">
        <f>IF(OR('Données projet'!B11="",'Données projet'!C11="",'Données projet'!C11=0%),0,Calculateur!BJ3)</f>
        <v>251.60894449147008</v>
      </c>
      <c r="E8" s="147">
        <f t="shared" ca="1" si="0"/>
        <v>251.60894449147008</v>
      </c>
      <c r="F8" s="147">
        <f t="shared" ca="1" si="1"/>
        <v>343.44620923085665</v>
      </c>
      <c r="G8" s="147">
        <f ca="1">F8*(100%-'Données projet'!$C$24)*(100%-'Données projet'!$C$25)*(100%-'Données projet'!$C$26)*(100%-'Données projet'!$C$27)</f>
        <v>234.91720711390596</v>
      </c>
      <c r="H8" s="155">
        <f>IF(OR('Données projet'!B11="",'Données projet'!C11="",'Données projet'!C11=0%),0,AVERAGE(Calculateur!$BS$3:$BS$33)*B8)</f>
        <v>2.6609918473303118</v>
      </c>
      <c r="I8" s="149">
        <f>H8*(100%-'Données projet'!$C$24)*(100%-'Données projet'!$C$25)*(100%-'Données projet'!$C$26)*(100%-'Données projet'!$C$27)</f>
        <v>1.8201184235739334</v>
      </c>
      <c r="J8" s="150">
        <f>IF(OR('Données projet'!B11="",'Données projet'!C11="",'Données projet'!C11=0%),0,SUM(Calculateur!$BL$3:$BL$33)*VLOOKUP('Données projet'!$B$11,Paramètres!$A$1:$I$89,9,0)*B8)</f>
        <v>21.157499999999999</v>
      </c>
      <c r="K8" s="151">
        <f>J8*(100%-'Données projet'!$C$24)*(100%-'Données projet'!$C$25)*(100%-'Données projet'!$C$26)*(100%-'Données projet'!$C$27)</f>
        <v>14.471729999999999</v>
      </c>
      <c r="L8" s="152">
        <f t="shared" ca="1" si="2"/>
        <v>251.20905553747991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 sessile</v>
      </c>
      <c r="B9" s="154">
        <f>'Données projet'!D12</f>
        <v>1.3125</v>
      </c>
      <c r="C9" s="147">
        <f ca="1">IF(OR('Données projet'!B12="",'Données projet'!C12="",'Données projet'!C12=0%),0,Calculateur!CD3)</f>
        <v>360.44607552967267</v>
      </c>
      <c r="D9" s="147">
        <f>IF(OR('Données projet'!B12="",'Données projet'!C12="",'Données projet'!C12=0%),0,Calculateur!CE3)</f>
        <v>271.54361159160169</v>
      </c>
      <c r="E9" s="147">
        <f t="shared" ca="1" si="0"/>
        <v>271.54361159160169</v>
      </c>
      <c r="F9" s="147">
        <f t="shared" ca="1" si="1"/>
        <v>356.4009902139772</v>
      </c>
      <c r="G9" s="147">
        <f ca="1">F9*(100%-'Données projet'!$C$24)*(100%-'Données projet'!$C$25)*(100%-'Données projet'!$C$26)*(100%-'Données projet'!$C$27)</f>
        <v>243.77827730636042</v>
      </c>
      <c r="H9" s="155">
        <f>IF(OR('Données projet'!B12="",'Données projet'!C12="",'Données projet'!C12=0%),0,AVERAGE(Calculateur!$CN$3:$CN$33)*B9)</f>
        <v>2.7481753409038125</v>
      </c>
      <c r="I9" s="149">
        <f>H9*(100%-'Données projet'!$C$24)*(100%-'Données projet'!$C$25)*(100%-'Données projet'!$C$26)*(100%-'Données projet'!$C$27)</f>
        <v>1.879751933178208</v>
      </c>
      <c r="J9" s="150">
        <f>IF(OR('Données projet'!B12="",'Données projet'!C12="",'Données projet'!C12=0%),0,SUM(Calculateur!$CG$3:$CG$33)*VLOOKUP('Données projet'!$B$12,Paramètres!$A$1:$I$89,9,0)*B9)</f>
        <v>20.34375</v>
      </c>
      <c r="K9" s="151">
        <f>J9*(100%-'Données projet'!$C$24)*(100%-'Données projet'!$C$25)*(100%-'Données projet'!$C$26)*(100%-'Données projet'!$C$27)</f>
        <v>13.915125000000002</v>
      </c>
      <c r="L9" s="152">
        <f t="shared" ca="1" si="2"/>
        <v>259.57315423953861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Peuplier Raspalje</v>
      </c>
      <c r="B10" s="154">
        <f>'Données projet'!D13</f>
        <v>0.36750000000000005</v>
      </c>
      <c r="C10" s="147">
        <f ca="1">IF(OR('Données projet'!B13="",'Données projet'!C13="",'Données projet'!C13=0%),0,Calculateur!CY3)</f>
        <v>309.89554000341082</v>
      </c>
      <c r="D10" s="147">
        <f>IF(OR('Données projet'!B13="",'Données projet'!C13="",'Données projet'!C13=0%),0,Calculateur!CZ3)</f>
        <v>465.9235824539021</v>
      </c>
      <c r="E10" s="147">
        <f t="shared" ca="1" si="0"/>
        <v>309.89554000341082</v>
      </c>
      <c r="F10" s="147">
        <f t="shared" ca="1" si="1"/>
        <v>113.88661095125349</v>
      </c>
      <c r="G10" s="147">
        <f ca="1">F10*(100%-'Données projet'!$C$24)*(100%-'Données projet'!$C$25)*(100%-'Données projet'!$C$26)*(100%-'Données projet'!$C$27)</f>
        <v>77.898441890657395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77.898441890657395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1269.9384302124315</v>
      </c>
      <c r="G16" s="166">
        <f t="shared" ca="1" si="3"/>
        <v>868.63788626530322</v>
      </c>
      <c r="H16" s="167">
        <f t="shared" si="3"/>
        <v>8.9998008265667977</v>
      </c>
      <c r="I16" s="167">
        <f t="shared" si="3"/>
        <v>6.1558637653716897</v>
      </c>
      <c r="J16" s="168">
        <f t="shared" si="3"/>
        <v>81.532499999999999</v>
      </c>
      <c r="K16" s="168">
        <f t="shared" si="3"/>
        <v>55.768230000000003</v>
      </c>
      <c r="L16" s="169">
        <f t="shared" ca="1" si="3"/>
        <v>930.56198003067482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rouge d'Amérique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tauzin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pédonculé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 sessile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Peuplier Raspalje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25" right="0.25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rouge d'Amérique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1.3125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tauzin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0.89250000000000007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pédonculé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1.365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sessile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1.3125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rouge d'Amérique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Peuplier Raspalje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0.36750000000000005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15</v>
      </c>
      <c r="B24" s="181">
        <f>'Données projet'!D37</f>
        <v>30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29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0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25</v>
      </c>
      <c r="B26" s="181">
        <f>'Données projet'!D39</f>
        <v>31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n'est pas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30</v>
      </c>
      <c r="B27" s="181">
        <f>'Données projet'!D40</f>
        <v>32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35</v>
      </c>
      <c r="B28" s="181">
        <f>'Données projet'!D41</f>
        <v>32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31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45</v>
      </c>
      <c r="B30" s="181">
        <f>'Données projet'!D43</f>
        <v>30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50</v>
      </c>
      <c r="B31" s="181">
        <f>'Données projet'!D44</f>
        <v>28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55</v>
      </c>
      <c r="B32" s="181">
        <f>'Données projet'!D45</f>
        <v>26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60</v>
      </c>
      <c r="B33" s="181">
        <f>'Données projet'!D46</f>
        <v>24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65</v>
      </c>
      <c r="B34" s="181">
        <f>'Données projet'!D47</f>
        <v>22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70</v>
      </c>
      <c r="B35" s="181">
        <f>'Données projet'!D48</f>
        <v>21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75</v>
      </c>
      <c r="B36" s="181">
        <f>'Données projet'!D49</f>
        <v>19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80</v>
      </c>
      <c r="B37" s="181">
        <f>'Données projet'!D50</f>
        <v>17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85</v>
      </c>
      <c r="B38" s="181">
        <f>'Données projet'!D51</f>
        <v>16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90</v>
      </c>
      <c r="B39" s="181">
        <f>'Données projet'!D52</f>
        <v>14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95</v>
      </c>
      <c r="B40" s="181">
        <f>'Données projet'!D53</f>
        <v>13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100</v>
      </c>
      <c r="B41" s="181">
        <f>'Données projet'!D54</f>
        <v>273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tauzin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40</v>
      </c>
      <c r="B55" s="181">
        <f>'Données projet'!D63</f>
        <v>27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50</v>
      </c>
      <c r="B56" s="181">
        <f>'Données projet'!D64</f>
        <v>28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60</v>
      </c>
      <c r="B57" s="181">
        <f>'Données projet'!D65</f>
        <v>28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70</v>
      </c>
      <c r="B58" s="181">
        <f>'Données projet'!D66</f>
        <v>28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80</v>
      </c>
      <c r="B59" s="181">
        <f>'Données projet'!D67</f>
        <v>28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90</v>
      </c>
      <c r="B60" s="181">
        <f>'Données projet'!D68</f>
        <v>28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100</v>
      </c>
      <c r="B61" s="181">
        <f>'Données projet'!D69</f>
        <v>28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110</v>
      </c>
      <c r="B62" s="181">
        <f>'Données projet'!D70</f>
        <v>27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120</v>
      </c>
      <c r="B63" s="181">
        <f>'Données projet'!D71</f>
        <v>25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130</v>
      </c>
      <c r="B64" s="181">
        <f>'Données projet'!D72</f>
        <v>21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140</v>
      </c>
      <c r="B65" s="181">
        <f>'Données projet'!D73</f>
        <v>17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150</v>
      </c>
      <c r="B66" s="181">
        <f>'Données projet'!D74</f>
        <v>223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pédonculé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6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56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56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56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56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56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56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90</v>
      </c>
      <c r="B92" s="181">
        <f>'Données projet'!D95</f>
        <v>56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100</v>
      </c>
      <c r="B93" s="181">
        <f>'Données projet'!D96</f>
        <v>55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110</v>
      </c>
      <c r="B94" s="181">
        <f>'Données projet'!D97</f>
        <v>51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120</v>
      </c>
      <c r="B95" s="181">
        <f>'Données projet'!D98</f>
        <v>47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130</v>
      </c>
      <c r="B96" s="181">
        <f>'Données projet'!D99</f>
        <v>44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140</v>
      </c>
      <c r="B97" s="181">
        <f>'Données projet'!D100</f>
        <v>41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150</v>
      </c>
      <c r="B98" s="181">
        <f>'Données projet'!D101</f>
        <v>333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Chêne sessile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20</v>
      </c>
      <c r="B116" s="181">
        <f>'Données projet'!D114</f>
        <v>6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30</v>
      </c>
      <c r="B117" s="181">
        <f>'Données projet'!D115</f>
        <v>56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40</v>
      </c>
      <c r="B118" s="181">
        <f>'Données projet'!D116</f>
        <v>56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50</v>
      </c>
      <c r="B119" s="181">
        <f>'Données projet'!D117</f>
        <v>56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60</v>
      </c>
      <c r="B120" s="181">
        <f>'Données projet'!D118</f>
        <v>56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70</v>
      </c>
      <c r="B121" s="181">
        <f>'Données projet'!D119</f>
        <v>56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80</v>
      </c>
      <c r="B122" s="181">
        <f>'Données projet'!D120</f>
        <v>56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90</v>
      </c>
      <c r="B123" s="181">
        <f>'Données projet'!D121</f>
        <v>56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100</v>
      </c>
      <c r="B124" s="181">
        <f>'Données projet'!D122</f>
        <v>55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110</v>
      </c>
      <c r="B125" s="181">
        <f>'Données projet'!D123</f>
        <v>51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120</v>
      </c>
      <c r="B126" s="181">
        <f>'Données projet'!D124</f>
        <v>47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130</v>
      </c>
      <c r="B127" s="181">
        <f>'Données projet'!D125</f>
        <v>44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140</v>
      </c>
      <c r="B128" s="181">
        <f>'Données projet'!D126</f>
        <v>41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150</v>
      </c>
      <c r="B129" s="181">
        <f>'Données projet'!D127</f>
        <v>333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Peuplier Raspalje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5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15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20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25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30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35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40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45</v>
      </c>
      <c r="B155" s="175">
        <f>'Données projet'!D148</f>
        <v>663.5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Guillaume CARRERE</cp:lastModifiedBy>
  <cp:lastPrinted>2023-11-13T14:09:18Z</cp:lastPrinted>
  <dcterms:created xsi:type="dcterms:W3CDTF">2021-02-01T08:22:39Z</dcterms:created>
  <dcterms:modified xsi:type="dcterms:W3CDTF">2025-04-30T06:29:26Z</dcterms:modified>
</cp:coreProperties>
</file>