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3-DEPOSE/375-R-BONHOMME-GES(57)-FLEURY-indivisionBon-Fleury&amp;PournoyLaGrasse-102,56ha/"/>
    </mc:Choice>
  </mc:AlternateContent>
  <xr:revisionPtr revIDLastSave="0" documentId="13_ncr:1_{93C3510A-3E77-F34D-9596-2078D7615E8A}" xr6:coauthVersionLast="47" xr6:coauthVersionMax="47" xr10:uidLastSave="{00000000-0000-0000-0000-000000000000}"/>
  <bookViews>
    <workbookView xWindow="-4040" yWindow="-26760" windowWidth="41240" windowHeight="240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FS18" i="2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B33" i="2"/>
  <c r="HG33" i="2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G38" i="2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HI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G107" i="2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ED154" i="2"/>
  <c r="EA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X156" i="2"/>
  <c r="HI156" i="2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CN156" i="2"/>
  <c r="EA157" i="2"/>
  <c r="HH157" i="2"/>
  <c r="EC157" i="2"/>
  <c r="ED157" i="2" s="1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HH158" i="2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H160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D160" i="2"/>
  <c r="EB161" i="2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Y161" i="2"/>
  <c r="EC162" i="2"/>
  <c r="EW162" i="2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A163" i="2"/>
  <c r="EV163" i="2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DH164" i="2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Y166" i="2"/>
  <c r="EA167" i="2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EW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EB169" i="2"/>
  <c r="EX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D171" i="2"/>
  <c r="EA172" i="2"/>
  <c r="EV172" i="2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EW178" i="2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EA179" i="2"/>
  <c r="ED178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EY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B185" i="2"/>
  <c r="EA185" i="2"/>
  <c r="HG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EA186" i="2"/>
  <c r="ED185" i="2"/>
  <c r="HH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V190" i="2"/>
  <c r="EB190" i="2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HI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DI192" i="2"/>
  <c r="FQ193" i="2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EB195" i="2"/>
  <c r="ED194" i="2"/>
  <c r="EY194" i="2"/>
  <c r="EX195" i="2"/>
  <c r="DH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HG197" i="2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V199" i="2"/>
  <c r="HG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 l="1"/>
  <c r="EB201" i="2"/>
  <c r="EA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W202" i="2"/>
  <c r="FZ6" i="2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DN167" i="2" l="1" a="1"/>
  <c r="DN167" i="2" s="1"/>
  <c r="DN80" i="2" a="1"/>
  <c r="DN80" i="2" s="1"/>
  <c r="DN187" i="2" a="1"/>
  <c r="DN187" i="2" s="1"/>
  <c r="DN25" i="2" a="1"/>
  <c r="DN25" i="2" s="1"/>
  <c r="DN30" i="2" a="1"/>
  <c r="DN30" i="2" s="1"/>
  <c r="EI109" i="2" a="1"/>
  <c r="EI109" i="2" s="1"/>
  <c r="EI29" i="2" a="1"/>
  <c r="EI29" i="2" s="1"/>
  <c r="EI145" i="2" a="1"/>
  <c r="EI145" i="2" s="1"/>
  <c r="EI142" i="2" a="1"/>
  <c r="EI142" i="2" s="1"/>
  <c r="EI178" i="2" a="1"/>
  <c r="EI178" i="2" s="1"/>
  <c r="EI150" i="2" a="1"/>
  <c r="EI150" i="2" s="1"/>
  <c r="EI162" i="2" a="1"/>
  <c r="EI162" i="2" s="1"/>
  <c r="DN31" i="2" a="1"/>
  <c r="DN31" i="2" s="1"/>
  <c r="DN113" i="2" a="1"/>
  <c r="DN113" i="2" s="1"/>
  <c r="DN124" i="2" a="1"/>
  <c r="DN124" i="2" s="1"/>
  <c r="DN46" i="2" a="1"/>
  <c r="DN46" i="2" s="1"/>
  <c r="DN192" i="2" a="1"/>
  <c r="DN192" i="2" s="1"/>
  <c r="DN176" i="2" a="1"/>
  <c r="DN176" i="2" s="1"/>
  <c r="DN66" i="2" a="1"/>
  <c r="DN66" i="2" s="1"/>
  <c r="DN132" i="2" a="1"/>
  <c r="DN132" i="2" s="1"/>
  <c r="DN110" i="2" a="1"/>
  <c r="DN110" i="2" s="1"/>
  <c r="DN150" i="2" a="1"/>
  <c r="DN150" i="2" s="1"/>
  <c r="DN50" i="2" a="1"/>
  <c r="DN50" i="2" s="1"/>
  <c r="DN16" i="2" a="1"/>
  <c r="DN16" i="2" s="1"/>
  <c r="DN168" i="2" a="1"/>
  <c r="DN168" i="2" s="1"/>
  <c r="DN188" i="2" a="1"/>
  <c r="DN188" i="2" s="1"/>
  <c r="DN184" i="2" a="1"/>
  <c r="DN184" i="2" s="1"/>
  <c r="DN114" i="2" a="1"/>
  <c r="DN114" i="2" s="1"/>
  <c r="DN86" i="2" a="1"/>
  <c r="DN86" i="2" s="1"/>
  <c r="DN152" i="2" a="1"/>
  <c r="DN152" i="2" s="1"/>
  <c r="DN155" i="2" a="1"/>
  <c r="DN155" i="2" s="1"/>
  <c r="DN49" i="2" a="1"/>
  <c r="DN49" i="2" s="1"/>
  <c r="DN103" i="2" a="1"/>
  <c r="DN103" i="2" s="1"/>
  <c r="DN177" i="2" a="1"/>
  <c r="DN177" i="2" s="1"/>
  <c r="DN29" i="2" a="1"/>
  <c r="DN29" i="2" s="1"/>
  <c r="DN133" i="2" a="1"/>
  <c r="DN133" i="2" s="1"/>
  <c r="DN63" i="2" a="1"/>
  <c r="DN63" i="2" s="1"/>
  <c r="DN115" i="2" a="1"/>
  <c r="DN115" i="2" s="1"/>
  <c r="DN41" i="2" a="1"/>
  <c r="DN41" i="2" s="1"/>
  <c r="DN164" i="2" a="1"/>
  <c r="DN164" i="2" s="1"/>
  <c r="DN135" i="2" a="1"/>
  <c r="DN135" i="2" s="1"/>
  <c r="DN123" i="2" a="1"/>
  <c r="DN123" i="2" s="1"/>
  <c r="DN153" i="2" a="1"/>
  <c r="DN153" i="2" s="1"/>
  <c r="DN43" i="2" a="1"/>
  <c r="DN43" i="2" s="1"/>
  <c r="DN190" i="2" a="1"/>
  <c r="DN190" i="2" s="1"/>
  <c r="DN65" i="2" a="1"/>
  <c r="DN65" i="2" s="1"/>
  <c r="DN38" i="2" a="1"/>
  <c r="DN38" i="2" s="1"/>
  <c r="DN170" i="2" a="1"/>
  <c r="DN170" i="2" s="1"/>
  <c r="DN186" i="2" a="1"/>
  <c r="DN186" i="2" s="1"/>
  <c r="DN56" i="2" a="1"/>
  <c r="DN56" i="2" s="1"/>
  <c r="DN162" i="2" a="1"/>
  <c r="DN162" i="2" s="1"/>
  <c r="DN45" i="2" a="1"/>
  <c r="DN45" i="2" s="1"/>
  <c r="DN70" i="2" a="1"/>
  <c r="DN70" i="2" s="1"/>
  <c r="DN55" i="2" a="1"/>
  <c r="DN55" i="2" s="1"/>
  <c r="DN129" i="2" a="1"/>
  <c r="DN129" i="2" s="1"/>
  <c r="DN137" i="2" a="1"/>
  <c r="DN137" i="2" s="1"/>
  <c r="BX107" i="2" a="1"/>
  <c r="BX107" i="2" s="1"/>
  <c r="BC34" i="2" a="1"/>
  <c r="BC34" i="2" s="1"/>
  <c r="BC117" i="2" a="1"/>
  <c r="BC117" i="2" s="1"/>
  <c r="BC114" i="2" a="1"/>
  <c r="BC114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151" i="2" a="1"/>
  <c r="AH151" i="2" s="1"/>
  <c r="BP203" i="2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<sst xmlns="http://schemas.openxmlformats.org/spreadsheetml/2006/main" count="1174" uniqueCount="324">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</sst>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1.9914198414577886</c:v>
                </c:pt>
                <c:pt idx="2">
                  <c:v>2.7289233183419519</c:v>
                </c:pt>
                <c:pt idx="3">
                  <c:v>3.7407217864361395</c:v>
                </c:pt>
                <c:pt idx="4">
                  <c:v>5.1292410353274507</c:v>
                </c:pt>
                <c:pt idx="5">
                  <c:v>7.0352968117768029</c:v>
                </c:pt>
                <c:pt idx="6">
                  <c:v>9.6525332261390329</c:v>
                </c:pt>
                <c:pt idx="7">
                  <c:v>13.247308576451649</c:v>
                </c:pt>
                <c:pt idx="8">
                  <c:v>18.18608974510439</c:v>
                </c:pt>
                <c:pt idx="9">
                  <c:v>24.973198242612366</c:v>
                </c:pt>
                <c:pt idx="10">
                  <c:v>44.766482006518224</c:v>
                </c:pt>
                <c:pt idx="11">
                  <c:v>70.522804742635273</c:v>
                </c:pt>
                <c:pt idx="12">
                  <c:v>96.033244688612285</c:v>
                </c:pt>
                <c:pt idx="13">
                  <c:v>121.37353830457452</c:v>
                </c:pt>
                <c:pt idx="14">
                  <c:v>146.58450603121184</c:v>
                </c:pt>
                <c:pt idx="15">
                  <c:v>171.69161142115624</c:v>
                </c:pt>
                <c:pt idx="16">
                  <c:v>158.86056609277875</c:v>
                </c:pt>
                <c:pt idx="17">
                  <c:v>198.15113341613207</c:v>
                </c:pt>
                <c:pt idx="18">
                  <c:v>237.260267991604</c:v>
                </c:pt>
                <c:pt idx="19">
                  <c:v>276.22215393896585</c:v>
                </c:pt>
                <c:pt idx="20">
                  <c:v>315.06049432590208</c:v>
                </c:pt>
                <c:pt idx="21">
                  <c:v>353.79265467667301</c:v>
                </c:pt>
                <c:pt idx="22">
                  <c:v>392.43188259544121</c:v>
                </c:pt>
                <c:pt idx="23">
                  <c:v>343.11697056662803</c:v>
                </c:pt>
                <c:pt idx="24">
                  <c:v>384.39624717574969</c:v>
                </c:pt>
                <c:pt idx="25">
                  <c:v>425.57917293437691</c:v>
                </c:pt>
                <c:pt idx="26">
                  <c:v>466.67636841166092</c:v>
                </c:pt>
                <c:pt idx="27">
                  <c:v>507.69643173702929</c:v>
                </c:pt>
                <c:pt idx="28">
                  <c:v>548.64645944119263</c:v>
                </c:pt>
                <c:pt idx="29">
                  <c:v>589.53240349813132</c:v>
                </c:pt>
                <c:pt idx="30">
                  <c:v>630.35932409747272</c:v>
                </c:pt>
                <c:pt idx="31">
                  <c:v>552.22420264635673</c:v>
                </c:pt>
                <c:pt idx="32">
                  <c:v>588.56548623779656</c:v>
                </c:pt>
                <c:pt idx="33">
                  <c:v>624.86005610679979</c:v>
                </c:pt>
                <c:pt idx="34">
                  <c:v>661.11100196562018</c:v>
                </c:pt>
                <c:pt idx="35">
                  <c:v>697.32104760639561</c:v>
                </c:pt>
                <c:pt idx="36">
                  <c:v>733.49261135920869</c:v>
                </c:pt>
                <c:pt idx="37">
                  <c:v>769.62785401516373</c:v>
                </c:pt>
                <c:pt idx="38">
                  <c:v>805.72871729097585</c:v>
                </c:pt>
                <c:pt idx="39">
                  <c:v>841.79695504993504</c:v>
                </c:pt>
                <c:pt idx="40">
                  <c:v>758.54316435646831</c:v>
                </c:pt>
                <c:pt idx="41">
                  <c:v>793.7422401842731</c:v>
                </c:pt>
                <c:pt idx="42">
                  <c:v>828.90978403196914</c:v>
                </c:pt>
                <c:pt idx="43">
                  <c:v>864.04731914082402</c:v>
                </c:pt>
                <c:pt idx="44">
                  <c:v>899.15623500505865</c:v>
                </c:pt>
                <c:pt idx="45">
                  <c:v>934.23780397953851</c:v>
                </c:pt>
                <c:pt idx="46">
                  <c:v>969.29319526728671</c:v>
                </c:pt>
                <c:pt idx="47">
                  <c:v>1004.3234867817722</c:v>
                </c:pt>
                <c:pt idx="48">
                  <c:v>1039.3296752710996</c:v>
                </c:pt>
                <c:pt idx="49">
                  <c:v>1074.3126850098267</c:v>
                </c:pt>
                <c:pt idx="50">
                  <c:v>993.81697402350494</c:v>
                </c:pt>
                <c:pt idx="51">
                  <c:v>1025.3300315538311</c:v>
                </c:pt>
                <c:pt idx="52">
                  <c:v>1056.8240223357559</c:v>
                </c:pt>
                <c:pt idx="53">
                  <c:v>1088.2995933681141</c:v>
                </c:pt>
                <c:pt idx="54">
                  <c:v>1119.7573512513816</c:v>
                </c:pt>
                <c:pt idx="55">
                  <c:v>1151.197865796019</c:v>
                </c:pt>
                <c:pt idx="56">
                  <c:v>1182.6216732169125</c:v>
                </c:pt>
                <c:pt idx="57">
                  <c:v>1214.0292789713337</c:v>
                </c:pt>
                <c:pt idx="58">
                  <c:v>1245.4211602885582</c:v>
                </c:pt>
                <c:pt idx="59">
                  <c:v>1276.7977684317236</c:v>
                </c:pt>
                <c:pt idx="60">
                  <c:v>1308.1595307262635</c:v>
                </c:pt>
                <c:pt idx="61">
                  <c:v>810.93910337231716</c:v>
                </c:pt>
                <c:pt idx="62">
                  <c:v>843.35876572637517</c:v>
                </c:pt>
                <c:pt idx="63">
                  <c:v>875.75340591339534</c:v>
                </c:pt>
                <c:pt idx="64">
                  <c:v>445.51971658482722</c:v>
                </c:pt>
                <c:pt idx="65">
                  <c:v>462.92110251448298</c:v>
                </c:pt>
                <c:pt idx="66">
                  <c:v>480.30853891265855</c:v>
                </c:pt>
                <c:pt idx="67">
                  <c:v>6.4094616558195571E-12</c:v>
                </c:pt>
                <c:pt idx="68">
                  <c:v>6.4094616558195571E-12</c:v>
                </c:pt>
                <c:pt idx="69">
                  <c:v>6.4094616558195571E-12</c:v>
                </c:pt>
                <c:pt idx="70">
                  <c:v>6.4094616558195571E-12</c:v>
                </c:pt>
                <c:pt idx="71">
                  <c:v>6.4094616558195571E-12</c:v>
                </c:pt>
                <c:pt idx="72">
                  <c:v>6.4094616558195571E-12</c:v>
                </c:pt>
                <c:pt idx="73">
                  <c:v>6.4094616558195571E-12</c:v>
                </c:pt>
                <c:pt idx="74">
                  <c:v>6.4094616558195571E-12</c:v>
                </c:pt>
                <c:pt idx="75">
                  <c:v>6.4094616558195571E-12</c:v>
                </c:pt>
                <c:pt idx="76">
                  <c:v>6.4094616558195571E-12</c:v>
                </c:pt>
                <c:pt idx="77">
                  <c:v>6.4094616558195571E-12</c:v>
                </c:pt>
                <c:pt idx="78">
                  <c:v>6.4094616558195571E-12</c:v>
                </c:pt>
                <c:pt idx="79">
                  <c:v>6.4094616558195571E-12</c:v>
                </c:pt>
                <c:pt idx="80">
                  <c:v>6.4094616558195571E-12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2.1004094302584808</c:v>
                </c:pt>
                <c:pt idx="2">
                  <c:v>3.1057989558476624</c:v>
                </c:pt>
                <c:pt idx="3">
                  <c:v>4.5946277138529732</c:v>
                </c:pt>
                <c:pt idx="4">
                  <c:v>6.8003480070198412</c:v>
                </c:pt>
                <c:pt idx="5">
                  <c:v>10.069591817822522</c:v>
                </c:pt>
                <c:pt idx="6">
                  <c:v>14.917240850276377</c:v>
                </c:pt>
                <c:pt idx="7">
                  <c:v>22.108381082418244</c:v>
                </c:pt>
                <c:pt idx="8">
                  <c:v>32.780306044698811</c:v>
                </c:pt>
                <c:pt idx="9">
                  <c:v>48.624196506660752</c:v>
                </c:pt>
                <c:pt idx="10">
                  <c:v>72.155748931369416</c:v>
                </c:pt>
                <c:pt idx="11">
                  <c:v>85.435729375828089</c:v>
                </c:pt>
                <c:pt idx="12">
                  <c:v>105.85986329993615</c:v>
                </c:pt>
                <c:pt idx="13">
                  <c:v>126.18647172443542</c:v>
                </c:pt>
                <c:pt idx="14">
                  <c:v>146.43353271796309</c:v>
                </c:pt>
                <c:pt idx="15">
                  <c:v>166.61361501076922</c:v>
                </c:pt>
                <c:pt idx="16">
                  <c:v>140.96197920027984</c:v>
                </c:pt>
                <c:pt idx="17">
                  <c:v>162.81966635497602</c:v>
                </c:pt>
                <c:pt idx="18">
                  <c:v>184.60788363043284</c:v>
                </c:pt>
                <c:pt idx="19">
                  <c:v>206.33599004357106</c:v>
                </c:pt>
                <c:pt idx="20">
                  <c:v>228.01120786322755</c:v>
                </c:pt>
                <c:pt idx="21">
                  <c:v>194.29801608239234</c:v>
                </c:pt>
                <c:pt idx="22">
                  <c:v>216.00176068460652</c:v>
                </c:pt>
                <c:pt idx="23">
                  <c:v>237.65532761500836</c:v>
                </c:pt>
                <c:pt idx="24">
                  <c:v>259.26393132726292</c:v>
                </c:pt>
                <c:pt idx="25">
                  <c:v>280.83184541341706</c:v>
                </c:pt>
                <c:pt idx="26">
                  <c:v>243.29650191025416</c:v>
                </c:pt>
                <c:pt idx="27">
                  <c:v>263.25225698326915</c:v>
                </c:pt>
                <c:pt idx="28">
                  <c:v>283.17388871622381</c:v>
                </c:pt>
                <c:pt idx="29">
                  <c:v>303.06413469570208</c:v>
                </c:pt>
                <c:pt idx="30">
                  <c:v>322.92534379451837</c:v>
                </c:pt>
                <c:pt idx="31">
                  <c:v>284.81306057448325</c:v>
                </c:pt>
                <c:pt idx="32">
                  <c:v>302.8303048722828</c:v>
                </c:pt>
                <c:pt idx="33">
                  <c:v>320.82370358138428</c:v>
                </c:pt>
                <c:pt idx="34">
                  <c:v>338.79478191393184</c:v>
                </c:pt>
                <c:pt idx="35">
                  <c:v>356.7448900832191</c:v>
                </c:pt>
                <c:pt idx="36">
                  <c:v>320.35663111918308</c:v>
                </c:pt>
                <c:pt idx="37">
                  <c:v>336.46208765640489</c:v>
                </c:pt>
                <c:pt idx="38">
                  <c:v>352.55057336629505</c:v>
                </c:pt>
                <c:pt idx="39">
                  <c:v>368.62297160187927</c:v>
                </c:pt>
                <c:pt idx="40">
                  <c:v>384.68008240792909</c:v>
                </c:pt>
                <c:pt idx="41">
                  <c:v>350.4530055560333</c:v>
                </c:pt>
                <c:pt idx="42">
                  <c:v>363.96591277003228</c:v>
                </c:pt>
                <c:pt idx="43">
                  <c:v>377.46786129486037</c:v>
                </c:pt>
                <c:pt idx="44">
                  <c:v>390.95929835292287</c:v>
                </c:pt>
                <c:pt idx="45">
                  <c:v>404.44063778104533</c:v>
                </c:pt>
                <c:pt idx="46">
                  <c:v>374.20974903573438</c:v>
                </c:pt>
                <c:pt idx="47">
                  <c:v>385.84306708196362</c:v>
                </c:pt>
                <c:pt idx="48">
                  <c:v>397.46876752677218</c:v>
                </c:pt>
                <c:pt idx="49">
                  <c:v>409.08710462349342</c:v>
                </c:pt>
                <c:pt idx="50">
                  <c:v>420.69831700274102</c:v>
                </c:pt>
                <c:pt idx="51">
                  <c:v>394.67928027168642</c:v>
                </c:pt>
                <c:pt idx="52">
                  <c:v>404.67298842307281</c:v>
                </c:pt>
                <c:pt idx="53">
                  <c:v>414.66136159701711</c:v>
                </c:pt>
                <c:pt idx="54">
                  <c:v>424.64454646320047</c:v>
                </c:pt>
                <c:pt idx="55">
                  <c:v>434.62268223025035</c:v>
                </c:pt>
                <c:pt idx="56">
                  <c:v>411.64217460618175</c:v>
                </c:pt>
                <c:pt idx="57">
                  <c:v>420.00184101993744</c:v>
                </c:pt>
                <c:pt idx="58">
                  <c:v>428.35792378910082</c:v>
                </c:pt>
                <c:pt idx="59">
                  <c:v>436.71050271409513</c:v>
                </c:pt>
                <c:pt idx="60">
                  <c:v>445.05965429231674</c:v>
                </c:pt>
                <c:pt idx="61">
                  <c:v>425.10875671204167</c:v>
                </c:pt>
                <c:pt idx="62">
                  <c:v>431.83858635941448</c:v>
                </c:pt>
                <c:pt idx="63">
                  <c:v>438.56616329067447</c:v>
                </c:pt>
                <c:pt idx="64">
                  <c:v>445.29152696032094</c:v>
                </c:pt>
                <c:pt idx="65">
                  <c:v>452.01471553305896</c:v>
                </c:pt>
                <c:pt idx="66">
                  <c:v>435.78260901240327</c:v>
                </c:pt>
                <c:pt idx="67">
                  <c:v>441.5812528768945</c:v>
                </c:pt>
                <c:pt idx="68">
                  <c:v>447.37826477754794</c:v>
                </c:pt>
                <c:pt idx="69">
                  <c:v>453.17366886059989</c:v>
                </c:pt>
                <c:pt idx="70">
                  <c:v>458.96748860385054</c:v>
                </c:pt>
                <c:pt idx="71">
                  <c:v>445.52339704212415</c:v>
                </c:pt>
                <c:pt idx="72">
                  <c:v>450.62388762801226</c:v>
                </c:pt>
                <c:pt idx="73">
                  <c:v>455.72314337334615</c:v>
                </c:pt>
                <c:pt idx="74">
                  <c:v>460.82118005626148</c:v>
                </c:pt>
                <c:pt idx="75">
                  <c:v>465.91801307702127</c:v>
                </c:pt>
                <c:pt idx="76">
                  <c:v>453.63723243721944</c:v>
                </c:pt>
                <c:pt idx="77">
                  <c:v>458.73576594494438</c:v>
                </c:pt>
                <c:pt idx="78">
                  <c:v>463.83308953522015</c:v>
                </c:pt>
                <c:pt idx="79">
                  <c:v>468.92921839125512</c:v>
                </c:pt>
                <c:pt idx="80">
                  <c:v>474.02416733906404</c:v>
                </c:pt>
                <c:pt idx="81">
                  <c:v>9.8459716521636505E-13</c:v>
                </c:pt>
                <c:pt idx="82">
                  <c:v>9.8459716521636505E-13</c:v>
                </c:pt>
                <c:pt idx="83">
                  <c:v>9.8459716521636505E-13</c:v>
                </c:pt>
                <c:pt idx="84">
                  <c:v>9.8459716521636505E-13</c:v>
                </c:pt>
                <c:pt idx="85">
                  <c:v>9.8459716521636505E-13</c:v>
                </c:pt>
                <c:pt idx="86">
                  <c:v>9.8459716521636505E-13</c:v>
                </c:pt>
                <c:pt idx="87">
                  <c:v>9.8459716521636505E-13</c:v>
                </c:pt>
                <c:pt idx="88">
                  <c:v>9.8459716521636505E-13</c:v>
                </c:pt>
                <c:pt idx="89">
                  <c:v>9.8459716521636505E-13</c:v>
                </c:pt>
                <c:pt idx="90">
                  <c:v>9.8459716521636505E-13</c:v>
                </c:pt>
                <c:pt idx="91">
                  <c:v>9.8459716521636505E-13</c:v>
                </c:pt>
                <c:pt idx="92">
                  <c:v>9.8459716521636505E-13</c:v>
                </c:pt>
                <c:pt idx="93">
                  <c:v>9.8459716521636505E-13</c:v>
                </c:pt>
                <c:pt idx="94">
                  <c:v>9.8459716521636505E-13</c:v>
                </c:pt>
                <c:pt idx="95">
                  <c:v>9.8459716521636505E-13</c:v>
                </c:pt>
                <c:pt idx="96">
                  <c:v>9.8459716521636505E-13</c:v>
                </c:pt>
                <c:pt idx="97">
                  <c:v>9.8459716521636505E-13</c:v>
                </c:pt>
                <c:pt idx="98">
                  <c:v>9.8459716521636505E-13</c:v>
                </c:pt>
                <c:pt idx="99">
                  <c:v>9.8459716521636505E-13</c:v>
                </c:pt>
                <c:pt idx="100">
                  <c:v>9.8459716521636505E-13</c:v>
                </c:pt>
                <c:pt idx="101">
                  <c:v>9.8459716521636505E-13</c:v>
                </c:pt>
                <c:pt idx="102">
                  <c:v>9.8459716521636505E-13</c:v>
                </c:pt>
                <c:pt idx="103">
                  <c:v>9.8459716521636505E-13</c:v>
                </c:pt>
                <c:pt idx="104">
                  <c:v>9.8459716521636505E-13</c:v>
                </c:pt>
                <c:pt idx="105">
                  <c:v>9.8459716521636505E-13</c:v>
                </c:pt>
                <c:pt idx="106">
                  <c:v>9.8459716521636505E-13</c:v>
                </c:pt>
                <c:pt idx="107">
                  <c:v>9.8459716521636505E-13</c:v>
                </c:pt>
                <c:pt idx="108">
                  <c:v>9.8459716521636505E-13</c:v>
                </c:pt>
                <c:pt idx="109">
                  <c:v>9.8459716521636505E-13</c:v>
                </c:pt>
                <c:pt idx="110">
                  <c:v>9.8459716521636505E-13</c:v>
                </c:pt>
                <c:pt idx="111">
                  <c:v>9.8459716521636505E-13</c:v>
                </c:pt>
                <c:pt idx="112">
                  <c:v>9.8459716521636505E-13</c:v>
                </c:pt>
                <c:pt idx="113">
                  <c:v>9.8459716521636505E-13</c:v>
                </c:pt>
                <c:pt idx="114">
                  <c:v>9.8459716521636505E-13</c:v>
                </c:pt>
                <c:pt idx="115">
                  <c:v>9.8459716521636505E-13</c:v>
                </c:pt>
                <c:pt idx="116">
                  <c:v>9.8459716521636505E-13</c:v>
                </c:pt>
                <c:pt idx="117">
                  <c:v>9.8459716521636505E-13</c:v>
                </c:pt>
                <c:pt idx="118">
                  <c:v>9.8459716521636505E-13</c:v>
                </c:pt>
                <c:pt idx="119">
                  <c:v>9.8459716521636505E-13</c:v>
                </c:pt>
                <c:pt idx="120">
                  <c:v>9.8459716521636505E-13</c:v>
                </c:pt>
                <c:pt idx="121">
                  <c:v>9.8459716521636505E-13</c:v>
                </c:pt>
                <c:pt idx="122">
                  <c:v>9.8459716521636505E-13</c:v>
                </c:pt>
                <c:pt idx="123">
                  <c:v>9.8459716521636505E-13</c:v>
                </c:pt>
                <c:pt idx="124">
                  <c:v>9.8459716521636505E-13</c:v>
                </c:pt>
                <c:pt idx="125">
                  <c:v>9.8459716521636505E-13</c:v>
                </c:pt>
                <c:pt idx="126">
                  <c:v>9.8459716521636505E-13</c:v>
                </c:pt>
                <c:pt idx="127">
                  <c:v>9.8459716521636505E-13</c:v>
                </c:pt>
                <c:pt idx="128">
                  <c:v>9.8459716521636505E-13</c:v>
                </c:pt>
                <c:pt idx="129">
                  <c:v>9.8459716521636505E-13</c:v>
                </c:pt>
                <c:pt idx="130">
                  <c:v>9.8459716521636505E-13</c:v>
                </c:pt>
                <c:pt idx="131">
                  <c:v>9.8459716521636505E-13</c:v>
                </c:pt>
                <c:pt idx="132">
                  <c:v>9.8459716521636505E-13</c:v>
                </c:pt>
                <c:pt idx="133">
                  <c:v>9.8459716521636505E-13</c:v>
                </c:pt>
                <c:pt idx="134">
                  <c:v>9.8459716521636505E-13</c:v>
                </c:pt>
                <c:pt idx="135">
                  <c:v>9.8459716521636505E-13</c:v>
                </c:pt>
                <c:pt idx="136">
                  <c:v>9.8459716521636505E-13</c:v>
                </c:pt>
                <c:pt idx="137">
                  <c:v>9.8459716521636505E-13</c:v>
                </c:pt>
                <c:pt idx="138">
                  <c:v>9.8459716521636505E-13</c:v>
                </c:pt>
                <c:pt idx="139">
                  <c:v>9.8459716521636505E-13</c:v>
                </c:pt>
                <c:pt idx="140">
                  <c:v>9.8459716521636505E-13</c:v>
                </c:pt>
                <c:pt idx="141">
                  <c:v>9.8459716521636505E-13</c:v>
                </c:pt>
                <c:pt idx="142">
                  <c:v>9.8459716521636505E-13</c:v>
                </c:pt>
                <c:pt idx="143">
                  <c:v>9.8459716521636505E-13</c:v>
                </c:pt>
                <c:pt idx="144">
                  <c:v>9.8459716521636505E-13</c:v>
                </c:pt>
                <c:pt idx="145">
                  <c:v>9.8459716521636505E-13</c:v>
                </c:pt>
                <c:pt idx="146">
                  <c:v>9.8459716521636505E-13</c:v>
                </c:pt>
                <c:pt idx="147">
                  <c:v>9.8459716521636505E-13</c:v>
                </c:pt>
                <c:pt idx="148">
                  <c:v>9.8459716521636505E-13</c:v>
                </c:pt>
                <c:pt idx="149">
                  <c:v>9.8459716521636505E-13</c:v>
                </c:pt>
                <c:pt idx="150">
                  <c:v>9.8459716521636505E-13</c:v>
                </c:pt>
                <c:pt idx="151">
                  <c:v>9.8459716521636505E-13</c:v>
                </c:pt>
                <c:pt idx="152">
                  <c:v>9.8459716521636505E-13</c:v>
                </c:pt>
                <c:pt idx="153">
                  <c:v>9.8459716521636505E-13</c:v>
                </c:pt>
                <c:pt idx="154">
                  <c:v>9.8459716521636505E-13</c:v>
                </c:pt>
                <c:pt idx="155">
                  <c:v>9.8459716521636505E-13</c:v>
                </c:pt>
                <c:pt idx="156">
                  <c:v>9.8459716521636505E-13</c:v>
                </c:pt>
                <c:pt idx="157">
                  <c:v>9.8459716521636505E-13</c:v>
                </c:pt>
                <c:pt idx="158">
                  <c:v>9.8459716521636505E-13</c:v>
                </c:pt>
                <c:pt idx="159">
                  <c:v>9.8459716521636505E-13</c:v>
                </c:pt>
                <c:pt idx="160">
                  <c:v>9.8459716521636505E-13</c:v>
                </c:pt>
                <c:pt idx="161">
                  <c:v>9.8459716521636505E-13</c:v>
                </c:pt>
                <c:pt idx="162">
                  <c:v>9.8459716521636505E-13</c:v>
                </c:pt>
                <c:pt idx="163">
                  <c:v>9.8459716521636505E-13</c:v>
                </c:pt>
                <c:pt idx="164">
                  <c:v>9.8459716521636505E-13</c:v>
                </c:pt>
                <c:pt idx="165">
                  <c:v>9.8459716521636505E-13</c:v>
                </c:pt>
                <c:pt idx="166">
                  <c:v>9.8459716521636505E-13</c:v>
                </c:pt>
                <c:pt idx="167">
                  <c:v>9.8459716521636505E-13</c:v>
                </c:pt>
                <c:pt idx="168">
                  <c:v>9.8459716521636505E-13</c:v>
                </c:pt>
                <c:pt idx="169">
                  <c:v>9.8459716521636505E-13</c:v>
                </c:pt>
                <c:pt idx="170">
                  <c:v>9.8459716521636505E-13</c:v>
                </c:pt>
                <c:pt idx="171">
                  <c:v>9.8459716521636505E-13</c:v>
                </c:pt>
                <c:pt idx="172">
                  <c:v>9.8459716521636505E-13</c:v>
                </c:pt>
                <c:pt idx="173">
                  <c:v>9.8459716521636505E-13</c:v>
                </c:pt>
                <c:pt idx="174">
                  <c:v>9.8459716521636505E-13</c:v>
                </c:pt>
                <c:pt idx="175">
                  <c:v>9.8459716521636505E-13</c:v>
                </c:pt>
                <c:pt idx="176">
                  <c:v>9.8459716521636505E-13</c:v>
                </c:pt>
                <c:pt idx="177">
                  <c:v>9.8459716521636505E-13</c:v>
                </c:pt>
                <c:pt idx="178">
                  <c:v>9.8459716521636505E-13</c:v>
                </c:pt>
                <c:pt idx="179">
                  <c:v>9.8459716521636505E-13</c:v>
                </c:pt>
                <c:pt idx="180">
                  <c:v>9.8459716521636505E-13</c:v>
                </c:pt>
                <c:pt idx="181">
                  <c:v>9.8459716521636505E-13</c:v>
                </c:pt>
                <c:pt idx="182">
                  <c:v>9.8459716521636505E-13</c:v>
                </c:pt>
                <c:pt idx="183">
                  <c:v>9.8459716521636505E-13</c:v>
                </c:pt>
                <c:pt idx="184">
                  <c:v>9.8459716521636505E-13</c:v>
                </c:pt>
                <c:pt idx="185">
                  <c:v>9.8459716521636505E-13</c:v>
                </c:pt>
                <c:pt idx="186">
                  <c:v>9.8459716521636505E-13</c:v>
                </c:pt>
                <c:pt idx="187">
                  <c:v>9.8459716521636505E-13</c:v>
                </c:pt>
                <c:pt idx="188">
                  <c:v>9.8459716521636505E-13</c:v>
                </c:pt>
                <c:pt idx="189">
                  <c:v>9.8459716521636505E-13</c:v>
                </c:pt>
                <c:pt idx="190">
                  <c:v>9.8459716521636505E-13</c:v>
                </c:pt>
                <c:pt idx="191">
                  <c:v>9.8459716521636505E-13</c:v>
                </c:pt>
                <c:pt idx="192">
                  <c:v>9.8459716521636505E-13</c:v>
                </c:pt>
                <c:pt idx="193">
                  <c:v>9.8459716521636505E-13</c:v>
                </c:pt>
                <c:pt idx="194">
                  <c:v>9.8459716521636505E-13</c:v>
                </c:pt>
                <c:pt idx="195">
                  <c:v>9.8459716521636505E-13</c:v>
                </c:pt>
                <c:pt idx="196">
                  <c:v>9.8459716521636505E-13</c:v>
                </c:pt>
                <c:pt idx="197">
                  <c:v>9.8459716521636505E-13</c:v>
                </c:pt>
                <c:pt idx="198">
                  <c:v>9.8459716521636505E-13</c:v>
                </c:pt>
                <c:pt idx="199">
                  <c:v>9.8459716521636505E-13</c:v>
                </c:pt>
                <c:pt idx="200">
                  <c:v>9.8459716521636505E-13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580.86738049325345</c:v>
                </c:pt>
                <c:pt idx="62">
                  <c:v>603.322786102946</c:v>
                </c:pt>
                <c:pt idx="63">
                  <c:v>625.76083514390393</c:v>
                </c:pt>
                <c:pt idx="64">
                  <c:v>648.18223687272553</c:v>
                </c:pt>
                <c:pt idx="65">
                  <c:v>670.5876475316818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670.58764753168191</c:v>
                </c:pt>
                <c:pt idx="72">
                  <c:v>690.45052166725247</c:v>
                </c:pt>
                <c:pt idx="73">
                  <c:v>710.30168839718874</c:v>
                </c:pt>
                <c:pt idx="74">
                  <c:v>730.14152063682013</c:v>
                </c:pt>
                <c:pt idx="75">
                  <c:v>749.97036940508917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736.63215463032964</c:v>
                </c:pt>
                <c:pt idx="82">
                  <c:v>753.93485060091371</c:v>
                </c:pt>
                <c:pt idx="83">
                  <c:v>771.22948202840087</c:v>
                </c:pt>
                <c:pt idx="84">
                  <c:v>788.5162550525506</c:v>
                </c:pt>
                <c:pt idx="85">
                  <c:v>805.79536604695193</c:v>
                </c:pt>
                <c:pt idx="86">
                  <c:v>762.94346417722682</c:v>
                </c:pt>
                <c:pt idx="87">
                  <c:v>779.51369572854594</c:v>
                </c:pt>
                <c:pt idx="88">
                  <c:v>796.07679765726914</c:v>
                </c:pt>
                <c:pt idx="89">
                  <c:v>812.63293905279113</c:v>
                </c:pt>
                <c:pt idx="90">
                  <c:v>829.18228155985787</c:v>
                </c:pt>
                <c:pt idx="91">
                  <c:v>788.87631401648343</c:v>
                </c:pt>
                <c:pt idx="92">
                  <c:v>804.35572815014075</c:v>
                </c:pt>
                <c:pt idx="93">
                  <c:v>819.82913151766786</c:v>
                </c:pt>
                <c:pt idx="94">
                  <c:v>835.29665344180091</c:v>
                </c:pt>
                <c:pt idx="95">
                  <c:v>850.75841807001689</c:v>
                </c:pt>
                <c:pt idx="96">
                  <c:v>811.55339965696703</c:v>
                </c:pt>
                <c:pt idx="97">
                  <c:v>826.30461657658464</c:v>
                </c:pt>
                <c:pt idx="98">
                  <c:v>841.0505342782709</c:v>
                </c:pt>
                <c:pt idx="99">
                  <c:v>855.79125867604671</c:v>
                </c:pt>
                <c:pt idx="100">
                  <c:v>870.52689174128693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5" zoomScale="80" zoomScaleNormal="80" workbookViewId="0">
      <selection activeCell="A62" sqref="A62:G76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8" t="s">
        <v>192</v>
      </c>
      <c r="C3" s="299"/>
      <c r="D3" s="299"/>
      <c r="E3" s="299"/>
      <c r="F3" s="300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4" t="s">
        <v>231</v>
      </c>
      <c r="B5" s="304"/>
      <c r="C5" s="26">
        <v>102.56</v>
      </c>
      <c r="D5" s="305" t="s">
        <v>229</v>
      </c>
      <c r="E5" s="306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2" t="s">
        <v>226</v>
      </c>
      <c r="B7" s="302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0.7</v>
      </c>
      <c r="D9" s="36">
        <f t="shared" ref="D9:D18" si="0">C9*$C$5</f>
        <v>71.792000000000002</v>
      </c>
      <c r="E9" s="37">
        <v>66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81</v>
      </c>
      <c r="C10" s="35">
        <v>0.15</v>
      </c>
      <c r="D10" s="36">
        <f t="shared" si="0"/>
        <v>15.384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13</v>
      </c>
      <c r="C13" s="35">
        <v>0.05</v>
      </c>
      <c r="D13" s="36">
        <f t="shared" si="0"/>
        <v>5.1280000000000001</v>
      </c>
      <c r="E13" s="37">
        <v>100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23</v>
      </c>
      <c r="C14" s="35">
        <v>0.05</v>
      </c>
      <c r="D14" s="36">
        <f t="shared" si="0"/>
        <v>5.1280000000000001</v>
      </c>
      <c r="E14" s="37">
        <v>80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 t="s">
        <v>25</v>
      </c>
      <c r="C15" s="35">
        <v>0.05</v>
      </c>
      <c r="D15" s="36">
        <f t="shared" si="0"/>
        <v>5.1280000000000001</v>
      </c>
      <c r="E15" s="37">
        <v>100</v>
      </c>
      <c r="F15" s="38" t="str">
        <f t="array" ref="F15">IF(E15="","",IF(INDEX(A:A,MAX(IF(ISNUMBER($A$192:$A$211),ROW($A$192:$A$211),"")))&lt;&gt;E15,"Corrigez : révolution incorrecte","OK"))</f>
        <v>OK</v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102.56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1" t="s">
        <v>232</v>
      </c>
      <c r="B22" s="301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3" t="s">
        <v>227</v>
      </c>
      <c r="B30" s="303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9</v>
      </c>
      <c r="B36" s="63">
        <v>19</v>
      </c>
      <c r="C36" s="63">
        <v>1</v>
      </c>
      <c r="D36" s="63">
        <v>5</v>
      </c>
      <c r="E36" s="54">
        <v>0</v>
      </c>
      <c r="F36" s="54">
        <v>0.56000000000000005</v>
      </c>
      <c r="G36" s="54">
        <v>0.44</v>
      </c>
      <c r="H36" s="54"/>
      <c r="I36" s="52">
        <f>IFERROR(B36/A36,"")</f>
        <v>2.1111111111111112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15</v>
      </c>
      <c r="B37" s="63">
        <v>138</v>
      </c>
      <c r="C37" s="63">
        <v>2</v>
      </c>
      <c r="D37" s="63">
        <v>43</v>
      </c>
      <c r="E37" s="54">
        <v>0.2</v>
      </c>
      <c r="F37" s="54">
        <v>0.45</v>
      </c>
      <c r="G37" s="54">
        <v>0.35</v>
      </c>
      <c r="H37" s="54"/>
      <c r="I37" s="56">
        <f t="shared" ref="I37:I55" si="1">IF(A37&lt;&gt;0,(B37-(B36-D36))/(A37-A36),"")</f>
        <v>20.666666666666668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22</v>
      </c>
      <c r="B38" s="63">
        <v>322</v>
      </c>
      <c r="C38" s="63">
        <v>3</v>
      </c>
      <c r="D38" s="63">
        <v>76</v>
      </c>
      <c r="E38" s="54">
        <v>0.3</v>
      </c>
      <c r="F38" s="54">
        <v>0.39</v>
      </c>
      <c r="G38" s="54">
        <v>0.31</v>
      </c>
      <c r="H38" s="54"/>
      <c r="I38" s="56">
        <f t="shared" si="1"/>
        <v>32.428571428571431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30</v>
      </c>
      <c r="B39" s="63">
        <v>523</v>
      </c>
      <c r="C39" s="63">
        <v>4</v>
      </c>
      <c r="D39" s="63">
        <v>97</v>
      </c>
      <c r="E39" s="54">
        <v>0.4</v>
      </c>
      <c r="F39" s="54">
        <v>0.34</v>
      </c>
      <c r="G39" s="54">
        <v>0.26</v>
      </c>
      <c r="H39" s="54"/>
      <c r="I39" s="52">
        <f t="shared" si="1"/>
        <v>34.625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39</v>
      </c>
      <c r="B40" s="63">
        <v>703</v>
      </c>
      <c r="C40" s="63">
        <v>5</v>
      </c>
      <c r="D40" s="63">
        <v>101</v>
      </c>
      <c r="E40" s="54">
        <v>0.5</v>
      </c>
      <c r="F40" s="54">
        <v>0.28000000000000003</v>
      </c>
      <c r="G40" s="54">
        <v>0.22</v>
      </c>
      <c r="H40" s="54"/>
      <c r="I40" s="52">
        <f t="shared" si="1"/>
        <v>30.777777777777779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49</v>
      </c>
      <c r="B41" s="63">
        <v>902</v>
      </c>
      <c r="C41" s="63">
        <v>6</v>
      </c>
      <c r="D41" s="63">
        <v>96</v>
      </c>
      <c r="E41" s="54">
        <v>0.6</v>
      </c>
      <c r="F41" s="54">
        <v>0.22</v>
      </c>
      <c r="G41" s="54">
        <v>0.18</v>
      </c>
      <c r="H41" s="54"/>
      <c r="I41" s="56">
        <f t="shared" si="1"/>
        <v>30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60</v>
      </c>
      <c r="B42" s="291">
        <v>1103</v>
      </c>
      <c r="C42" s="63">
        <v>7</v>
      </c>
      <c r="D42" s="63">
        <v>454</v>
      </c>
      <c r="E42" s="54">
        <v>0.8</v>
      </c>
      <c r="F42" s="54">
        <v>0.11</v>
      </c>
      <c r="G42" s="54">
        <v>0.09</v>
      </c>
      <c r="H42" s="54"/>
      <c r="I42" s="56">
        <f t="shared" si="1"/>
        <v>27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63</v>
      </c>
      <c r="B43" s="63">
        <v>732</v>
      </c>
      <c r="C43" s="63">
        <v>8</v>
      </c>
      <c r="D43" s="63">
        <v>380</v>
      </c>
      <c r="E43" s="54">
        <v>0.8</v>
      </c>
      <c r="F43" s="54">
        <v>0.11</v>
      </c>
      <c r="G43" s="54">
        <v>0.09</v>
      </c>
      <c r="H43" s="54"/>
      <c r="I43" s="52">
        <f t="shared" si="1"/>
        <v>27.666666666666668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66</v>
      </c>
      <c r="B44" s="63">
        <v>396</v>
      </c>
      <c r="C44" s="63">
        <v>9</v>
      </c>
      <c r="D44" s="63">
        <v>396</v>
      </c>
      <c r="E44" s="54">
        <v>0.8</v>
      </c>
      <c r="F44" s="54">
        <v>0.11</v>
      </c>
      <c r="G44" s="54">
        <v>0.09</v>
      </c>
      <c r="H44" s="54"/>
      <c r="I44" s="52">
        <f t="shared" si="1"/>
        <v>14.666666666666666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Mélèze hybride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10</v>
      </c>
      <c r="B62" s="63">
        <v>58</v>
      </c>
      <c r="C62" s="63">
        <v>1</v>
      </c>
      <c r="D62" s="63">
        <v>6</v>
      </c>
      <c r="E62" s="54">
        <v>0</v>
      </c>
      <c r="F62" s="54">
        <v>0.56000000000000005</v>
      </c>
      <c r="G62" s="54">
        <v>0.44</v>
      </c>
      <c r="H62" s="54"/>
      <c r="I62" s="56">
        <f>IFERROR(B62/A62,"")</f>
        <v>5.8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15</v>
      </c>
      <c r="B63" s="63">
        <v>137</v>
      </c>
      <c r="C63" s="63">
        <v>2</v>
      </c>
      <c r="D63" s="63">
        <v>40</v>
      </c>
      <c r="E63" s="54">
        <v>0</v>
      </c>
      <c r="F63" s="54">
        <v>0.56000000000000005</v>
      </c>
      <c r="G63" s="54">
        <v>0.44</v>
      </c>
      <c r="H63" s="54"/>
      <c r="I63" s="52">
        <f>IF(A63&lt;&gt;0,(B63-(B62-D62))/(A63-A62),"")</f>
        <v>17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20</v>
      </c>
      <c r="B64" s="63">
        <v>189</v>
      </c>
      <c r="C64" s="63">
        <v>3</v>
      </c>
      <c r="D64" s="63">
        <v>47</v>
      </c>
      <c r="E64" s="54">
        <v>0.2</v>
      </c>
      <c r="F64" s="54">
        <v>0.45</v>
      </c>
      <c r="G64" s="54">
        <v>0.35</v>
      </c>
      <c r="H64" s="54"/>
      <c r="I64" s="52">
        <f>IF(A64&lt;&gt;0,(B64-(B63-D63))/(A64-A63),"")</f>
        <v>18.399999999999999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25</v>
      </c>
      <c r="B65" s="63">
        <v>234</v>
      </c>
      <c r="C65" s="63">
        <v>4</v>
      </c>
      <c r="D65" s="63">
        <v>49</v>
      </c>
      <c r="E65" s="54">
        <v>0.2</v>
      </c>
      <c r="F65" s="54">
        <v>0.45</v>
      </c>
      <c r="G65" s="54">
        <v>0.35</v>
      </c>
      <c r="H65" s="54"/>
      <c r="I65" s="52">
        <f>IF(A65&lt;&gt;0,(B65-(B64-D64))/(A65-A64),"")</f>
        <v>18.399999999999999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30</v>
      </c>
      <c r="B66" s="63">
        <v>270</v>
      </c>
      <c r="C66" s="63">
        <v>5</v>
      </c>
      <c r="D66" s="63">
        <v>48</v>
      </c>
      <c r="E66" s="54">
        <v>0.3</v>
      </c>
      <c r="F66" s="54">
        <v>0.39</v>
      </c>
      <c r="G66" s="54">
        <v>0.31</v>
      </c>
      <c r="H66" s="54"/>
      <c r="I66" s="52">
        <f t="shared" ref="I66:I81" si="2">IF(A66&lt;&gt;0,(B66-(B65-D65))/(A66-A65),"")</f>
        <v>17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35</v>
      </c>
      <c r="B67" s="63">
        <v>299</v>
      </c>
      <c r="C67" s="63">
        <v>6</v>
      </c>
      <c r="D67" s="63">
        <v>45</v>
      </c>
      <c r="E67" s="54">
        <v>0.4</v>
      </c>
      <c r="F67" s="54">
        <v>0.34</v>
      </c>
      <c r="G67" s="54">
        <v>0.26</v>
      </c>
      <c r="H67" s="54"/>
      <c r="I67" s="52">
        <f t="shared" si="2"/>
        <v>15.4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40</v>
      </c>
      <c r="B68" s="63">
        <v>323</v>
      </c>
      <c r="C68" s="63">
        <v>7</v>
      </c>
      <c r="D68" s="63">
        <v>41</v>
      </c>
      <c r="E68" s="54">
        <v>0.4</v>
      </c>
      <c r="F68" s="54">
        <v>0.34</v>
      </c>
      <c r="G68" s="54">
        <v>0.26</v>
      </c>
      <c r="H68" s="54"/>
      <c r="I68" s="52">
        <f t="shared" si="2"/>
        <v>13.8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45</v>
      </c>
      <c r="B69" s="53">
        <v>340</v>
      </c>
      <c r="C69" s="53">
        <v>8</v>
      </c>
      <c r="D69" s="53">
        <v>36</v>
      </c>
      <c r="E69" s="54">
        <v>0.5</v>
      </c>
      <c r="F69" s="54">
        <v>0.28000000000000003</v>
      </c>
      <c r="G69" s="54">
        <v>0.22</v>
      </c>
      <c r="H69" s="54"/>
      <c r="I69" s="52">
        <f t="shared" si="2"/>
        <v>11.6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50</v>
      </c>
      <c r="B70" s="53">
        <v>354</v>
      </c>
      <c r="C70" s="53">
        <v>9</v>
      </c>
      <c r="D70" s="53">
        <v>31</v>
      </c>
      <c r="E70" s="54">
        <v>0.5</v>
      </c>
      <c r="F70" s="54">
        <v>0.28000000000000003</v>
      </c>
      <c r="G70" s="54">
        <v>0.22</v>
      </c>
      <c r="H70" s="54"/>
      <c r="I70" s="52">
        <f t="shared" si="2"/>
        <v>10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55</v>
      </c>
      <c r="B71" s="53">
        <v>366</v>
      </c>
      <c r="C71" s="53">
        <v>10</v>
      </c>
      <c r="D71" s="53">
        <v>27</v>
      </c>
      <c r="E71" s="54">
        <v>0.6</v>
      </c>
      <c r="F71" s="54">
        <v>0.22</v>
      </c>
      <c r="G71" s="54">
        <v>0.18</v>
      </c>
      <c r="H71" s="54"/>
      <c r="I71" s="52">
        <f t="shared" si="2"/>
        <v>8.6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60</v>
      </c>
      <c r="B72" s="53">
        <v>375</v>
      </c>
      <c r="C72" s="53">
        <v>11</v>
      </c>
      <c r="D72" s="53">
        <v>23</v>
      </c>
      <c r="E72" s="54">
        <v>0.6</v>
      </c>
      <c r="F72" s="54">
        <v>0.22</v>
      </c>
      <c r="G72" s="54">
        <v>0.18</v>
      </c>
      <c r="H72" s="54"/>
      <c r="I72" s="52">
        <f t="shared" si="2"/>
        <v>7.2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65</v>
      </c>
      <c r="B73" s="53">
        <v>381</v>
      </c>
      <c r="C73" s="53">
        <v>12</v>
      </c>
      <c r="D73" s="53">
        <v>19</v>
      </c>
      <c r="E73" s="54">
        <v>0.7</v>
      </c>
      <c r="F73" s="54">
        <v>0.17</v>
      </c>
      <c r="G73" s="54">
        <v>0.13</v>
      </c>
      <c r="H73" s="54"/>
      <c r="I73" s="52">
        <f t="shared" si="2"/>
        <v>5.8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70</v>
      </c>
      <c r="B74" s="53">
        <v>387</v>
      </c>
      <c r="C74" s="53">
        <v>13</v>
      </c>
      <c r="D74" s="53">
        <v>16</v>
      </c>
      <c r="E74" s="54">
        <v>0.7</v>
      </c>
      <c r="F74" s="54">
        <v>0.17</v>
      </c>
      <c r="G74" s="54">
        <v>0.13</v>
      </c>
      <c r="H74" s="54"/>
      <c r="I74" s="52">
        <f t="shared" si="2"/>
        <v>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75</v>
      </c>
      <c r="B75" s="53">
        <v>393</v>
      </c>
      <c r="C75" s="53">
        <v>14</v>
      </c>
      <c r="D75" s="53">
        <v>15</v>
      </c>
      <c r="E75" s="54">
        <v>0.8</v>
      </c>
      <c r="F75" s="54">
        <v>0.11</v>
      </c>
      <c r="G75" s="54">
        <v>0.09</v>
      </c>
      <c r="H75" s="54"/>
      <c r="I75" s="52">
        <f t="shared" si="2"/>
        <v>4.4000000000000004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80</v>
      </c>
      <c r="B76" s="53">
        <v>400</v>
      </c>
      <c r="C76" s="53">
        <v>15</v>
      </c>
      <c r="D76" s="53">
        <v>400</v>
      </c>
      <c r="E76" s="54">
        <v>0.8</v>
      </c>
      <c r="F76" s="54">
        <v>0.11</v>
      </c>
      <c r="G76" s="54">
        <v>0.09</v>
      </c>
      <c r="H76" s="54"/>
      <c r="I76" s="52">
        <f t="shared" si="2"/>
        <v>4.4000000000000004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Chêne rouge d'Amérique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10</v>
      </c>
      <c r="B140" s="63">
        <v>29</v>
      </c>
      <c r="C140" s="53">
        <v>1</v>
      </c>
      <c r="D140" s="63">
        <v>0</v>
      </c>
      <c r="E140" s="54">
        <v>0</v>
      </c>
      <c r="F140" s="54"/>
      <c r="G140" s="54"/>
      <c r="H140" s="54">
        <v>1</v>
      </c>
      <c r="I140" s="60">
        <f>IFERROR(B140/A140,"")</f>
        <v>2.9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15</v>
      </c>
      <c r="B141" s="63">
        <v>73</v>
      </c>
      <c r="C141" s="53">
        <v>2</v>
      </c>
      <c r="D141" s="63">
        <v>0</v>
      </c>
      <c r="E141" s="54">
        <v>0</v>
      </c>
      <c r="F141" s="54"/>
      <c r="G141" s="54"/>
      <c r="H141" s="54">
        <v>1</v>
      </c>
      <c r="I141" s="60">
        <f t="shared" ref="I141:I159" si="5">IF(A141&lt;&gt;0,(B141-(B140-D140))/(A141-A140),"")</f>
        <v>8.8000000000000007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20</v>
      </c>
      <c r="B142" s="63">
        <v>129</v>
      </c>
      <c r="C142" s="53">
        <v>3</v>
      </c>
      <c r="D142" s="63">
        <v>54</v>
      </c>
      <c r="E142" s="54">
        <v>0</v>
      </c>
      <c r="F142" s="54"/>
      <c r="G142" s="54"/>
      <c r="H142" s="54">
        <v>1</v>
      </c>
      <c r="I142" s="60">
        <f t="shared" si="5"/>
        <v>11.2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25</v>
      </c>
      <c r="B143" s="63">
        <v>126</v>
      </c>
      <c r="C143" s="53">
        <v>4</v>
      </c>
      <c r="D143" s="63">
        <v>26</v>
      </c>
      <c r="E143" s="54">
        <v>0</v>
      </c>
      <c r="F143" s="54"/>
      <c r="G143" s="54"/>
      <c r="H143" s="54">
        <v>1</v>
      </c>
      <c r="I143" s="60">
        <f t="shared" si="5"/>
        <v>10.199999999999999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30</v>
      </c>
      <c r="B144" s="63">
        <v>149</v>
      </c>
      <c r="C144" s="53">
        <v>5</v>
      </c>
      <c r="D144" s="63">
        <v>27</v>
      </c>
      <c r="E144" s="54">
        <v>0.2</v>
      </c>
      <c r="F144" s="54"/>
      <c r="G144" s="54"/>
      <c r="H144" s="54">
        <v>0.8</v>
      </c>
      <c r="I144" s="60">
        <f t="shared" si="5"/>
        <v>9.8000000000000007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35</v>
      </c>
      <c r="B145" s="63">
        <v>168</v>
      </c>
      <c r="C145" s="53">
        <v>6</v>
      </c>
      <c r="D145" s="63">
        <v>27</v>
      </c>
      <c r="E145" s="54">
        <v>0.2</v>
      </c>
      <c r="F145" s="54"/>
      <c r="G145" s="54"/>
      <c r="H145" s="54">
        <v>0.8</v>
      </c>
      <c r="I145" s="60">
        <f t="shared" si="5"/>
        <v>9.1999999999999993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40</v>
      </c>
      <c r="B146" s="63">
        <v>185</v>
      </c>
      <c r="C146" s="53">
        <v>7</v>
      </c>
      <c r="D146" s="63">
        <v>27</v>
      </c>
      <c r="E146" s="54">
        <v>0.3</v>
      </c>
      <c r="F146" s="54"/>
      <c r="G146" s="54"/>
      <c r="H146" s="54">
        <v>0.7</v>
      </c>
      <c r="I146" s="60">
        <f t="shared" si="5"/>
        <v>8.8000000000000007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>
        <v>45</v>
      </c>
      <c r="B147" s="63">
        <v>198</v>
      </c>
      <c r="C147" s="53">
        <v>8</v>
      </c>
      <c r="D147" s="63">
        <v>26</v>
      </c>
      <c r="E147" s="54">
        <v>0.3</v>
      </c>
      <c r="F147" s="54"/>
      <c r="G147" s="54"/>
      <c r="H147" s="54">
        <v>0.7</v>
      </c>
      <c r="I147" s="60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>
        <v>50</v>
      </c>
      <c r="B148" s="63">
        <v>209</v>
      </c>
      <c r="C148" s="53">
        <v>9</v>
      </c>
      <c r="D148" s="63">
        <v>24</v>
      </c>
      <c r="E148" s="54">
        <v>0.4</v>
      </c>
      <c r="F148" s="54"/>
      <c r="G148" s="54"/>
      <c r="H148" s="54">
        <v>0.6</v>
      </c>
      <c r="I148" s="60">
        <f t="shared" si="5"/>
        <v>7.4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>
        <v>55</v>
      </c>
      <c r="B149" s="63">
        <v>218</v>
      </c>
      <c r="C149" s="53">
        <v>10</v>
      </c>
      <c r="D149" s="63">
        <v>23</v>
      </c>
      <c r="E149" s="54">
        <v>0.4</v>
      </c>
      <c r="F149" s="54"/>
      <c r="G149" s="54"/>
      <c r="H149" s="54">
        <v>0.6</v>
      </c>
      <c r="I149" s="60">
        <f t="shared" si="5"/>
        <v>6.6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>
        <v>60</v>
      </c>
      <c r="B150" s="63">
        <v>225</v>
      </c>
      <c r="C150" s="53">
        <v>11</v>
      </c>
      <c r="D150" s="63">
        <v>21</v>
      </c>
      <c r="E150" s="54">
        <v>0.5</v>
      </c>
      <c r="F150" s="54"/>
      <c r="G150" s="54"/>
      <c r="H150" s="54">
        <v>0.5</v>
      </c>
      <c r="I150" s="60">
        <f t="shared" si="5"/>
        <v>6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>
        <v>65</v>
      </c>
      <c r="B151" s="63">
        <v>232</v>
      </c>
      <c r="C151" s="53">
        <v>12</v>
      </c>
      <c r="D151" s="63">
        <v>20</v>
      </c>
      <c r="E151" s="54">
        <v>0.5</v>
      </c>
      <c r="F151" s="54"/>
      <c r="G151" s="54"/>
      <c r="H151" s="54">
        <v>0.5</v>
      </c>
      <c r="I151" s="60">
        <f t="shared" si="5"/>
        <v>5.6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>
        <v>70</v>
      </c>
      <c r="B152" s="63">
        <v>237</v>
      </c>
      <c r="C152" s="53">
        <v>13</v>
      </c>
      <c r="D152" s="63">
        <v>18</v>
      </c>
      <c r="E152" s="57">
        <v>0.6</v>
      </c>
      <c r="F152" s="57"/>
      <c r="G152" s="57"/>
      <c r="H152" s="57">
        <v>0.4</v>
      </c>
      <c r="I152" s="60">
        <f t="shared" si="5"/>
        <v>5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>
        <v>75</v>
      </c>
      <c r="B153" s="63">
        <v>241</v>
      </c>
      <c r="C153" s="53">
        <v>14</v>
      </c>
      <c r="D153" s="63">
        <v>16</v>
      </c>
      <c r="E153" s="57">
        <v>0.6</v>
      </c>
      <c r="F153" s="57"/>
      <c r="G153" s="57"/>
      <c r="H153" s="57">
        <v>0.4</v>
      </c>
      <c r="I153" s="60">
        <f t="shared" si="5"/>
        <v>4.4000000000000004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>
        <v>80</v>
      </c>
      <c r="B154" s="59">
        <v>245</v>
      </c>
      <c r="C154" s="53">
        <v>15</v>
      </c>
      <c r="D154" s="53">
        <v>15</v>
      </c>
      <c r="E154" s="57">
        <v>0.7</v>
      </c>
      <c r="F154" s="57"/>
      <c r="G154" s="57"/>
      <c r="H154" s="57">
        <v>0.3</v>
      </c>
      <c r="I154" s="60">
        <f t="shared" si="5"/>
        <v>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>
        <v>85</v>
      </c>
      <c r="B155" s="59">
        <v>248</v>
      </c>
      <c r="C155" s="53">
        <v>16</v>
      </c>
      <c r="D155" s="53">
        <v>14</v>
      </c>
      <c r="E155" s="57">
        <v>0.7</v>
      </c>
      <c r="F155" s="57"/>
      <c r="G155" s="57"/>
      <c r="H155" s="57">
        <v>0.3</v>
      </c>
      <c r="I155" s="60">
        <f t="shared" si="5"/>
        <v>3.6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>
        <v>90</v>
      </c>
      <c r="B156" s="59">
        <v>249</v>
      </c>
      <c r="C156" s="53">
        <v>17</v>
      </c>
      <c r="D156" s="53">
        <v>12</v>
      </c>
      <c r="E156" s="57">
        <v>0.8</v>
      </c>
      <c r="F156" s="57"/>
      <c r="G156" s="57"/>
      <c r="H156" s="57">
        <v>0.2</v>
      </c>
      <c r="I156" s="60">
        <f t="shared" si="5"/>
        <v>3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>
        <v>95</v>
      </c>
      <c r="B157" s="59">
        <v>252</v>
      </c>
      <c r="C157" s="53">
        <v>18</v>
      </c>
      <c r="D157" s="53">
        <v>12</v>
      </c>
      <c r="E157" s="57">
        <v>0.8</v>
      </c>
      <c r="F157" s="57"/>
      <c r="G157" s="57"/>
      <c r="H157" s="57">
        <v>0.2</v>
      </c>
      <c r="I157" s="60">
        <f t="shared" si="5"/>
        <v>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>
        <v>100</v>
      </c>
      <c r="B158" s="59">
        <v>255</v>
      </c>
      <c r="C158" s="53">
        <v>19</v>
      </c>
      <c r="D158" s="53">
        <v>255</v>
      </c>
      <c r="E158" s="57">
        <v>0.8</v>
      </c>
      <c r="F158" s="57"/>
      <c r="G158" s="57"/>
      <c r="H158" s="57">
        <v>0.2</v>
      </c>
      <c r="I158" s="60">
        <f t="shared" si="5"/>
        <v>3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Erable sycomore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>
        <v>10</v>
      </c>
      <c r="B166" s="63">
        <v>11</v>
      </c>
      <c r="C166" s="63">
        <v>1</v>
      </c>
      <c r="D166" s="63">
        <v>0</v>
      </c>
      <c r="E166" s="54">
        <v>0</v>
      </c>
      <c r="F166" s="54"/>
      <c r="G166" s="54"/>
      <c r="H166" s="54">
        <v>1</v>
      </c>
      <c r="I166" s="52">
        <f>IFERROR(B166/A166,"")</f>
        <v>1.1000000000000001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>
        <v>15</v>
      </c>
      <c r="B167" s="63">
        <v>65</v>
      </c>
      <c r="C167" s="63">
        <v>2</v>
      </c>
      <c r="D167" s="63">
        <v>32</v>
      </c>
      <c r="E167" s="54">
        <v>0</v>
      </c>
      <c r="F167" s="54"/>
      <c r="G167" s="54"/>
      <c r="H167" s="54">
        <v>1</v>
      </c>
      <c r="I167" s="52">
        <f t="shared" ref="I167:I185" si="6">IF(A167&lt;&gt;0,(B167-(B166-D166))/(A167-A166),"")</f>
        <v>10.8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>
        <v>20</v>
      </c>
      <c r="B168" s="63">
        <v>102</v>
      </c>
      <c r="C168" s="63">
        <v>3</v>
      </c>
      <c r="D168" s="63">
        <v>35</v>
      </c>
      <c r="E168" s="54">
        <v>0</v>
      </c>
      <c r="F168" s="54"/>
      <c r="G168" s="54"/>
      <c r="H168" s="54">
        <v>1</v>
      </c>
      <c r="I168" s="52">
        <f t="shared" si="6"/>
        <v>13.8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>
        <v>25</v>
      </c>
      <c r="B169" s="63">
        <v>141</v>
      </c>
      <c r="C169" s="63">
        <v>4</v>
      </c>
      <c r="D169" s="63">
        <v>35</v>
      </c>
      <c r="E169" s="54">
        <v>0</v>
      </c>
      <c r="F169" s="54"/>
      <c r="G169" s="54"/>
      <c r="H169" s="54">
        <v>1</v>
      </c>
      <c r="I169" s="52">
        <f t="shared" si="6"/>
        <v>14.8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>
        <v>30</v>
      </c>
      <c r="B170" s="63">
        <v>177</v>
      </c>
      <c r="C170" s="63">
        <v>5</v>
      </c>
      <c r="D170" s="63">
        <v>35</v>
      </c>
      <c r="E170" s="54">
        <v>0</v>
      </c>
      <c r="F170" s="54"/>
      <c r="G170" s="54"/>
      <c r="H170" s="54">
        <v>1</v>
      </c>
      <c r="I170" s="52">
        <f t="shared" si="6"/>
        <v>14.2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>
        <v>35</v>
      </c>
      <c r="B171" s="63">
        <v>206</v>
      </c>
      <c r="C171" s="63">
        <v>6</v>
      </c>
      <c r="D171" s="63">
        <v>35</v>
      </c>
      <c r="E171" s="54">
        <v>0.2</v>
      </c>
      <c r="F171" s="54"/>
      <c r="G171" s="54"/>
      <c r="H171" s="54">
        <v>0.8</v>
      </c>
      <c r="I171" s="52">
        <f t="shared" si="6"/>
        <v>12.8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>
        <v>40</v>
      </c>
      <c r="B172" s="63">
        <v>228</v>
      </c>
      <c r="C172" s="63">
        <v>7</v>
      </c>
      <c r="D172" s="63">
        <v>35</v>
      </c>
      <c r="E172" s="54">
        <v>0.3</v>
      </c>
      <c r="F172" s="54"/>
      <c r="G172" s="54"/>
      <c r="H172" s="54">
        <v>0.7</v>
      </c>
      <c r="I172" s="52">
        <f t="shared" si="6"/>
        <v>11.4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>
        <v>45</v>
      </c>
      <c r="B173" s="53">
        <v>242</v>
      </c>
      <c r="C173" s="53">
        <v>8</v>
      </c>
      <c r="D173" s="53">
        <v>24</v>
      </c>
      <c r="E173" s="54">
        <v>0.4</v>
      </c>
      <c r="F173" s="54"/>
      <c r="G173" s="54"/>
      <c r="H173" s="54">
        <v>0.6</v>
      </c>
      <c r="I173" s="52">
        <f t="shared" si="6"/>
        <v>9.8000000000000007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>
        <v>50</v>
      </c>
      <c r="B174" s="53">
        <v>261</v>
      </c>
      <c r="C174" s="53">
        <v>9</v>
      </c>
      <c r="D174" s="53">
        <v>19</v>
      </c>
      <c r="E174" s="54">
        <v>0.5</v>
      </c>
      <c r="F174" s="54"/>
      <c r="G174" s="54"/>
      <c r="H174" s="54">
        <v>0.5</v>
      </c>
      <c r="I174" s="52">
        <f t="shared" si="6"/>
        <v>8.6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>
        <v>55</v>
      </c>
      <c r="B175" s="53">
        <v>279</v>
      </c>
      <c r="C175" s="53">
        <v>10</v>
      </c>
      <c r="D175" s="53">
        <v>16</v>
      </c>
      <c r="E175" s="54">
        <v>0.6</v>
      </c>
      <c r="F175" s="54"/>
      <c r="G175" s="54"/>
      <c r="H175" s="54">
        <v>0.4</v>
      </c>
      <c r="I175" s="52">
        <f t="shared" si="6"/>
        <v>7.4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>
        <v>60</v>
      </c>
      <c r="B176" s="53">
        <v>294</v>
      </c>
      <c r="C176" s="53">
        <v>11</v>
      </c>
      <c r="D176" s="53">
        <v>14</v>
      </c>
      <c r="E176" s="54">
        <v>0.6</v>
      </c>
      <c r="F176" s="54"/>
      <c r="G176" s="54"/>
      <c r="H176" s="54">
        <v>0.4</v>
      </c>
      <c r="I176" s="52">
        <f t="shared" si="6"/>
        <v>6.2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>
        <v>65</v>
      </c>
      <c r="B177" s="53">
        <v>306</v>
      </c>
      <c r="C177" s="53">
        <v>12</v>
      </c>
      <c r="D177" s="53">
        <v>13</v>
      </c>
      <c r="E177" s="54">
        <v>0.7</v>
      </c>
      <c r="F177" s="54"/>
      <c r="G177" s="54"/>
      <c r="H177" s="54">
        <v>0.3</v>
      </c>
      <c r="I177" s="52">
        <f t="shared" si="6"/>
        <v>5.2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>
        <v>70</v>
      </c>
      <c r="B178" s="53">
        <v>316</v>
      </c>
      <c r="C178" s="53">
        <v>13</v>
      </c>
      <c r="D178" s="53">
        <v>13</v>
      </c>
      <c r="E178" s="54">
        <v>0.7</v>
      </c>
      <c r="F178" s="54"/>
      <c r="G178" s="54"/>
      <c r="H178" s="54">
        <v>0.3</v>
      </c>
      <c r="I178" s="52">
        <f t="shared" si="6"/>
        <v>4.5999999999999996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>
        <v>75</v>
      </c>
      <c r="B179" s="53">
        <v>324</v>
      </c>
      <c r="C179" s="53">
        <v>14</v>
      </c>
      <c r="D179" s="53">
        <v>12</v>
      </c>
      <c r="E179" s="54">
        <v>0.8</v>
      </c>
      <c r="F179" s="54"/>
      <c r="G179" s="54"/>
      <c r="H179" s="54">
        <v>0.2</v>
      </c>
      <c r="I179" s="52">
        <f t="shared" si="6"/>
        <v>4.2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>
        <v>80</v>
      </c>
      <c r="B180" s="53">
        <v>330</v>
      </c>
      <c r="C180" s="53">
        <v>15</v>
      </c>
      <c r="D180" s="53">
        <v>330</v>
      </c>
      <c r="E180" s="54">
        <v>0.8</v>
      </c>
      <c r="F180" s="54"/>
      <c r="G180" s="54"/>
      <c r="H180" s="54">
        <v>0.2</v>
      </c>
      <c r="I180" s="52">
        <f t="shared" si="6"/>
        <v>3.6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>Hêtre</v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>
        <v>20</v>
      </c>
      <c r="B192" s="63">
        <v>56</v>
      </c>
      <c r="C192" s="63">
        <v>1</v>
      </c>
      <c r="D192" s="63">
        <v>0</v>
      </c>
      <c r="E192" s="54">
        <v>0</v>
      </c>
      <c r="F192" s="54"/>
      <c r="G192" s="54"/>
      <c r="H192" s="54">
        <v>1</v>
      </c>
      <c r="I192" s="52">
        <f>IFERROR(B192/A192,"")</f>
        <v>2.8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>
        <v>25</v>
      </c>
      <c r="B193" s="63">
        <v>111</v>
      </c>
      <c r="C193" s="63">
        <v>2</v>
      </c>
      <c r="D193" s="63">
        <v>26</v>
      </c>
      <c r="E193" s="54">
        <v>0</v>
      </c>
      <c r="F193" s="54"/>
      <c r="G193" s="54"/>
      <c r="H193" s="54">
        <v>1</v>
      </c>
      <c r="I193" s="52">
        <f t="shared" ref="I193:I211" si="7">IF(A193&lt;&gt;0,(B193-(B192-D192))/(A193-A192),"")</f>
        <v>11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>
        <v>30</v>
      </c>
      <c r="B194" s="63">
        <v>146</v>
      </c>
      <c r="C194" s="63">
        <v>3</v>
      </c>
      <c r="D194" s="63">
        <v>35</v>
      </c>
      <c r="E194" s="54">
        <v>0</v>
      </c>
      <c r="F194" s="54"/>
      <c r="G194" s="54"/>
      <c r="H194" s="54">
        <v>1</v>
      </c>
      <c r="I194" s="52">
        <f t="shared" si="7"/>
        <v>12.2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>
        <v>35</v>
      </c>
      <c r="B195" s="63">
        <v>175</v>
      </c>
      <c r="C195" s="63">
        <v>4</v>
      </c>
      <c r="D195" s="63">
        <v>35</v>
      </c>
      <c r="E195" s="54">
        <v>0.2</v>
      </c>
      <c r="F195" s="54"/>
      <c r="G195" s="54"/>
      <c r="H195" s="54">
        <v>0.8</v>
      </c>
      <c r="I195" s="52">
        <f t="shared" si="7"/>
        <v>12.8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>
        <v>40</v>
      </c>
      <c r="B196" s="63">
        <v>207</v>
      </c>
      <c r="C196" s="63">
        <v>5</v>
      </c>
      <c r="D196" s="63">
        <v>35</v>
      </c>
      <c r="E196" s="54">
        <v>0.2</v>
      </c>
      <c r="F196" s="54"/>
      <c r="G196" s="54"/>
      <c r="H196" s="54">
        <v>0.8</v>
      </c>
      <c r="I196" s="52">
        <f t="shared" si="7"/>
        <v>13.4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>
        <v>45</v>
      </c>
      <c r="B197" s="63">
        <v>241</v>
      </c>
      <c r="C197" s="63">
        <v>6</v>
      </c>
      <c r="D197" s="63">
        <v>35</v>
      </c>
      <c r="E197" s="54">
        <v>0.3</v>
      </c>
      <c r="F197" s="54"/>
      <c r="G197" s="54"/>
      <c r="H197" s="54">
        <v>0.7</v>
      </c>
      <c r="I197" s="52">
        <f t="shared" si="7"/>
        <v>13.8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>
        <v>50</v>
      </c>
      <c r="B198" s="63">
        <v>274</v>
      </c>
      <c r="C198" s="63">
        <v>7</v>
      </c>
      <c r="D198" s="63">
        <v>35</v>
      </c>
      <c r="E198" s="54">
        <v>0.3</v>
      </c>
      <c r="F198" s="54"/>
      <c r="G198" s="54"/>
      <c r="H198" s="54">
        <v>0.7</v>
      </c>
      <c r="I198" s="52">
        <f t="shared" si="7"/>
        <v>13.6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>
        <v>55</v>
      </c>
      <c r="B199" s="53">
        <v>306</v>
      </c>
      <c r="C199" s="53">
        <v>8</v>
      </c>
      <c r="D199" s="53">
        <v>35</v>
      </c>
      <c r="E199" s="54">
        <v>0.4</v>
      </c>
      <c r="F199" s="54"/>
      <c r="G199" s="54"/>
      <c r="H199" s="54">
        <v>0.6</v>
      </c>
      <c r="I199" s="52">
        <f t="shared" si="7"/>
        <v>13.4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>
        <v>60</v>
      </c>
      <c r="B200" s="53">
        <v>336</v>
      </c>
      <c r="C200" s="53">
        <v>9</v>
      </c>
      <c r="D200" s="53">
        <v>35</v>
      </c>
      <c r="E200" s="54">
        <v>0.4</v>
      </c>
      <c r="F200" s="54"/>
      <c r="G200" s="54"/>
      <c r="H200" s="54">
        <v>0.6</v>
      </c>
      <c r="I200" s="52">
        <f t="shared" si="7"/>
        <v>13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>
        <v>65</v>
      </c>
      <c r="B201" s="53">
        <v>363</v>
      </c>
      <c r="C201" s="53">
        <v>10</v>
      </c>
      <c r="D201" s="53">
        <v>35</v>
      </c>
      <c r="E201" s="54">
        <v>0.5</v>
      </c>
      <c r="F201" s="54"/>
      <c r="G201" s="54"/>
      <c r="H201" s="54">
        <v>0.5</v>
      </c>
      <c r="I201" s="52">
        <f t="shared" si="7"/>
        <v>12.4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>
        <v>70</v>
      </c>
      <c r="B202" s="53">
        <v>387</v>
      </c>
      <c r="C202" s="53">
        <v>11</v>
      </c>
      <c r="D202" s="53">
        <v>35</v>
      </c>
      <c r="E202" s="54">
        <v>0.5</v>
      </c>
      <c r="F202" s="54"/>
      <c r="G202" s="54"/>
      <c r="H202" s="54">
        <v>0.5</v>
      </c>
      <c r="I202" s="52">
        <f t="shared" si="7"/>
        <v>11.8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>
        <v>75</v>
      </c>
      <c r="B203" s="53">
        <v>407</v>
      </c>
      <c r="C203" s="53">
        <v>12</v>
      </c>
      <c r="D203" s="53">
        <v>35</v>
      </c>
      <c r="E203" s="54">
        <v>0.6</v>
      </c>
      <c r="F203" s="54"/>
      <c r="G203" s="54"/>
      <c r="H203" s="54">
        <v>0.4</v>
      </c>
      <c r="I203" s="52">
        <f t="shared" si="7"/>
        <v>11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>
        <v>80</v>
      </c>
      <c r="B204" s="53">
        <v>424</v>
      </c>
      <c r="C204" s="53">
        <v>13</v>
      </c>
      <c r="D204" s="53">
        <v>34</v>
      </c>
      <c r="E204" s="54">
        <v>0.6</v>
      </c>
      <c r="F204" s="54"/>
      <c r="G204" s="54"/>
      <c r="H204" s="54">
        <v>0.4</v>
      </c>
      <c r="I204" s="52">
        <f t="shared" si="7"/>
        <v>10.4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>
        <v>85</v>
      </c>
      <c r="B205" s="53">
        <v>438</v>
      </c>
      <c r="C205" s="53">
        <v>14</v>
      </c>
      <c r="D205" s="53">
        <v>33</v>
      </c>
      <c r="E205" s="54">
        <v>0.7</v>
      </c>
      <c r="F205" s="54"/>
      <c r="G205" s="54"/>
      <c r="H205" s="54">
        <v>0.3</v>
      </c>
      <c r="I205" s="52">
        <f t="shared" si="7"/>
        <v>9.6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>
        <v>90</v>
      </c>
      <c r="B206" s="53">
        <v>451</v>
      </c>
      <c r="C206" s="53">
        <v>15</v>
      </c>
      <c r="D206" s="53">
        <v>31</v>
      </c>
      <c r="E206" s="54">
        <v>0.7</v>
      </c>
      <c r="F206" s="54"/>
      <c r="G206" s="54"/>
      <c r="H206" s="54">
        <v>0.3</v>
      </c>
      <c r="I206" s="52">
        <f t="shared" si="7"/>
        <v>9.1999999999999993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>
        <v>95</v>
      </c>
      <c r="B207" s="53">
        <v>463</v>
      </c>
      <c r="C207" s="53">
        <v>16</v>
      </c>
      <c r="D207" s="53">
        <v>30</v>
      </c>
      <c r="E207" s="54">
        <v>0.8</v>
      </c>
      <c r="F207" s="54"/>
      <c r="G207" s="54"/>
      <c r="H207" s="54">
        <v>0.2</v>
      </c>
      <c r="I207" s="52">
        <f t="shared" si="7"/>
        <v>8.6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>
        <v>100</v>
      </c>
      <c r="B208" s="53">
        <v>474</v>
      </c>
      <c r="C208" s="53">
        <v>17</v>
      </c>
      <c r="D208" s="53">
        <v>474</v>
      </c>
      <c r="E208" s="54">
        <v>0.8</v>
      </c>
      <c r="F208" s="54"/>
      <c r="G208" s="54"/>
      <c r="H208" s="54">
        <v>0.2</v>
      </c>
      <c r="I208" s="52">
        <f t="shared" si="7"/>
        <v>8.1999999999999993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Mélèze hybride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Chêne rouge d'Amérique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Erable sycomore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Hêtre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539.2446452106276</v>
      </c>
      <c r="T3" s="62">
        <f>IF('Données projet'!E9&gt;30,$R$33-$H$33,LOOKUP('Données projet'!$E$9,$A$3:$A$203,R3:R203)-LOOKUP('Données projet'!$E$9,$A$3:$A$203,$H$3:$H$203))</f>
        <v>596.73830276071465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262.6671000229498</v>
      </c>
      <c r="AO3" s="62">
        <f>IF('Données projet'!E10&gt;30,$AM$33-$H$33,LOOKUP('Données projet'!$E$10,$A$3:$A$203,AM3:AM203)-LOOKUP('Données projet'!$E$10,$A$3:$A$203,$H$3:$H$203))</f>
        <v>289.30432245776024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268.27008134105046</v>
      </c>
      <c r="CZ3" s="62">
        <f>IF('Données projet'!E13&gt;30,$CX$33-$H$33,LOOKUP('Données projet'!$E$13,$A$3:$A$203,CX3:CX203)-LOOKUP('Données projet'!$E$13,$A$3:$A$203,$H$3:$H$203))</f>
        <v>252.36274686619709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279.49721661620544</v>
      </c>
      <c r="DU3" s="62">
        <f>IF('Données projet'!E14&gt;30,$DS$33-$H$33,LOOKUP('Données projet'!$E$14,$A$3:$A$203,DS3:DS203)-LOOKUP('Données projet'!$E$14,$A$3:$A$203,$H$3:$H$203))</f>
        <v>275.18739333988754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293.33333333333331</v>
      </c>
      <c r="EO3" s="62">
        <f ca="1">AVERAGE(OFFSET($EN$3,0,0,'Données projet'!$E$15+1,1))-AVERAGE(OFFSET($H$3,0,0,'Données projet'!$E$15+1,1))</f>
        <v>394.11074988418096</v>
      </c>
      <c r="EP3" s="62">
        <f>IF('Données projet'!E15&gt;30,$EN$33-$H$33,LOOKUP('Données projet'!$E$15,$A$3:$A$203,EN3:EN203)-LOOKUP('Données projet'!$E$15,$A$3:$A$203,$H$3:$H$203))</f>
        <v>241.85593029696236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2.1111111111111112</v>
      </c>
      <c r="N4" s="14">
        <f>IF('Données projet'!$A$36&gt;35,N3+M4-V3,IF(A4&lt;'Données projet'!$A$36,$K$205^A4,IF(A4='Données projet'!$A$36,'Données projet'!$B$36,N3+M4-V3)))</f>
        <v>1.3870232258442192</v>
      </c>
      <c r="O4" s="14">
        <f>N4*VLOOKUP('Données projet'!$B$9,Paramètres!$A$1:$I$89,3,0)*VLOOKUP('Données projet'!$B$9,Paramètres!$A$1:$I$89,5,0)</f>
        <v>0.7753459832469185</v>
      </c>
      <c r="P4" s="14">
        <f>EXP(-1.0587+0.8836*LN(O4)+0.284)</f>
        <v>0.36805296878626176</v>
      </c>
      <c r="Q4" s="22">
        <f t="shared" ref="Q4:Q34" si="2">(O4+P4)*0.475*44/12</f>
        <v>1.9914198414577886</v>
      </c>
      <c r="R4" s="62">
        <f t="shared" si="0"/>
        <v>295.32475317479111</v>
      </c>
      <c r="S4" s="62">
        <f ca="1">AVERAGE(OFFSET($R$3,0,0,'Données projet'!$E$9+1,1))-AVERAGE(OFFSET($H$3,0,0,'Données projet'!$E$9+1,1))</f>
        <v>539.2446452106276</v>
      </c>
      <c r="T4" s="62">
        <f>$T$3</f>
        <v>596.73830276071465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5.8</v>
      </c>
      <c r="AI4" s="14">
        <f>IF('Données projet'!$A$62&gt;35,AI3+AH4-AQ3,IF(A4&lt;'Données projet'!$A$62,$AF$205^A4,IF(A4='Données projet'!$A$62,'Données projet'!$B$62,AI3+AH4-AQ3)))</f>
        <v>1.5008690410666499</v>
      </c>
      <c r="AJ4" s="14">
        <f>AI4*VLOOKUP('Données projet'!$B$10,Paramètres!$A$1:$I$89,3,0)*VLOOKUP('Données projet'!$B$10,Paramètres!$A$1:$I$89,5,0)</f>
        <v>0.81947449642239079</v>
      </c>
      <c r="AK4" s="14">
        <f>EXP(-1.0587+0.8836*LN(AJ4)+0.284)</f>
        <v>0.38650220994611489</v>
      </c>
      <c r="AL4" s="22">
        <f t="shared" ref="AL4:AL67" si="4">(AJ4+AK4)*0.475*44/12</f>
        <v>2.1004094302584808</v>
      </c>
      <c r="AM4" s="62">
        <f t="shared" ref="AM4:AM67" si="5">AL4+(AD4+AE4)*44/12</f>
        <v>295.43374276359179</v>
      </c>
      <c r="AN4" s="62">
        <f ca="1">AVERAGE(OFFSET($AM$3,0,0,'Données projet'!$E$10+1,1))-AVERAGE(OFFSET($H$3,0,0,'Données projet'!$E$10+1,1))</f>
        <v>262.6671000229498</v>
      </c>
      <c r="AO4" s="62">
        <f>$AO$3</f>
        <v>289.30432245776024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2.9</v>
      </c>
      <c r="CT4" s="13">
        <f>IF('Données projet'!$A$140&gt;35,CT3+CS4-DB3,IF(A4&lt;'Données projet'!$A$140,$CQ$205^A4,IF(A4='Données projet'!$A$140,'Données projet'!$B$140,CT3+CS4-DB3)))</f>
        <v>1.4003603312913959</v>
      </c>
      <c r="CU4" s="18">
        <f>CT4*VLOOKUP('Données projet'!$B$13,Paramètres!$A$1:$I$89,3,0)*VLOOKUP('Données projet'!$B$13,Paramètres!$A$1:$I$89,5,0)</f>
        <v>1.2233547854161635</v>
      </c>
      <c r="CV4" s="14">
        <f>EXP(-1.0587+0.8836*LN(CU4)+0.284)</f>
        <v>0.55069785861405296</v>
      </c>
      <c r="CW4" s="22">
        <f t="shared" ref="CW4:CW67" si="13">(CU4+CV4)*0.475*44/12</f>
        <v>3.0898083550192936</v>
      </c>
      <c r="CX4" s="62">
        <f t="shared" ref="CX4:CX67" si="14">CW4+(CO4+CP4)*44/12</f>
        <v>296.42314168835259</v>
      </c>
      <c r="CY4" s="62">
        <f ca="1">AVERAGE(OFFSET($CX$3,0,0,'Données projet'!$E$13+1,1))-AVERAGE(OFFSET($H$3,0,0,'Données projet'!$E$13+1,1))</f>
        <v>268.27008134105046</v>
      </c>
      <c r="CZ4" s="62">
        <f>$CZ$3</f>
        <v>252.36274686619709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1.1000000000000001</v>
      </c>
      <c r="DO4" s="13">
        <f>IF('Données projet'!$A$166&gt;35,DO3+DN4-DW3,IF(A4&lt;'Données projet'!$A$166,$DL$205^A4,IF(A4='Données projet'!$A$166,'Données projet'!$B$166,DO3+DN4-DW3)))</f>
        <v>1.2709816152101407</v>
      </c>
      <c r="DP4" s="18">
        <f>DO4*VLOOKUP('Données projet'!$B$14,Paramètres!$A$1:$I$89,3,0)*VLOOKUP('Données projet'!$B$14,Paramètres!$A$1:$I$89,5,0)</f>
        <v>1.0111929730611879</v>
      </c>
      <c r="DQ4" s="14">
        <f>EXP(-1.0587+0.8836*LN(DP4)+0.284)</f>
        <v>0.46539683474213156</v>
      </c>
      <c r="DR4" s="22">
        <f t="shared" ref="DR4:DR67" si="16">(DP4+DQ4)*0.475*44/12</f>
        <v>2.5717272485907814</v>
      </c>
      <c r="DS4" s="62">
        <f t="shared" ref="DS4:DS67" si="17">DR4+(DJ4+DK4)*44/12</f>
        <v>295.90506058192409</v>
      </c>
      <c r="DT4" s="62">
        <f ca="1">AVERAGE(OFFSET($DS$3,0,0,'Données projet'!$E$14+1,1))-AVERAGE(OFFSET($H$3,0,0,'Données projet'!$E$14+1,1))</f>
        <v>279.49721661620544</v>
      </c>
      <c r="DU4" s="62">
        <f>$DU$3</f>
        <v>275.18739333988754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2.8</v>
      </c>
      <c r="EJ4" s="13">
        <f>IF('Données projet'!$A$192&gt;35,EJ3+EI4-ER3,IF(A4&lt;'Données projet'!$A$192,$EG$205^A4,IF(A4='Données projet'!$A$192,'Données projet'!$B$192,EJ3+EI4-ER3)))</f>
        <v>1.2229519710813024</v>
      </c>
      <c r="EK4" s="18">
        <f>EJ4*VLOOKUP('Données projet'!$B$15,Paramètres!$A$1:$I$89,3,0)*VLOOKUP('Données projet'!$B$15,Paramètres!$A$1:$I$89,5,0)</f>
        <v>1.0492927911877574</v>
      </c>
      <c r="EL4" s="14">
        <f>EXP(-1.0587+0.8836*LN(EK4)+0.284)</f>
        <v>0.48085748368030745</v>
      </c>
      <c r="EM4" s="22">
        <f t="shared" ref="EM4:EM67" si="19">(EK4+EL4)*0.475*44/12</f>
        <v>2.6650117287285462</v>
      </c>
      <c r="EN4" s="62">
        <f t="shared" ref="EN4:EN67" si="20">EM4+(EE4+EF4)*44/12</f>
        <v>295.99834506206184</v>
      </c>
      <c r="EO4" s="62">
        <f ca="1">AVERAGE(OFFSET($EN$3,0,0,'Données projet'!$E$15+1,1))-AVERAGE(OFFSET($H$3,0,0,'Données projet'!$E$15+1,1))</f>
        <v>394.11074988418096</v>
      </c>
      <c r="EP4" s="62">
        <f>$EP$3</f>
        <v>241.85593029696236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2.1111111111111112</v>
      </c>
      <c r="N5" s="14">
        <f>IF('Données projet'!$A$36&gt;35,N4+M5-V4,IF(A5&lt;'Données projet'!$A$36,$K$205^A5,IF(A5='Données projet'!$A$36,'Données projet'!$B$36,N4+M5-V4)))</f>
        <v>1.9238334290313039</v>
      </c>
      <c r="O5" s="14">
        <f>N5*VLOOKUP('Données projet'!$B$9,Paramètres!$A$1:$I$89,3,0)*VLOOKUP('Données projet'!$B$9,Paramètres!$A$1:$I$89,5,0)</f>
        <v>1.075422886828499</v>
      </c>
      <c r="P5" s="14">
        <f t="shared" ref="P5:P68" si="33">EXP(-1.0587+0.8836*LN(O5)+0.284)</f>
        <v>0.49142303757836342</v>
      </c>
      <c r="Q5" s="22">
        <f t="shared" si="2"/>
        <v>2.7289233183419519</v>
      </c>
      <c r="R5" s="62">
        <f t="shared" si="0"/>
        <v>296.06225665167528</v>
      </c>
      <c r="S5" s="62">
        <f ca="1">AVERAGE(OFFSET($R$3,0,0,'Données projet'!$E$9+1,1))-AVERAGE(OFFSET($H$3,0,0,'Données projet'!$E$9+1,1))</f>
        <v>539.2446452106276</v>
      </c>
      <c r="T5" s="62">
        <f t="shared" ref="T5:T68" si="34">$T$3</f>
        <v>596.73830276071465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5.8</v>
      </c>
      <c r="AI5" s="14">
        <f>IF('Données projet'!$A$62&gt;35,AI4+AH5-AQ4,IF(A5&lt;'Données projet'!$A$62,$AF$205^A5,IF(A5='Données projet'!$A$62,'Données projet'!$B$62,AI4+AH5-AQ4)))</f>
        <v>2.2526078784323249</v>
      </c>
      <c r="AJ5" s="14">
        <f>AI5*VLOOKUP('Données projet'!$B$10,Paramètres!$A$1:$I$89,3,0)*VLOOKUP('Données projet'!$B$10,Paramètres!$A$1:$I$89,5,0)</f>
        <v>1.2299239016240495</v>
      </c>
      <c r="AK5" s="14">
        <f t="shared" ref="AK5:AK68" si="35">EXP(-1.0587+0.8836*LN(AJ5)+0.284)</f>
        <v>0.55330994862341221</v>
      </c>
      <c r="AL5" s="22">
        <f t="shared" si="4"/>
        <v>3.1057989558476624</v>
      </c>
      <c r="AM5" s="62">
        <f t="shared" si="5"/>
        <v>296.43913228918098</v>
      </c>
      <c r="AN5" s="62">
        <f ca="1">AVERAGE(OFFSET($AM$3,0,0,'Données projet'!$E$10+1,1))-AVERAGE(OFFSET($H$3,0,0,'Données projet'!$E$10+1,1))</f>
        <v>262.6671000229498</v>
      </c>
      <c r="AO5" s="62">
        <f t="shared" ref="AO5:AO68" si="36">$AO$3</f>
        <v>289.30432245776024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2.9</v>
      </c>
      <c r="CT5" s="13">
        <f>IF('Données projet'!$A$140&gt;35,CT4+CS5-DB4,IF(A5&lt;'Données projet'!$A$140,$CQ$205^A5,IF(A5='Données projet'!$A$140,'Données projet'!$B$140,CT4+CS5-DB4)))</f>
        <v>1.9610090574545482</v>
      </c>
      <c r="CU5" s="18">
        <f>CT5*VLOOKUP('Données projet'!$B$13,Paramètres!$A$1:$I$89,3,0)*VLOOKUP('Données projet'!$B$13,Paramètres!$A$1:$I$89,5,0)</f>
        <v>1.7131375125922934</v>
      </c>
      <c r="CV5" s="14">
        <f t="shared" ref="CV5:CV68" si="41">EXP(-1.0587+0.8836*LN(CU5)+0.284)</f>
        <v>0.74153366912094132</v>
      </c>
      <c r="CW5" s="22">
        <f t="shared" si="13"/>
        <v>4.2752189748172169</v>
      </c>
      <c r="CX5" s="62">
        <f t="shared" si="14"/>
        <v>297.60855230815054</v>
      </c>
      <c r="CY5" s="62">
        <f ca="1">AVERAGE(OFFSET($CX$3,0,0,'Données projet'!$E$13+1,1))-AVERAGE(OFFSET($H$3,0,0,'Données projet'!$E$13+1,1))</f>
        <v>268.27008134105046</v>
      </c>
      <c r="CZ5" s="62">
        <f t="shared" ref="CZ5:CZ68" si="42">$CZ$3</f>
        <v>252.36274686619709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1.1000000000000001</v>
      </c>
      <c r="DO5" s="13">
        <f>IF('Données projet'!$A$166&gt;35,DO4+DN5-DW4,IF(A5&lt;'Données projet'!$A$166,$DL$205^A5,IF(A5='Données projet'!$A$166,'Données projet'!$B$166,DO4+DN5-DW4)))</f>
        <v>1.6153942662021783</v>
      </c>
      <c r="DP5" s="18">
        <f>DO5*VLOOKUP('Données projet'!$B$14,Paramètres!$A$1:$I$89,3,0)*VLOOKUP('Données projet'!$B$14,Paramètres!$A$1:$I$89,5,0)</f>
        <v>1.2852076781904531</v>
      </c>
      <c r="DQ5" s="14">
        <f t="shared" ref="DQ5:DQ68" si="43">EXP(-1.0587+0.8836*LN(DP5)+0.284)</f>
        <v>0.57522914588482876</v>
      </c>
      <c r="DR5" s="22">
        <f t="shared" si="16"/>
        <v>3.2402608019311159</v>
      </c>
      <c r="DS5" s="62">
        <f t="shared" si="17"/>
        <v>296.57359413526444</v>
      </c>
      <c r="DT5" s="62">
        <f ca="1">AVERAGE(OFFSET($DS$3,0,0,'Données projet'!$E$14+1,1))-AVERAGE(OFFSET($H$3,0,0,'Données projet'!$E$14+1,1))</f>
        <v>279.49721661620544</v>
      </c>
      <c r="DU5" s="62">
        <f t="shared" ref="DU5:DU68" si="44">$DU$3</f>
        <v>275.18739333988754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2.8</v>
      </c>
      <c r="EJ5" s="13">
        <f>IF('Données projet'!$A$192&gt;35,EJ4+EI5-ER4,IF(A5&lt;'Données projet'!$A$192,$EG$205^A5,IF(A5='Données projet'!$A$192,'Données projet'!$B$192,EJ4+EI5-ER4)))</f>
        <v>1.4956115235716427</v>
      </c>
      <c r="EK5" s="18">
        <f>EJ5*VLOOKUP('Données projet'!$B$15,Paramètres!$A$1:$I$89,3,0)*VLOOKUP('Données projet'!$B$15,Paramètres!$A$1:$I$89,5,0)</f>
        <v>1.2832346872244698</v>
      </c>
      <c r="EL5" s="14">
        <f t="shared" ref="EL5:EL68" si="45">EXP(-1.0587+0.8836*LN(EK5)+0.284)</f>
        <v>0.57444879990343678</v>
      </c>
      <c r="EM5" s="22">
        <f t="shared" si="19"/>
        <v>3.2354654067477706</v>
      </c>
      <c r="EN5" s="62">
        <f t="shared" si="20"/>
        <v>296.56879874008109</v>
      </c>
      <c r="EO5" s="62">
        <f ca="1">AVERAGE(OFFSET($EN$3,0,0,'Données projet'!$E$15+1,1))-AVERAGE(OFFSET($H$3,0,0,'Données projet'!$E$15+1,1))</f>
        <v>394.11074988418096</v>
      </c>
      <c r="EP5" s="62">
        <f t="shared" ref="EP5:EP68" si="46">$EP$3</f>
        <v>241.85593029696236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2.1111111111111112</v>
      </c>
      <c r="N6" s="14">
        <f>IF('Données projet'!$A$36&gt;35,N5+M6-V5,IF(A6&lt;'Données projet'!$A$36,$K$205^A6,IF(A6='Données projet'!$A$36,'Données projet'!$B$36,N5+M6-V5)))</f>
        <v>2.6684016487219449</v>
      </c>
      <c r="O6" s="14">
        <f>N6*VLOOKUP('Données projet'!$B$9,Paramètres!$A$1:$I$89,3,0)*VLOOKUP('Données projet'!$B$9,Paramètres!$A$1:$I$89,5,0)</f>
        <v>1.4916365216355671</v>
      </c>
      <c r="P6" s="14">
        <f t="shared" si="33"/>
        <v>0.65614632225121139</v>
      </c>
      <c r="Q6" s="22">
        <f t="shared" si="2"/>
        <v>3.7407217864361395</v>
      </c>
      <c r="R6" s="62">
        <f t="shared" si="0"/>
        <v>297.07405511976947</v>
      </c>
      <c r="S6" s="62">
        <f ca="1">AVERAGE(OFFSET($R$3,0,0,'Données projet'!$E$9+1,1))-AVERAGE(OFFSET($H$3,0,0,'Données projet'!$E$9+1,1))</f>
        <v>539.2446452106276</v>
      </c>
      <c r="T6" s="62">
        <f t="shared" si="34"/>
        <v>596.73830276071465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5.8</v>
      </c>
      <c r="AI6" s="14">
        <f>IF('Données projet'!$A$62&gt;35,AI5+AH6-AQ5,IF(A6&lt;'Données projet'!$A$62,$AF$205^A6,IF(A6='Données projet'!$A$62,'Données projet'!$B$62,AI5+AH6-AQ5)))</f>
        <v>3.3808694264019041</v>
      </c>
      <c r="AJ6" s="14">
        <f>AI6*VLOOKUP('Données projet'!$B$10,Paramètres!$A$1:$I$89,3,0)*VLOOKUP('Données projet'!$B$10,Paramètres!$A$1:$I$89,5,0)</f>
        <v>1.8459547068154396</v>
      </c>
      <c r="AK6" s="14">
        <f t="shared" si="35"/>
        <v>0.79210905233459317</v>
      </c>
      <c r="AL6" s="22">
        <f t="shared" si="4"/>
        <v>4.5946277138529732</v>
      </c>
      <c r="AM6" s="62">
        <f t="shared" si="5"/>
        <v>297.92796104718627</v>
      </c>
      <c r="AN6" s="62">
        <f ca="1">AVERAGE(OFFSET($AM$3,0,0,'Données projet'!$E$10+1,1))-AVERAGE(OFFSET($H$3,0,0,'Données projet'!$E$10+1,1))</f>
        <v>262.6671000229498</v>
      </c>
      <c r="AO6" s="62">
        <f t="shared" si="36"/>
        <v>289.30432245776024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2.9</v>
      </c>
      <c r="CT6" s="13">
        <f>IF('Données projet'!$A$140&gt;35,CT5+CS6-DB5,IF(A6&lt;'Données projet'!$A$140,$CQ$205^A6,IF(A6='Données projet'!$A$140,'Données projet'!$B$140,CT5+CS6-DB5)))</f>
        <v>2.7461192933624794</v>
      </c>
      <c r="CU6" s="18">
        <f>CT6*VLOOKUP('Données projet'!$B$13,Paramètres!$A$1:$I$89,3,0)*VLOOKUP('Données projet'!$B$13,Paramètres!$A$1:$I$89,5,0)</f>
        <v>2.3990098146814622</v>
      </c>
      <c r="CV6" s="14">
        <f t="shared" si="41"/>
        <v>0.99850067298942213</v>
      </c>
      <c r="CW6" s="22">
        <f t="shared" si="13"/>
        <v>5.9173307660267902</v>
      </c>
      <c r="CX6" s="62">
        <f t="shared" si="14"/>
        <v>299.25066409936011</v>
      </c>
      <c r="CY6" s="62">
        <f ca="1">AVERAGE(OFFSET($CX$3,0,0,'Données projet'!$E$13+1,1))-AVERAGE(OFFSET($H$3,0,0,'Données projet'!$E$13+1,1))</f>
        <v>268.27008134105046</v>
      </c>
      <c r="CZ6" s="62">
        <f t="shared" si="42"/>
        <v>252.36274686619709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1.1000000000000001</v>
      </c>
      <c r="DO6" s="13">
        <f>IF('Données projet'!$A$166&gt;35,DO5+DN6-DW5,IF(A6&lt;'Données projet'!$A$166,$DL$205^A6,IF(A6='Données projet'!$A$166,'Données projet'!$B$166,DO5+DN6-DW5)))</f>
        <v>2.0531364136588448</v>
      </c>
      <c r="DP6" s="18">
        <f>DO6*VLOOKUP('Données projet'!$B$14,Paramètres!$A$1:$I$89,3,0)*VLOOKUP('Données projet'!$B$14,Paramètres!$A$1:$I$89,5,0)</f>
        <v>1.6334753307069771</v>
      </c>
      <c r="DQ6" s="14">
        <f t="shared" si="43"/>
        <v>0.71098156578295024</v>
      </c>
      <c r="DR6" s="22">
        <f t="shared" si="16"/>
        <v>4.0832624280532892</v>
      </c>
      <c r="DS6" s="62">
        <f t="shared" si="17"/>
        <v>297.41659576138659</v>
      </c>
      <c r="DT6" s="62">
        <f ca="1">AVERAGE(OFFSET($DS$3,0,0,'Données projet'!$E$14+1,1))-AVERAGE(OFFSET($H$3,0,0,'Données projet'!$E$14+1,1))</f>
        <v>279.49721661620544</v>
      </c>
      <c r="DU6" s="62">
        <f t="shared" si="44"/>
        <v>275.18739333988754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2.8</v>
      </c>
      <c r="EJ6" s="13">
        <f>IF('Données projet'!$A$192&gt;35,EJ5+EI6-ER5,IF(A6&lt;'Données projet'!$A$192,$EG$205^A6,IF(A6='Données projet'!$A$192,'Données projet'!$B$192,EJ5+EI6-ER5)))</f>
        <v>1.8290610607238502</v>
      </c>
      <c r="EK6" s="18">
        <f>EJ6*VLOOKUP('Données projet'!$B$15,Paramètres!$A$1:$I$89,3,0)*VLOOKUP('Données projet'!$B$15,Paramètres!$A$1:$I$89,5,0)</f>
        <v>1.5693343901010637</v>
      </c>
      <c r="EL6" s="14">
        <f t="shared" si="45"/>
        <v>0.68625618797666377</v>
      </c>
      <c r="EM6" s="22">
        <f t="shared" si="19"/>
        <v>3.9284869234853752</v>
      </c>
      <c r="EN6" s="62">
        <f t="shared" si="20"/>
        <v>297.26182025681868</v>
      </c>
      <c r="EO6" s="62">
        <f ca="1">AVERAGE(OFFSET($EN$3,0,0,'Données projet'!$E$15+1,1))-AVERAGE(OFFSET($H$3,0,0,'Données projet'!$E$15+1,1))</f>
        <v>394.11074988418096</v>
      </c>
      <c r="EP6" s="62">
        <f t="shared" si="46"/>
        <v>241.85593029696236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2.1111111111111112</v>
      </c>
      <c r="N7" s="14">
        <f>IF('Données projet'!$A$36&gt;35,N6+M7-V6,IF(A7&lt;'Données projet'!$A$36,$K$205^A7,IF(A7='Données projet'!$A$36,'Données projet'!$B$36,N6+M7-V6)))</f>
        <v>3.701135062658345</v>
      </c>
      <c r="O7" s="14">
        <f>N7*VLOOKUP('Données projet'!$B$9,Paramètres!$A$1:$I$89,3,0)*VLOOKUP('Données projet'!$B$9,Paramètres!$A$1:$I$89,5,0)</f>
        <v>2.0689345000260149</v>
      </c>
      <c r="P7" s="14">
        <f t="shared" si="33"/>
        <v>0.87608427623855067</v>
      </c>
      <c r="Q7" s="22">
        <f t="shared" si="2"/>
        <v>5.1292410353274507</v>
      </c>
      <c r="R7" s="62">
        <f t="shared" si="0"/>
        <v>298.46257436866074</v>
      </c>
      <c r="S7" s="62">
        <f ca="1">AVERAGE(OFFSET($R$3,0,0,'Données projet'!$E$9+1,1))-AVERAGE(OFFSET($H$3,0,0,'Données projet'!$E$9+1,1))</f>
        <v>539.2446452106276</v>
      </c>
      <c r="T7" s="62">
        <f t="shared" si="34"/>
        <v>596.73830276071465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5.8</v>
      </c>
      <c r="AI7" s="14">
        <f>IF('Données projet'!$A$62&gt;35,AI6+AH7-AQ6,IF(A7&lt;'Données projet'!$A$62,$AF$205^A7,IF(A7='Données projet'!$A$62,'Données projet'!$B$62,AI6+AH7-AQ6)))</f>
        <v>5.0742422539753802</v>
      </c>
      <c r="AJ7" s="14">
        <f>AI7*VLOOKUP('Données projet'!$B$10,Paramètres!$A$1:$I$89,3,0)*VLOOKUP('Données projet'!$B$10,Paramètres!$A$1:$I$89,5,0)</f>
        <v>2.7705362706705579</v>
      </c>
      <c r="AK7" s="14">
        <f t="shared" si="35"/>
        <v>1.1339697620681071</v>
      </c>
      <c r="AL7" s="22">
        <f t="shared" si="4"/>
        <v>6.8003480070198412</v>
      </c>
      <c r="AM7" s="62">
        <f t="shared" si="5"/>
        <v>300.13368134035318</v>
      </c>
      <c r="AN7" s="62">
        <f ca="1">AVERAGE(OFFSET($AM$3,0,0,'Données projet'!$E$10+1,1))-AVERAGE(OFFSET($H$3,0,0,'Données projet'!$E$10+1,1))</f>
        <v>262.6671000229498</v>
      </c>
      <c r="AO7" s="62">
        <f t="shared" si="36"/>
        <v>289.30432245776024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2.9</v>
      </c>
      <c r="CT7" s="13">
        <f>IF('Données projet'!$A$140&gt;35,CT6+CS7-DB6,IF(A7&lt;'Données projet'!$A$140,$CQ$205^A7,IF(A7='Données projet'!$A$140,'Données projet'!$B$140,CT6+CS7-DB6)))</f>
        <v>3.8455565234187756</v>
      </c>
      <c r="CU7" s="18">
        <f>CT7*VLOOKUP('Données projet'!$B$13,Paramètres!$A$1:$I$89,3,0)*VLOOKUP('Données projet'!$B$13,Paramètres!$A$1:$I$89,5,0)</f>
        <v>3.3594781788586427</v>
      </c>
      <c r="CV7" s="14">
        <f t="shared" si="41"/>
        <v>1.3445156106562728</v>
      </c>
      <c r="CW7" s="22">
        <f t="shared" si="13"/>
        <v>8.1927891834051447</v>
      </c>
      <c r="CX7" s="62">
        <f t="shared" si="14"/>
        <v>301.52612251673844</v>
      </c>
      <c r="CY7" s="62">
        <f ca="1">AVERAGE(OFFSET($CX$3,0,0,'Données projet'!$E$13+1,1))-AVERAGE(OFFSET($H$3,0,0,'Données projet'!$E$13+1,1))</f>
        <v>268.27008134105046</v>
      </c>
      <c r="CZ7" s="62">
        <f t="shared" si="42"/>
        <v>252.36274686619709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1.1000000000000001</v>
      </c>
      <c r="DO7" s="13">
        <f>IF('Données projet'!$A$166&gt;35,DO6+DN7-DW6,IF(A7&lt;'Données projet'!$A$166,$DL$205^A7,IF(A7='Données projet'!$A$166,'Données projet'!$B$166,DO6+DN7-DW6)))</f>
        <v>2.6094986352788743</v>
      </c>
      <c r="DP7" s="18">
        <f>DO7*VLOOKUP('Données projet'!$B$14,Paramètres!$A$1:$I$89,3,0)*VLOOKUP('Données projet'!$B$14,Paramètres!$A$1:$I$89,5,0)</f>
        <v>2.0761171142278725</v>
      </c>
      <c r="DQ7" s="14">
        <f t="shared" si="43"/>
        <v>0.87877116536856548</v>
      </c>
      <c r="DR7" s="22">
        <f t="shared" si="16"/>
        <v>5.14643042029713</v>
      </c>
      <c r="DS7" s="62">
        <f t="shared" si="17"/>
        <v>298.47976375363044</v>
      </c>
      <c r="DT7" s="62">
        <f ca="1">AVERAGE(OFFSET($DS$3,0,0,'Données projet'!$E$14+1,1))-AVERAGE(OFFSET($H$3,0,0,'Données projet'!$E$14+1,1))</f>
        <v>279.49721661620544</v>
      </c>
      <c r="DU7" s="62">
        <f t="shared" si="44"/>
        <v>275.18739333988754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2.8</v>
      </c>
      <c r="EJ7" s="13">
        <f>IF('Données projet'!$A$192&gt;35,EJ6+EI7-ER6,IF(A7&lt;'Données projet'!$A$192,$EG$205^A7,IF(A7='Données projet'!$A$192,'Données projet'!$B$192,EJ6+EI7-ER6)))</f>
        <v>2.2368538294402907</v>
      </c>
      <c r="EK7" s="18">
        <f>EJ7*VLOOKUP('Données projet'!$B$15,Paramètres!$A$1:$I$89,3,0)*VLOOKUP('Données projet'!$B$15,Paramètres!$A$1:$I$89,5,0)</f>
        <v>1.9192205856597695</v>
      </c>
      <c r="EL7" s="14">
        <f t="shared" si="45"/>
        <v>0.8198251186449117</v>
      </c>
      <c r="EM7" s="22">
        <f t="shared" si="19"/>
        <v>4.770504601663986</v>
      </c>
      <c r="EN7" s="62">
        <f t="shared" si="20"/>
        <v>298.10383793499727</v>
      </c>
      <c r="EO7" s="62">
        <f ca="1">AVERAGE(OFFSET($EN$3,0,0,'Données projet'!$E$15+1,1))-AVERAGE(OFFSET($H$3,0,0,'Données projet'!$E$15+1,1))</f>
        <v>394.11074988418096</v>
      </c>
      <c r="EP7" s="62">
        <f t="shared" si="46"/>
        <v>241.85593029696236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2.1111111111111112</v>
      </c>
      <c r="N8" s="14">
        <f>IF('Données projet'!$A$36&gt;35,N7+M8-V7,IF(A8&lt;'Données projet'!$A$36,$K$205^A8,IF(A8='Données projet'!$A$36,'Données projet'!$B$36,N7+M8-V7)))</f>
        <v>5.1335602938935239</v>
      </c>
      <c r="O8" s="14">
        <f>N8*VLOOKUP('Données projet'!$B$9,Paramètres!$A$1:$I$89,3,0)*VLOOKUP('Données projet'!$B$9,Paramètres!$A$1:$I$89,5,0)</f>
        <v>2.8696602042864798</v>
      </c>
      <c r="P8" s="14">
        <f t="shared" si="33"/>
        <v>1.1697446637193403</v>
      </c>
      <c r="Q8" s="22">
        <f t="shared" si="2"/>
        <v>7.0352968117768029</v>
      </c>
      <c r="R8" s="62">
        <f t="shared" si="0"/>
        <v>300.3686301451101</v>
      </c>
      <c r="S8" s="62">
        <f ca="1">AVERAGE(OFFSET($R$3,0,0,'Données projet'!$E$9+1,1))-AVERAGE(OFFSET($H$3,0,0,'Données projet'!$E$9+1,1))</f>
        <v>539.2446452106276</v>
      </c>
      <c r="T8" s="62">
        <f t="shared" si="34"/>
        <v>596.73830276071465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5.8</v>
      </c>
      <c r="AI8" s="14">
        <f>IF('Données projet'!$A$62&gt;35,AI7+AH8-AQ7,IF(A8&lt;'Données projet'!$A$62,$AF$205^A8,IF(A8='Données projet'!$A$62,'Données projet'!$B$62,AI7+AH8-AQ7)))</f>
        <v>7.6157731058639051</v>
      </c>
      <c r="AJ8" s="14">
        <f>AI8*VLOOKUP('Données projet'!$B$10,Paramètres!$A$1:$I$89,3,0)*VLOOKUP('Données projet'!$B$10,Paramètres!$A$1:$I$89,5,0)</f>
        <v>4.1582121158016925</v>
      </c>
      <c r="AK8" s="14">
        <f t="shared" si="35"/>
        <v>1.6233717030437753</v>
      </c>
      <c r="AL8" s="22">
        <f t="shared" si="4"/>
        <v>10.069591817822522</v>
      </c>
      <c r="AM8" s="62">
        <f t="shared" si="5"/>
        <v>303.40292515115584</v>
      </c>
      <c r="AN8" s="62">
        <f ca="1">AVERAGE(OFFSET($AM$3,0,0,'Données projet'!$E$10+1,1))-AVERAGE(OFFSET($H$3,0,0,'Données projet'!$E$10+1,1))</f>
        <v>262.6671000229498</v>
      </c>
      <c r="AO8" s="62">
        <f t="shared" si="36"/>
        <v>289.30432245776024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2.9</v>
      </c>
      <c r="CT8" s="13">
        <f>IF('Données projet'!$A$140&gt;35,CT7+CS8-DB7,IF(A8&lt;'Données projet'!$A$140,$CQ$205^A8,IF(A8='Données projet'!$A$140,'Données projet'!$B$140,CT7+CS8-DB7)))</f>
        <v>5.3851648071345055</v>
      </c>
      <c r="CU8" s="18">
        <f>CT8*VLOOKUP('Données projet'!$B$13,Paramètres!$A$1:$I$89,3,0)*VLOOKUP('Données projet'!$B$13,Paramètres!$A$1:$I$89,5,0)</f>
        <v>4.7044799755127045</v>
      </c>
      <c r="CV8" s="14">
        <f t="shared" si="41"/>
        <v>1.8104366638895204</v>
      </c>
      <c r="CW8" s="22">
        <f t="shared" si="13"/>
        <v>11.346813146958874</v>
      </c>
      <c r="CX8" s="62">
        <f t="shared" si="14"/>
        <v>304.68014648029219</v>
      </c>
      <c r="CY8" s="62">
        <f ca="1">AVERAGE(OFFSET($CX$3,0,0,'Données projet'!$E$13+1,1))-AVERAGE(OFFSET($H$3,0,0,'Données projet'!$E$13+1,1))</f>
        <v>268.27008134105046</v>
      </c>
      <c r="CZ8" s="62">
        <f t="shared" si="42"/>
        <v>252.36274686619709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1.1000000000000001</v>
      </c>
      <c r="DO8" s="13">
        <f>IF('Données projet'!$A$166&gt;35,DO7+DN8-DW7,IF(A8&lt;'Données projet'!$A$166,$DL$205^A8,IF(A8='Données projet'!$A$166,'Données projet'!$B$166,DO7+DN8-DW7)))</f>
        <v>3.3166247903554016</v>
      </c>
      <c r="DP8" s="18">
        <f>DO8*VLOOKUP('Données projet'!$B$14,Paramètres!$A$1:$I$89,3,0)*VLOOKUP('Données projet'!$B$14,Paramètres!$A$1:$I$89,5,0)</f>
        <v>2.6387066832067574</v>
      </c>
      <c r="DQ8" s="14">
        <f t="shared" si="43"/>
        <v>1.0861586266766543</v>
      </c>
      <c r="DR8" s="22">
        <f t="shared" si="16"/>
        <v>6.4874737480469413</v>
      </c>
      <c r="DS8" s="62">
        <f t="shared" si="17"/>
        <v>299.82080708138028</v>
      </c>
      <c r="DT8" s="62">
        <f ca="1">AVERAGE(OFFSET($DS$3,0,0,'Données projet'!$E$14+1,1))-AVERAGE(OFFSET($H$3,0,0,'Données projet'!$E$14+1,1))</f>
        <v>279.49721661620544</v>
      </c>
      <c r="DU8" s="62">
        <f t="shared" si="44"/>
        <v>275.18739333988754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2.8</v>
      </c>
      <c r="EJ8" s="13">
        <f>IF('Données projet'!$A$192&gt;35,EJ7+EI8-ER7,IF(A8&lt;'Données projet'!$A$192,$EG$205^A8,IF(A8='Données projet'!$A$192,'Données projet'!$B$192,EJ7+EI8-ER7)))</f>
        <v>2.735564799734763</v>
      </c>
      <c r="EK8" s="18">
        <f>EJ8*VLOOKUP('Données projet'!$B$15,Paramètres!$A$1:$I$89,3,0)*VLOOKUP('Données projet'!$B$15,Paramètres!$A$1:$I$89,5,0)</f>
        <v>2.3471145981724271</v>
      </c>
      <c r="EL8" s="14">
        <f t="shared" si="45"/>
        <v>0.97939113254888255</v>
      </c>
      <c r="EM8" s="22">
        <f t="shared" si="19"/>
        <v>5.7936641476729482</v>
      </c>
      <c r="EN8" s="62">
        <f t="shared" si="20"/>
        <v>299.12699748100624</v>
      </c>
      <c r="EO8" s="62">
        <f ca="1">AVERAGE(OFFSET($EN$3,0,0,'Données projet'!$E$15+1,1))-AVERAGE(OFFSET($H$3,0,0,'Données projet'!$E$15+1,1))</f>
        <v>394.11074988418096</v>
      </c>
      <c r="EP8" s="62">
        <f t="shared" si="46"/>
        <v>241.85593029696236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2.1111111111111112</v>
      </c>
      <c r="N9" s="14">
        <f>IF('Données projet'!$A$36&gt;35,N8+M9-V8,IF(A9&lt;'Données projet'!$A$36,$K$205^A9,IF(A9='Données projet'!$A$36,'Données projet'!$B$36,N8+M9-V8)))</f>
        <v>7.1203673589019942</v>
      </c>
      <c r="O9" s="14">
        <f>N9*VLOOKUP('Données projet'!$B$9,Paramètres!$A$1:$I$89,3,0)*VLOOKUP('Données projet'!$B$9,Paramètres!$A$1:$I$89,5,0)</f>
        <v>3.9802853536262153</v>
      </c>
      <c r="P9" s="14">
        <f t="shared" si="33"/>
        <v>1.5618389867406941</v>
      </c>
      <c r="Q9" s="22">
        <f t="shared" si="2"/>
        <v>9.6525332261390329</v>
      </c>
      <c r="R9" s="62">
        <f t="shared" si="0"/>
        <v>302.98586655947236</v>
      </c>
      <c r="S9" s="62">
        <f ca="1">AVERAGE(OFFSET($R$3,0,0,'Données projet'!$E$9+1,1))-AVERAGE(OFFSET($H$3,0,0,'Données projet'!$E$9+1,1))</f>
        <v>539.2446452106276</v>
      </c>
      <c r="T9" s="62">
        <f t="shared" si="34"/>
        <v>596.73830276071465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5.8</v>
      </c>
      <c r="AI9" s="14">
        <f>IF('Données projet'!$A$62&gt;35,AI8+AH9-AQ8,IF(A9&lt;'Données projet'!$A$62,$AF$205^A9,IF(A9='Données projet'!$A$62,'Données projet'!$B$62,AI8+AH9-AQ8)))</f>
        <v>11.430278078379139</v>
      </c>
      <c r="AJ9" s="14">
        <f>AI9*VLOOKUP('Données projet'!$B$10,Paramètres!$A$1:$I$89,3,0)*VLOOKUP('Données projet'!$B$10,Paramètres!$A$1:$I$89,5,0)</f>
        <v>6.2409318307950103</v>
      </c>
      <c r="AK9" s="14">
        <f t="shared" si="35"/>
        <v>2.3239911454402313</v>
      </c>
      <c r="AL9" s="22">
        <f t="shared" si="4"/>
        <v>14.917240850276377</v>
      </c>
      <c r="AM9" s="62">
        <f t="shared" si="5"/>
        <v>308.25057418360967</v>
      </c>
      <c r="AN9" s="62">
        <f ca="1">AVERAGE(OFFSET($AM$3,0,0,'Données projet'!$E$10+1,1))-AVERAGE(OFFSET($H$3,0,0,'Données projet'!$E$10+1,1))</f>
        <v>262.6671000229498</v>
      </c>
      <c r="AO9" s="62">
        <f t="shared" si="36"/>
        <v>289.30432245776024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2.9</v>
      </c>
      <c r="CT9" s="13">
        <f>IF('Données projet'!$A$140&gt;35,CT8+CS9-DB8,IF(A9&lt;'Données projet'!$A$140,$CQ$205^A9,IF(A9='Données projet'!$A$140,'Données projet'!$B$140,CT8+CS9-DB8)))</f>
        <v>7.5411711733776423</v>
      </c>
      <c r="CU9" s="18">
        <f>CT9*VLOOKUP('Données projet'!$B$13,Paramètres!$A$1:$I$89,3,0)*VLOOKUP('Données projet'!$B$13,Paramètres!$A$1:$I$89,5,0)</f>
        <v>6.5879671370627086</v>
      </c>
      <c r="CV9" s="14">
        <f t="shared" si="41"/>
        <v>2.4378154392387783</v>
      </c>
      <c r="CW9" s="22">
        <f t="shared" si="13"/>
        <v>15.71990465372509</v>
      </c>
      <c r="CX9" s="62">
        <f t="shared" si="14"/>
        <v>309.05323798705842</v>
      </c>
      <c r="CY9" s="62">
        <f ca="1">AVERAGE(OFFSET($CX$3,0,0,'Données projet'!$E$13+1,1))-AVERAGE(OFFSET($H$3,0,0,'Données projet'!$E$13+1,1))</f>
        <v>268.27008134105046</v>
      </c>
      <c r="CZ9" s="62">
        <f t="shared" si="42"/>
        <v>252.36274686619709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1.1000000000000001</v>
      </c>
      <c r="DO9" s="13">
        <f>IF('Données projet'!$A$166&gt;35,DO8+DN9-DW8,IF(A9&lt;'Données projet'!$A$166,$DL$205^A9,IF(A9='Données projet'!$A$166,'Données projet'!$B$166,DO8+DN9-DW8)))</f>
        <v>4.2153691330919028</v>
      </c>
      <c r="DP9" s="18">
        <f>DO9*VLOOKUP('Données projet'!$B$14,Paramètres!$A$1:$I$89,3,0)*VLOOKUP('Données projet'!$B$14,Paramètres!$A$1:$I$89,5,0)</f>
        <v>3.353747682287918</v>
      </c>
      <c r="DQ9" s="14">
        <f t="shared" si="43"/>
        <v>1.3424889309030987</v>
      </c>
      <c r="DR9" s="22">
        <f t="shared" si="16"/>
        <v>8.1792787679743544</v>
      </c>
      <c r="DS9" s="62">
        <f t="shared" si="17"/>
        <v>301.5126121013077</v>
      </c>
      <c r="DT9" s="62">
        <f ca="1">AVERAGE(OFFSET($DS$3,0,0,'Données projet'!$E$14+1,1))-AVERAGE(OFFSET($H$3,0,0,'Données projet'!$E$14+1,1))</f>
        <v>279.49721661620544</v>
      </c>
      <c r="DU9" s="62">
        <f t="shared" si="44"/>
        <v>275.18739333988754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2.8</v>
      </c>
      <c r="EJ9" s="13">
        <f>IF('Données projet'!$A$192&gt;35,EJ8+EI9-ER8,IF(A9&lt;'Données projet'!$A$192,$EG$205^A9,IF(A9='Données projet'!$A$192,'Données projet'!$B$192,EJ8+EI9-ER8)))</f>
        <v>3.3454643638562565</v>
      </c>
      <c r="EK9" s="18">
        <f>EJ9*VLOOKUP('Données projet'!$B$15,Paramètres!$A$1:$I$89,3,0)*VLOOKUP('Données projet'!$B$15,Paramètres!$A$1:$I$89,5,0)</f>
        <v>2.8704084241886685</v>
      </c>
      <c r="EL9" s="14">
        <f t="shared" si="45"/>
        <v>1.170014151433729</v>
      </c>
      <c r="EM9" s="22">
        <f t="shared" si="19"/>
        <v>7.0370693192090075</v>
      </c>
      <c r="EN9" s="62">
        <f t="shared" si="20"/>
        <v>300.37040265254234</v>
      </c>
      <c r="EO9" s="62">
        <f ca="1">AVERAGE(OFFSET($EN$3,0,0,'Données projet'!$E$15+1,1))-AVERAGE(OFFSET($H$3,0,0,'Données projet'!$E$15+1,1))</f>
        <v>394.11074988418096</v>
      </c>
      <c r="EP9" s="62">
        <f t="shared" si="46"/>
        <v>241.85593029696236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2.1111111111111112</v>
      </c>
      <c r="N10" s="14">
        <f>IF('Données projet'!$A$36&gt;35,N9+M10-V9,IF(A10&lt;'Données projet'!$A$36,$K$205^A10,IF(A10='Données projet'!$A$36,'Données projet'!$B$36,N9+M10-V9)))</f>
        <v>9.8761149033401257</v>
      </c>
      <c r="O10" s="14">
        <f>N10*VLOOKUP('Données projet'!$B$9,Paramètres!$A$1:$I$89,3,0)*VLOOKUP('Données projet'!$B$9,Paramètres!$A$1:$I$89,5,0)</f>
        <v>5.5207482309671301</v>
      </c>
      <c r="P10" s="14">
        <f t="shared" si="33"/>
        <v>2.0853619564692236</v>
      </c>
      <c r="Q10" s="22">
        <f t="shared" si="2"/>
        <v>13.247308576451649</v>
      </c>
      <c r="R10" s="62">
        <f t="shared" si="0"/>
        <v>306.58064190978496</v>
      </c>
      <c r="S10" s="62">
        <f ca="1">AVERAGE(OFFSET($R$3,0,0,'Données projet'!$E$9+1,1))-AVERAGE(OFFSET($H$3,0,0,'Données projet'!$E$9+1,1))</f>
        <v>539.2446452106276</v>
      </c>
      <c r="T10" s="62">
        <f t="shared" si="34"/>
        <v>596.73830276071465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5.8</v>
      </c>
      <c r="AI10" s="14">
        <f>IF('Données projet'!$A$62&gt;35,AI9+AH10-AQ9,IF(A10&lt;'Données projet'!$A$62,$AF$205^A10,IF(A10='Données projet'!$A$62,'Données projet'!$B$62,AI9+AH10-AQ9)))</f>
        <v>17.155350498622049</v>
      </c>
      <c r="AJ10" s="14">
        <f>AI10*VLOOKUP('Données projet'!$B$10,Paramètres!$A$1:$I$89,3,0)*VLOOKUP('Données projet'!$B$10,Paramètres!$A$1:$I$89,5,0)</f>
        <v>9.3668213722476388</v>
      </c>
      <c r="AK10" s="14">
        <f t="shared" si="35"/>
        <v>3.3269859478011128</v>
      </c>
      <c r="AL10" s="22">
        <f t="shared" si="4"/>
        <v>22.108381082418244</v>
      </c>
      <c r="AM10" s="62">
        <f t="shared" si="5"/>
        <v>315.44171441575156</v>
      </c>
      <c r="AN10" s="62">
        <f ca="1">AVERAGE(OFFSET($AM$3,0,0,'Données projet'!$E$10+1,1))-AVERAGE(OFFSET($H$3,0,0,'Données projet'!$E$10+1,1))</f>
        <v>262.6671000229498</v>
      </c>
      <c r="AO10" s="62">
        <f t="shared" si="36"/>
        <v>289.30432245776024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2.9</v>
      </c>
      <c r="CT10" s="13">
        <f>IF('Données projet'!$A$140&gt;35,CT9+CS10-DB9,IF(A10&lt;'Données projet'!$A$140,$CQ$205^A10,IF(A10='Données projet'!$A$140,'Données projet'!$B$140,CT9+CS10-DB9)))</f>
        <v>10.560356962676241</v>
      </c>
      <c r="CU10" s="18">
        <f>CT10*VLOOKUP('Données projet'!$B$13,Paramètres!$A$1:$I$89,3,0)*VLOOKUP('Données projet'!$B$13,Paramètres!$A$1:$I$89,5,0)</f>
        <v>9.2255278425939657</v>
      </c>
      <c r="CV10" s="14">
        <f t="shared" si="41"/>
        <v>3.282602608711652</v>
      </c>
      <c r="CW10" s="22">
        <f t="shared" si="13"/>
        <v>21.784993869357283</v>
      </c>
      <c r="CX10" s="62">
        <f t="shared" si="14"/>
        <v>315.11832720269058</v>
      </c>
      <c r="CY10" s="62">
        <f ca="1">AVERAGE(OFFSET($CX$3,0,0,'Données projet'!$E$13+1,1))-AVERAGE(OFFSET($H$3,0,0,'Données projet'!$E$13+1,1))</f>
        <v>268.27008134105046</v>
      </c>
      <c r="CZ10" s="62">
        <f t="shared" si="42"/>
        <v>252.36274686619709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1.1000000000000001</v>
      </c>
      <c r="DO10" s="13">
        <f>IF('Données projet'!$A$166&gt;35,DO9+DN10-DW9,IF(A10&lt;'Données projet'!$A$166,$DL$205^A10,IF(A10='Données projet'!$A$166,'Données projet'!$B$166,DO9+DN10-DW9)))</f>
        <v>5.3576566694841175</v>
      </c>
      <c r="DP10" s="18">
        <f>DO10*VLOOKUP('Données projet'!$B$14,Paramètres!$A$1:$I$89,3,0)*VLOOKUP('Données projet'!$B$14,Paramètres!$A$1:$I$89,5,0)</f>
        <v>4.2625516462415645</v>
      </c>
      <c r="DQ10" s="14">
        <f t="shared" si="43"/>
        <v>1.6593124478620722</v>
      </c>
      <c r="DR10" s="22">
        <f t="shared" si="16"/>
        <v>10.313913297230501</v>
      </c>
      <c r="DS10" s="62">
        <f t="shared" si="17"/>
        <v>303.64724663056381</v>
      </c>
      <c r="DT10" s="62">
        <f ca="1">AVERAGE(OFFSET($DS$3,0,0,'Données projet'!$E$14+1,1))-AVERAGE(OFFSET($H$3,0,0,'Données projet'!$E$14+1,1))</f>
        <v>279.49721661620544</v>
      </c>
      <c r="DU10" s="62">
        <f t="shared" si="44"/>
        <v>275.18739333988754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2.8</v>
      </c>
      <c r="EJ10" s="13">
        <f>IF('Données projet'!$A$192&gt;35,EJ9+EI10-ER9,IF(A10&lt;'Données projet'!$A$192,$EG$205^A10,IF(A10='Données projet'!$A$192,'Données projet'!$B$192,EJ9+EI10-ER9)))</f>
        <v>4.091342237960264</v>
      </c>
      <c r="EK10" s="18">
        <f>EJ10*VLOOKUP('Données projet'!$B$15,Paramètres!$A$1:$I$89,3,0)*VLOOKUP('Données projet'!$B$15,Paramètres!$A$1:$I$89,5,0)</f>
        <v>3.510371640169907</v>
      </c>
      <c r="EL10" s="14">
        <f t="shared" si="45"/>
        <v>1.3977389309136552</v>
      </c>
      <c r="EM10" s="22">
        <f t="shared" si="19"/>
        <v>8.5482925779705372</v>
      </c>
      <c r="EN10" s="62">
        <f t="shared" si="20"/>
        <v>301.88162591130384</v>
      </c>
      <c r="EO10" s="62">
        <f ca="1">AVERAGE(OFFSET($EN$3,0,0,'Données projet'!$E$15+1,1))-AVERAGE(OFFSET($H$3,0,0,'Données projet'!$E$15+1,1))</f>
        <v>394.11074988418096</v>
      </c>
      <c r="EP10" s="62">
        <f t="shared" si="46"/>
        <v>241.85593029696236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2.1111111111111112</v>
      </c>
      <c r="N11" s="14">
        <f>IF('Données projet'!$A$36&gt;35,N10+M11-V10,IF(A11&lt;'Données projet'!$A$36,$K$205^A11,IF(A11='Données projet'!$A$36,'Données projet'!$B$36,N10+M11-V10)))</f>
        <v>13.698400752038992</v>
      </c>
      <c r="O11" s="14">
        <f>N11*VLOOKUP('Données projet'!$B$9,Paramètres!$A$1:$I$89,3,0)*VLOOKUP('Données projet'!$B$9,Paramètres!$A$1:$I$89,5,0)</f>
        <v>7.6574060203897973</v>
      </c>
      <c r="P11" s="14">
        <f t="shared" si="33"/>
        <v>2.7843679959380818</v>
      </c>
      <c r="Q11" s="22">
        <f t="shared" si="2"/>
        <v>18.18608974510439</v>
      </c>
      <c r="R11" s="62">
        <f t="shared" si="0"/>
        <v>311.51942307843768</v>
      </c>
      <c r="S11" s="62">
        <f ca="1">AVERAGE(OFFSET($R$3,0,0,'Données projet'!$E$9+1,1))-AVERAGE(OFFSET($H$3,0,0,'Données projet'!$E$9+1,1))</f>
        <v>539.2446452106276</v>
      </c>
      <c r="T11" s="62">
        <f t="shared" si="34"/>
        <v>596.73830276071465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5.8</v>
      </c>
      <c r="AI11" s="14">
        <f>IF('Données projet'!$A$62&gt;35,AI10+AH11-AQ10,IF(A11&lt;'Données projet'!$A$62,$AF$205^A11,IF(A11='Données projet'!$A$62,'Données projet'!$B$62,AI10+AH11-AQ10)))</f>
        <v>25.747934452029146</v>
      </c>
      <c r="AJ11" s="14">
        <f>AI11*VLOOKUP('Données projet'!$B$10,Paramètres!$A$1:$I$89,3,0)*VLOOKUP('Données projet'!$B$10,Paramètres!$A$1:$I$89,5,0)</f>
        <v>14.058372210807914</v>
      </c>
      <c r="AK11" s="14">
        <f t="shared" si="35"/>
        <v>4.7628561402153302</v>
      </c>
      <c r="AL11" s="22">
        <f t="shared" si="4"/>
        <v>32.780306044698811</v>
      </c>
      <c r="AM11" s="62">
        <f t="shared" si="5"/>
        <v>326.11363937803213</v>
      </c>
      <c r="AN11" s="62">
        <f ca="1">AVERAGE(OFFSET($AM$3,0,0,'Données projet'!$E$10+1,1))-AVERAGE(OFFSET($H$3,0,0,'Données projet'!$E$10+1,1))</f>
        <v>262.6671000229498</v>
      </c>
      <c r="AO11" s="62">
        <f t="shared" si="36"/>
        <v>289.30432245776024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2.9</v>
      </c>
      <c r="CT11" s="13">
        <f>IF('Données projet'!$A$140&gt;35,CT10+CS11-DB10,IF(A11&lt;'Données projet'!$A$140,$CQ$205^A11,IF(A11='Données projet'!$A$140,'Données projet'!$B$140,CT10+CS11-DB10)))</f>
        <v>14.7883049748087</v>
      </c>
      <c r="CU11" s="18">
        <f>CT11*VLOOKUP('Données projet'!$B$13,Paramètres!$A$1:$I$89,3,0)*VLOOKUP('Données projet'!$B$13,Paramètres!$A$1:$I$89,5,0)</f>
        <v>12.919063225992881</v>
      </c>
      <c r="CV11" s="14">
        <f t="shared" si="41"/>
        <v>4.4201376828121335</v>
      </c>
      <c r="CW11" s="22">
        <f t="shared" si="13"/>
        <v>30.199108249502064</v>
      </c>
      <c r="CX11" s="62">
        <f t="shared" si="14"/>
        <v>323.53244158283536</v>
      </c>
      <c r="CY11" s="62">
        <f ca="1">AVERAGE(OFFSET($CX$3,0,0,'Données projet'!$E$13+1,1))-AVERAGE(OFFSET($H$3,0,0,'Données projet'!$E$13+1,1))</f>
        <v>268.27008134105046</v>
      </c>
      <c r="CZ11" s="62">
        <f t="shared" si="42"/>
        <v>252.36274686619709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1.1000000000000001</v>
      </c>
      <c r="DO11" s="13">
        <f>IF('Données projet'!$A$166&gt;35,DO10+DN11-DW10,IF(A11&lt;'Données projet'!$A$166,$DL$205^A11,IF(A11='Données projet'!$A$166,'Données projet'!$B$166,DO10+DN11-DW10)))</f>
        <v>6.8094831275223076</v>
      </c>
      <c r="DP11" s="18">
        <f>DO11*VLOOKUP('Données projet'!$B$14,Paramètres!$A$1:$I$89,3,0)*VLOOKUP('Données projet'!$B$14,Paramètres!$A$1:$I$89,5,0)</f>
        <v>5.4176247762567487</v>
      </c>
      <c r="DQ11" s="14">
        <f t="shared" si="43"/>
        <v>2.0509054013412618</v>
      </c>
      <c r="DR11" s="22">
        <f t="shared" si="16"/>
        <v>13.007690059316532</v>
      </c>
      <c r="DS11" s="62">
        <f t="shared" si="17"/>
        <v>306.34102339264984</v>
      </c>
      <c r="DT11" s="62">
        <f ca="1">AVERAGE(OFFSET($DS$3,0,0,'Données projet'!$E$14+1,1))-AVERAGE(OFFSET($H$3,0,0,'Données projet'!$E$14+1,1))</f>
        <v>279.49721661620544</v>
      </c>
      <c r="DU11" s="62">
        <f t="shared" si="44"/>
        <v>275.18739333988754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2.8</v>
      </c>
      <c r="EJ11" s="13">
        <f>IF('Données projet'!$A$192&gt;35,EJ10+EI11-ER10,IF(A11&lt;'Données projet'!$A$192,$EG$205^A11,IF(A11='Données projet'!$A$192,'Données projet'!$B$192,EJ10+EI11-ER10)))</f>
        <v>5.0035150542816931</v>
      </c>
      <c r="EK11" s="18">
        <f>EJ11*VLOOKUP('Données projet'!$B$15,Paramètres!$A$1:$I$89,3,0)*VLOOKUP('Données projet'!$B$15,Paramètres!$A$1:$I$89,5,0)</f>
        <v>4.293015916573693</v>
      </c>
      <c r="EL11" s="14">
        <f t="shared" si="45"/>
        <v>1.669786742833518</v>
      </c>
      <c r="EM11" s="22">
        <f t="shared" si="19"/>
        <v>10.385214631800892</v>
      </c>
      <c r="EN11" s="62">
        <f t="shared" si="20"/>
        <v>303.71854796513423</v>
      </c>
      <c r="EO11" s="62">
        <f ca="1">AVERAGE(OFFSET($EN$3,0,0,'Données projet'!$E$15+1,1))-AVERAGE(OFFSET($H$3,0,0,'Données projet'!$E$15+1,1))</f>
        <v>394.11074988418096</v>
      </c>
      <c r="EP11" s="62">
        <f t="shared" si="46"/>
        <v>241.85593029696236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>
        <f>VLOOKUP(A12,'Données projet'!$A$35:$I$55,2,0)</f>
        <v>19</v>
      </c>
      <c r="L12" s="13">
        <f>VLOOKUP(A12,'Données projet'!$A$35:$I$55,9,0)</f>
        <v>2.1111111111111112</v>
      </c>
      <c r="M12" s="13">
        <f t="array" ref="M12">INDEX(L:L,MIN(IF(ISNUMBER(L12:L208),ROW(L12:L208),"")))</f>
        <v>2.1111111111111112</v>
      </c>
      <c r="N12" s="14">
        <f>IF('Données projet'!$A$36&gt;35,N11+M12-V11,IF(A12&lt;'Données projet'!$A$36,$K$205^A12,IF(A12='Données projet'!$A$36,'Données projet'!$B$36,N11+M12-V11)))</f>
        <v>19</v>
      </c>
      <c r="O12" s="14">
        <f>N12*VLOOKUP('Données projet'!$B$9,Paramètres!$A$1:$I$89,3,0)*VLOOKUP('Données projet'!$B$9,Paramètres!$A$1:$I$89,5,0)</f>
        <v>10.621</v>
      </c>
      <c r="P12" s="14">
        <f t="shared" si="33"/>
        <v>3.7176784168109291</v>
      </c>
      <c r="Q12" s="22">
        <f t="shared" si="2"/>
        <v>24.973198242612366</v>
      </c>
      <c r="R12" s="62">
        <f t="shared" si="0"/>
        <v>318.30653157594566</v>
      </c>
      <c r="S12" s="62">
        <f ca="1">AVERAGE(OFFSET($R$3,0,0,'Données projet'!$E$9+1,1))-AVERAGE(OFFSET($H$3,0,0,'Données projet'!$E$9+1,1))</f>
        <v>539.2446452106276</v>
      </c>
      <c r="T12" s="62">
        <f t="shared" si="34"/>
        <v>596.73830276071465</v>
      </c>
      <c r="U12" s="16">
        <f>IF(ISNA(VLOOKUP(A12,'Données projet'!$A$35:$I$55,3,0)),0,VLOOKUP(A12,'Données projet'!$A$35:$I$55,3,0))</f>
        <v>1</v>
      </c>
      <c r="V12" s="16">
        <f>IF(ISNA(VLOOKUP(A12,'Données projet'!$A$35:$I$55,4,0)),0,VLOOKUP(A12,'Données projet'!$A$35:$I$55,4,0))</f>
        <v>5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0.30800000000000005</v>
      </c>
      <c r="Y12" s="17">
        <f>IF(ISNA(VLOOKUP(A12,'Données projet'!$A$35:$I$55,7,0)),0%,VLOOKUP(A12,'Données projet'!$A$35:$I$55,7,0))</f>
        <v>0.44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1.1374898420058166</v>
      </c>
      <c r="AB12" s="23">
        <f>EXP(-LN(2)/2)*AB11+(1-EXP(-LN(2)/2))/(LN(2)/2)*V12*Y12*VLOOKUP('Données projet'!$B$9,Paramètres!$A$1:$I$89,3,0)*0.475*44/12</f>
        <v>1.3924192794980474</v>
      </c>
      <c r="AC12" s="24">
        <f t="shared" si="3"/>
        <v>2.5299091215038638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5.8</v>
      </c>
      <c r="AI12" s="14">
        <f>IF('Données projet'!$A$62&gt;35,AI11+AH12-AQ11,IF(A12&lt;'Données projet'!$A$62,$AF$205^A12,IF(A12='Données projet'!$A$62,'Données projet'!$B$62,AI11+AH12-AQ11)))</f>
        <v>38.644277690463937</v>
      </c>
      <c r="AJ12" s="14">
        <f>AI12*VLOOKUP('Données projet'!$B$10,Paramètres!$A$1:$I$89,3,0)*VLOOKUP('Données projet'!$B$10,Paramètres!$A$1:$I$89,5,0)</f>
        <v>21.099775618993309</v>
      </c>
      <c r="AK12" s="14">
        <f t="shared" si="35"/>
        <v>6.8184233321994681</v>
      </c>
      <c r="AL12" s="22">
        <f t="shared" si="4"/>
        <v>48.624196506660752</v>
      </c>
      <c r="AM12" s="62">
        <f t="shared" si="5"/>
        <v>341.95752983999409</v>
      </c>
      <c r="AN12" s="62">
        <f ca="1">AVERAGE(OFFSET($AM$3,0,0,'Données projet'!$E$10+1,1))-AVERAGE(OFFSET($H$3,0,0,'Données projet'!$E$10+1,1))</f>
        <v>262.6671000229498</v>
      </c>
      <c r="AO12" s="62">
        <f t="shared" si="36"/>
        <v>289.30432245776024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2.9</v>
      </c>
      <c r="CT12" s="13">
        <f>IF('Données projet'!$A$140&gt;35,CT11+CS12-DB11,IF(A12&lt;'Données projet'!$A$140,$CQ$205^A12,IF(A12='Données projet'!$A$140,'Données projet'!$B$140,CT11+CS12-DB11)))</f>
        <v>20.708955653761308</v>
      </c>
      <c r="CU12" s="18">
        <f>CT12*VLOOKUP('Données projet'!$B$13,Paramètres!$A$1:$I$89,3,0)*VLOOKUP('Données projet'!$B$13,Paramètres!$A$1:$I$89,5,0)</f>
        <v>18.091343659125879</v>
      </c>
      <c r="CV12" s="14">
        <f t="shared" si="41"/>
        <v>5.9518679121149844</v>
      </c>
      <c r="CW12" s="22">
        <f t="shared" si="13"/>
        <v>41.875260153244504</v>
      </c>
      <c r="CX12" s="62">
        <f t="shared" si="14"/>
        <v>335.2085934865778</v>
      </c>
      <c r="CY12" s="62">
        <f ca="1">AVERAGE(OFFSET($CX$3,0,0,'Données projet'!$E$13+1,1))-AVERAGE(OFFSET($H$3,0,0,'Données projet'!$E$13+1,1))</f>
        <v>268.27008134105046</v>
      </c>
      <c r="CZ12" s="62">
        <f t="shared" si="42"/>
        <v>252.36274686619709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1.1000000000000001</v>
      </c>
      <c r="DO12" s="13">
        <f>IF('Données projet'!$A$166&gt;35,DO11+DN12-DW11,IF(A12&lt;'Données projet'!$A$166,$DL$205^A12,IF(A12='Données projet'!$A$166,'Données projet'!$B$166,DO11+DN12-DW11)))</f>
        <v>8.6547278641645029</v>
      </c>
      <c r="DP12" s="18">
        <f>DO12*VLOOKUP('Données projet'!$B$14,Paramètres!$A$1:$I$89,3,0)*VLOOKUP('Données projet'!$B$14,Paramètres!$A$1:$I$89,5,0)</f>
        <v>6.8857014887292793</v>
      </c>
      <c r="DQ12" s="14">
        <f t="shared" si="43"/>
        <v>2.5349131627802968</v>
      </c>
      <c r="DR12" s="22">
        <f t="shared" si="16"/>
        <v>16.407570518045844</v>
      </c>
      <c r="DS12" s="62">
        <f t="shared" si="17"/>
        <v>309.74090385137913</v>
      </c>
      <c r="DT12" s="62">
        <f ca="1">AVERAGE(OFFSET($DS$3,0,0,'Données projet'!$E$14+1,1))-AVERAGE(OFFSET($H$3,0,0,'Données projet'!$E$14+1,1))</f>
        <v>279.49721661620544</v>
      </c>
      <c r="DU12" s="62">
        <f t="shared" si="44"/>
        <v>275.18739333988754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2.8</v>
      </c>
      <c r="EJ12" s="13">
        <f>IF('Données projet'!$A$192&gt;35,EJ11+EI12-ER11,IF(A12&lt;'Données projet'!$A$192,$EG$205^A12,IF(A12='Données projet'!$A$192,'Données projet'!$B$192,EJ11+EI12-ER11)))</f>
        <v>6.1190585979687659</v>
      </c>
      <c r="EK12" s="18">
        <f>EJ12*VLOOKUP('Données projet'!$B$15,Paramètres!$A$1:$I$89,3,0)*VLOOKUP('Données projet'!$B$15,Paramètres!$A$1:$I$89,5,0)</f>
        <v>5.250152277057202</v>
      </c>
      <c r="EL12" s="14">
        <f t="shared" si="45"/>
        <v>1.9947843655753528</v>
      </c>
      <c r="EM12" s="22">
        <f t="shared" si="19"/>
        <v>12.618264652585031</v>
      </c>
      <c r="EN12" s="62">
        <f t="shared" si="20"/>
        <v>305.95159798591834</v>
      </c>
      <c r="EO12" s="62">
        <f ca="1">AVERAGE(OFFSET($EN$3,0,0,'Données projet'!$E$15+1,1))-AVERAGE(OFFSET($H$3,0,0,'Données projet'!$E$15+1,1))</f>
        <v>394.11074988418096</v>
      </c>
      <c r="EP12" s="62">
        <f t="shared" si="46"/>
        <v>241.85593029696236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20.666666666666668</v>
      </c>
      <c r="N13" s="14">
        <f>IF('Données projet'!$A$36&gt;35,N12+M13-V12,IF(A13&lt;'Données projet'!$A$36,$K$205^A13,IF(A13='Données projet'!$A$36,'Données projet'!$B$36,N12+M13-V12)))</f>
        <v>34.666666666666671</v>
      </c>
      <c r="O13" s="14">
        <f>N13*VLOOKUP('Données projet'!$B$9,Paramètres!$A$1:$I$89,3,0)*VLOOKUP('Données projet'!$B$9,Paramètres!$A$1:$I$89,5,0)</f>
        <v>19.378666666666668</v>
      </c>
      <c r="P13" s="14">
        <f t="shared" si="33"/>
        <v>6.3245765906643729</v>
      </c>
      <c r="Q13" s="22">
        <f t="shared" si="2"/>
        <v>44.766482006518224</v>
      </c>
      <c r="R13" s="62">
        <f t="shared" si="0"/>
        <v>338.09981533985155</v>
      </c>
      <c r="S13" s="62">
        <f ca="1">AVERAGE(OFFSET($R$3,0,0,'Données projet'!$E$9+1,1))-AVERAGE(OFFSET($H$3,0,0,'Données projet'!$E$9+1,1))</f>
        <v>539.2446452106276</v>
      </c>
      <c r="T13" s="62">
        <f t="shared" si="34"/>
        <v>596.73830276071465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1.1063851224581764</v>
      </c>
      <c r="AB13" s="23">
        <f>EXP(-LN(2)/2)*AB12+(1-EXP(-LN(2)/2))/(LN(2)/2)*V13*Y13*VLOOKUP('Données projet'!$B$9,Paramètres!$A$1:$I$89,3,0)*0.475*44/12</f>
        <v>0.98458911478795608</v>
      </c>
      <c r="AC13" s="24">
        <f t="shared" si="3"/>
        <v>2.0909742372461326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58</v>
      </c>
      <c r="AG13" s="13">
        <f>VLOOKUP(A13,'Données projet'!$A$61:$I$81,9,0)</f>
        <v>5.8</v>
      </c>
      <c r="AH13" s="13">
        <f t="array" ref="AH13">INDEX(AG:AG,MIN(IF(ISNUMBER(AG13:AG209),ROW(AG13:AG209),"")))</f>
        <v>5.8</v>
      </c>
      <c r="AI13" s="14">
        <f>IF('Données projet'!$A$62&gt;35,AI12+AH13-AQ12,IF(A13&lt;'Données projet'!$A$62,$AF$205^A13,IF(A13='Données projet'!$A$62,'Données projet'!$B$62,AI12+AH13-AQ12)))</f>
        <v>58</v>
      </c>
      <c r="AJ13" s="14">
        <f>AI13*VLOOKUP('Données projet'!$B$10,Paramètres!$A$1:$I$89,3,0)*VLOOKUP('Données projet'!$B$10,Paramètres!$A$1:$I$89,5,0)</f>
        <v>31.667999999999999</v>
      </c>
      <c r="AK13" s="14">
        <f t="shared" si="35"/>
        <v>9.7611381424130705</v>
      </c>
      <c r="AL13" s="22">
        <f t="shared" si="4"/>
        <v>72.155748931369416</v>
      </c>
      <c r="AM13" s="62">
        <f t="shared" si="5"/>
        <v>365.48908226470274</v>
      </c>
      <c r="AN13" s="62">
        <f ca="1">AVERAGE(OFFSET($AM$3,0,0,'Données projet'!$E$10+1,1))-AVERAGE(OFFSET($H$3,0,0,'Données projet'!$E$10+1,1))</f>
        <v>262.6671000229498</v>
      </c>
      <c r="AO13" s="62">
        <f t="shared" si="36"/>
        <v>289.30432245776024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6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0.33600000000000002</v>
      </c>
      <c r="AT13" s="17">
        <f>IF(ISNA(VLOOKUP(A13,'Données projet'!$A$61:$I$81,7,0)),0%,VLOOKUP(A13,'Données projet'!$A$61:$I$81,7,0))</f>
        <v>0.44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1.454447899461137</v>
      </c>
      <c r="AW13" s="23">
        <f>EXP(-LN(2)/2)*AW12+(1-EXP(-LN(2)/2))/(LN(2)/2)*AQ13*AT13*VLOOKUP('Données projet'!$B$10,Paramètres!$A$1:$I$89,3,0)*0.475*44/12</f>
        <v>1.6320449229465488</v>
      </c>
      <c r="AX13" s="23">
        <f t="shared" si="6"/>
        <v>3.0864928224076857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>
        <f>VLOOKUP(A13,'Données projet'!$A$139:$I$159,2,0)</f>
        <v>29</v>
      </c>
      <c r="CR13" s="13">
        <f>VLOOKUP(A13,'Données projet'!$A$139:$I$159,9,0)</f>
        <v>2.9</v>
      </c>
      <c r="CS13" s="13">
        <f t="array" ref="CS13">INDEX(CR:CR,MIN(IF(ISNUMBER(CR13:CR209),ROW(CR13:CR209),"")))</f>
        <v>2.9</v>
      </c>
      <c r="CT13" s="13">
        <f>IF('Données projet'!$A$140&gt;35,CT12+CS13-DB12,IF(A13&lt;'Données projet'!$A$140,$CQ$205^A13,IF(A13='Données projet'!$A$140,'Données projet'!$B$140,CT12+CS13-DB12)))</f>
        <v>29</v>
      </c>
      <c r="CU13" s="18">
        <f>CT13*VLOOKUP('Données projet'!$B$13,Paramètres!$A$1:$I$89,3,0)*VLOOKUP('Données projet'!$B$13,Paramètres!$A$1:$I$89,5,0)</f>
        <v>25.334400000000002</v>
      </c>
      <c r="CV13" s="14">
        <f t="shared" si="41"/>
        <v>8.0143955200794572</v>
      </c>
      <c r="CW13" s="22">
        <f t="shared" si="13"/>
        <v>58.082485530805059</v>
      </c>
      <c r="CX13" s="62">
        <f t="shared" si="14"/>
        <v>351.41581886413837</v>
      </c>
      <c r="CY13" s="62">
        <f ca="1">AVERAGE(OFFSET($CX$3,0,0,'Données projet'!$E$13+1,1))-AVERAGE(OFFSET($H$3,0,0,'Données projet'!$E$13+1,1))</f>
        <v>268.27008134105046</v>
      </c>
      <c r="CZ13" s="62">
        <f t="shared" si="42"/>
        <v>252.36274686619709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>
        <f>VLOOKUP(A13,'Données projet'!$A$165:$I$185,2,0)</f>
        <v>11</v>
      </c>
      <c r="DM13" s="13">
        <f>VLOOKUP(A13,'Données projet'!$A$165:$I$185,9,0)</f>
        <v>1.1000000000000001</v>
      </c>
      <c r="DN13" s="13">
        <f t="array" ref="DN13">INDEX(DM:DM,MIN(IF(ISNUMBER(DM13:DM209),ROW(DM13:DM209),"")))</f>
        <v>1.1000000000000001</v>
      </c>
      <c r="DO13" s="13">
        <f>IF('Données projet'!$A$166&gt;35,DO12+DN13-DW12,IF(A13&lt;'Données projet'!$A$166,$DL$205^A13,IF(A13='Données projet'!$A$166,'Données projet'!$B$166,DO12+DN13-DW12)))</f>
        <v>11</v>
      </c>
      <c r="DP13" s="18">
        <f>DO13*VLOOKUP('Données projet'!$B$14,Paramètres!$A$1:$I$89,3,0)*VLOOKUP('Données projet'!$B$14,Paramètres!$A$1:$I$89,5,0)</f>
        <v>8.7516000000000016</v>
      </c>
      <c r="DQ13" s="14">
        <f t="shared" si="43"/>
        <v>3.1331453604025001</v>
      </c>
      <c r="DR13" s="22">
        <f t="shared" si="16"/>
        <v>20.699264836034356</v>
      </c>
      <c r="DS13" s="62">
        <f t="shared" si="17"/>
        <v>314.03259816936765</v>
      </c>
      <c r="DT13" s="62">
        <f ca="1">AVERAGE(OFFSET($DS$3,0,0,'Données projet'!$E$14+1,1))-AVERAGE(OFFSET($H$3,0,0,'Données projet'!$E$14+1,1))</f>
        <v>279.49721661620544</v>
      </c>
      <c r="DU13" s="62">
        <f t="shared" si="44"/>
        <v>275.18739333988754</v>
      </c>
      <c r="DV13" s="16">
        <f>IF(ISNA(VLOOKUP(A13,'Données projet'!$A$165:$I$185,3,0)),0,VLOOKUP(A13,'Données projet'!$A$165:$I$185,3,0))</f>
        <v>1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2.8</v>
      </c>
      <c r="EJ13" s="13">
        <f>IF('Données projet'!$A$192&gt;35,EJ12+EI13-ER12,IF(A13&lt;'Données projet'!$A$192,$EG$205^A13,IF(A13='Données projet'!$A$192,'Données projet'!$B$192,EJ12+EI13-ER12)))</f>
        <v>7.4833147735478933</v>
      </c>
      <c r="EK13" s="18">
        <f>EJ13*VLOOKUP('Données projet'!$B$15,Paramètres!$A$1:$I$89,3,0)*VLOOKUP('Données projet'!$B$15,Paramètres!$A$1:$I$89,5,0)</f>
        <v>6.4206840757040933</v>
      </c>
      <c r="EL13" s="14">
        <f t="shared" si="45"/>
        <v>2.3830376437122043</v>
      </c>
      <c r="EM13" s="22">
        <f t="shared" si="19"/>
        <v>15.33314866131672</v>
      </c>
      <c r="EN13" s="62">
        <f t="shared" si="20"/>
        <v>308.66648199465004</v>
      </c>
      <c r="EO13" s="62">
        <f ca="1">AVERAGE(OFFSET($EN$3,0,0,'Données projet'!$E$15+1,1))-AVERAGE(OFFSET($H$3,0,0,'Données projet'!$E$15+1,1))</f>
        <v>394.11074988418096</v>
      </c>
      <c r="EP13" s="62">
        <f t="shared" si="46"/>
        <v>241.85593029696236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20.666666666666668</v>
      </c>
      <c r="N14" s="14">
        <f>IF('Données projet'!$A$36&gt;35,N13+M14-V13,IF(A14&lt;'Données projet'!$A$36,$K$205^A14,IF(A14='Données projet'!$A$36,'Données projet'!$B$36,N13+M14-V13)))</f>
        <v>55.333333333333343</v>
      </c>
      <c r="O14" s="14">
        <f>N14*VLOOKUP('Données projet'!$B$9,Paramètres!$A$1:$I$89,3,0)*VLOOKUP('Données projet'!$B$9,Paramètres!$A$1:$I$89,5,0)</f>
        <v>30.931333333333338</v>
      </c>
      <c r="P14" s="14">
        <f t="shared" si="33"/>
        <v>9.5602291983232828</v>
      </c>
      <c r="Q14" s="22">
        <f t="shared" si="2"/>
        <v>70.522804742635273</v>
      </c>
      <c r="R14" s="62">
        <f t="shared" si="0"/>
        <v>363.8561380759686</v>
      </c>
      <c r="S14" s="62">
        <f ca="1">AVERAGE(OFFSET($R$3,0,0,'Données projet'!$E$9+1,1))-AVERAGE(OFFSET($H$3,0,0,'Données projet'!$E$9+1,1))</f>
        <v>539.2446452106276</v>
      </c>
      <c r="T14" s="62">
        <f t="shared" si="34"/>
        <v>596.73830276071465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1.0761309631022926</v>
      </c>
      <c r="AB14" s="23">
        <f>EXP(-LN(2)/2)*AB13+(1-EXP(-LN(2)/2))/(LN(2)/2)*V14*Y14*VLOOKUP('Données projet'!$B$9,Paramètres!$A$1:$I$89,3,0)*0.475*44/12</f>
        <v>0.69620963974902383</v>
      </c>
      <c r="AC14" s="24">
        <f t="shared" si="3"/>
        <v>1.7723406028513164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17</v>
      </c>
      <c r="AI14" s="14">
        <f>IF('Données projet'!$A$62&gt;35,AI13+AH14-AQ13,IF(A14&lt;'Données projet'!$A$62,$AF$205^A14,IF(A14='Données projet'!$A$62,'Données projet'!$B$62,AI13+AH14-AQ13)))</f>
        <v>69</v>
      </c>
      <c r="AJ14" s="14">
        <f>AI14*VLOOKUP('Données projet'!$B$10,Paramètres!$A$1:$I$89,3,0)*VLOOKUP('Données projet'!$B$10,Paramètres!$A$1:$I$89,5,0)</f>
        <v>37.673999999999999</v>
      </c>
      <c r="AK14" s="14">
        <f t="shared" si="35"/>
        <v>11.380007297126175</v>
      </c>
      <c r="AL14" s="22">
        <f t="shared" si="4"/>
        <v>85.435729375828089</v>
      </c>
      <c r="AM14" s="62">
        <f t="shared" si="5"/>
        <v>378.7690627091614</v>
      </c>
      <c r="AN14" s="62">
        <f ca="1">AVERAGE(OFFSET($AM$3,0,0,'Données projet'!$E$10+1,1))-AVERAGE(OFFSET($H$3,0,0,'Données projet'!$E$10+1,1))</f>
        <v>262.6671000229498</v>
      </c>
      <c r="AO14" s="62">
        <f t="shared" si="36"/>
        <v>289.30432245776024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1.4146759451642814</v>
      </c>
      <c r="AW14" s="23">
        <f>EXP(-LN(2)/2)*AW13+(1-EXP(-LN(2)/2))/(LN(2)/2)*AQ14*AT14*VLOOKUP('Données projet'!$B$10,Paramètres!$A$1:$I$89,3,0)*0.475*44/12</f>
        <v>1.1540300322165811</v>
      </c>
      <c r="AX14" s="23">
        <f t="shared" si="6"/>
        <v>2.5687059773808625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8.8000000000000007</v>
      </c>
      <c r="CT14" s="13">
        <f>IF('Données projet'!$A$140&gt;35,CT13+CS14-DB13,IF(A14&lt;'Données projet'!$A$140,$CQ$205^A14,IF(A14='Données projet'!$A$140,'Données projet'!$B$140,CT13+CS14-DB13)))</f>
        <v>37.799999999999997</v>
      </c>
      <c r="CU14" s="18">
        <f>CT14*VLOOKUP('Données projet'!$B$13,Paramètres!$A$1:$I$89,3,0)*VLOOKUP('Données projet'!$B$13,Paramètres!$A$1:$I$89,5,0)</f>
        <v>33.022080000000003</v>
      </c>
      <c r="CV14" s="14">
        <f t="shared" si="41"/>
        <v>10.129025278332465</v>
      </c>
      <c r="CW14" s="22">
        <f t="shared" si="13"/>
        <v>75.154841693095705</v>
      </c>
      <c r="CX14" s="62">
        <f t="shared" si="14"/>
        <v>368.48817502642902</v>
      </c>
      <c r="CY14" s="62">
        <f ca="1">AVERAGE(OFFSET($CX$3,0,0,'Données projet'!$E$13+1,1))-AVERAGE(OFFSET($H$3,0,0,'Données projet'!$E$13+1,1))</f>
        <v>268.27008134105046</v>
      </c>
      <c r="CZ14" s="62">
        <f t="shared" si="42"/>
        <v>252.36274686619709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10.8</v>
      </c>
      <c r="DO14" s="13">
        <f>IF('Données projet'!$A$166&gt;35,DO13+DN14-DW13,IF(A14&lt;'Données projet'!$A$166,$DL$205^A14,IF(A14='Données projet'!$A$166,'Données projet'!$B$166,DO13+DN14-DW13)))</f>
        <v>21.8</v>
      </c>
      <c r="DP14" s="18">
        <f>DO14*VLOOKUP('Données projet'!$B$14,Paramètres!$A$1:$I$89,3,0)*VLOOKUP('Données projet'!$B$14,Paramètres!$A$1:$I$89,5,0)</f>
        <v>17.344080000000002</v>
      </c>
      <c r="DQ14" s="14">
        <f t="shared" si="43"/>
        <v>5.7341113912136308</v>
      </c>
      <c r="DR14" s="22">
        <f t="shared" si="16"/>
        <v>40.194516673030414</v>
      </c>
      <c r="DS14" s="62">
        <f t="shared" si="17"/>
        <v>333.52785000636374</v>
      </c>
      <c r="DT14" s="62">
        <f ca="1">AVERAGE(OFFSET($DS$3,0,0,'Données projet'!$E$14+1,1))-AVERAGE(OFFSET($H$3,0,0,'Données projet'!$E$14+1,1))</f>
        <v>279.49721661620544</v>
      </c>
      <c r="DU14" s="62">
        <f t="shared" si="44"/>
        <v>275.18739333988754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2.8</v>
      </c>
      <c r="EJ14" s="13">
        <f>IF('Données projet'!$A$192&gt;35,EJ13+EI14-ER13,IF(A14&lt;'Données projet'!$A$192,$EG$205^A14,IF(A14='Données projet'!$A$192,'Données projet'!$B$192,EJ13+EI14-ER13)))</f>
        <v>9.1517345525322273</v>
      </c>
      <c r="EK14" s="18">
        <f>EJ14*VLOOKUP('Données projet'!$B$15,Paramètres!$A$1:$I$89,3,0)*VLOOKUP('Données projet'!$B$15,Paramètres!$A$1:$I$89,5,0)</f>
        <v>7.8521882460726511</v>
      </c>
      <c r="EL14" s="14">
        <f t="shared" si="45"/>
        <v>2.8468582917289242</v>
      </c>
      <c r="EM14" s="22">
        <f t="shared" si="19"/>
        <v>18.634172720004408</v>
      </c>
      <c r="EN14" s="62">
        <f t="shared" si="20"/>
        <v>311.96750605333773</v>
      </c>
      <c r="EO14" s="62">
        <f ca="1">AVERAGE(OFFSET($EN$3,0,0,'Données projet'!$E$15+1,1))-AVERAGE(OFFSET($H$3,0,0,'Données projet'!$E$15+1,1))</f>
        <v>394.11074988418096</v>
      </c>
      <c r="EP14" s="62">
        <f t="shared" si="46"/>
        <v>241.85593029696236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20.666666666666668</v>
      </c>
      <c r="N15" s="14">
        <f>IF('Données projet'!$A$36&gt;35,N14+M15-V14,IF(A15&lt;'Données projet'!$A$36,$K$205^A15,IF(A15='Données projet'!$A$36,'Données projet'!$B$36,N14+M15-V14)))</f>
        <v>76.000000000000014</v>
      </c>
      <c r="O15" s="14">
        <f>N15*VLOOKUP('Données projet'!$B$9,Paramètres!$A$1:$I$89,3,0)*VLOOKUP('Données projet'!$B$9,Paramètres!$A$1:$I$89,5,0)</f>
        <v>42.484000000000009</v>
      </c>
      <c r="P15" s="14">
        <f t="shared" si="33"/>
        <v>12.654705084370685</v>
      </c>
      <c r="Q15" s="22">
        <f t="shared" si="2"/>
        <v>96.033244688612285</v>
      </c>
      <c r="R15" s="62">
        <f t="shared" si="0"/>
        <v>389.3665780219456</v>
      </c>
      <c r="S15" s="62">
        <f ca="1">AVERAGE(OFFSET($R$3,0,0,'Données projet'!$E$9+1,1))-AVERAGE(OFFSET($H$3,0,0,'Données projet'!$E$9+1,1))</f>
        <v>539.2446452106276</v>
      </c>
      <c r="T15" s="62">
        <f t="shared" si="34"/>
        <v>596.73830276071465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1.0467041053249926</v>
      </c>
      <c r="AB15" s="23">
        <f>EXP(-LN(2)/2)*AB14+(1-EXP(-LN(2)/2))/(LN(2)/2)*V15*Y15*VLOOKUP('Données projet'!$B$9,Paramètres!$A$1:$I$89,3,0)*0.475*44/12</f>
        <v>0.49229455739397809</v>
      </c>
      <c r="AC15" s="24">
        <f t="shared" si="3"/>
        <v>1.5389986627189707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17</v>
      </c>
      <c r="AI15" s="14">
        <f>IF('Données projet'!$A$62&gt;35,AI14+AH15-AQ14,IF(A15&lt;'Données projet'!$A$62,$AF$205^A15,IF(A15='Données projet'!$A$62,'Données projet'!$B$62,AI14+AH15-AQ14)))</f>
        <v>86</v>
      </c>
      <c r="AJ15" s="14">
        <f>AI15*VLOOKUP('Données projet'!$B$10,Paramètres!$A$1:$I$89,3,0)*VLOOKUP('Données projet'!$B$10,Paramètres!$A$1:$I$89,5,0)</f>
        <v>46.955999999999996</v>
      </c>
      <c r="AK15" s="14">
        <f t="shared" si="35"/>
        <v>13.824782755944211</v>
      </c>
      <c r="AL15" s="22">
        <f t="shared" si="4"/>
        <v>105.85986329993615</v>
      </c>
      <c r="AM15" s="62">
        <f t="shared" si="5"/>
        <v>399.19319663326945</v>
      </c>
      <c r="AN15" s="62">
        <f ca="1">AVERAGE(OFFSET($AM$3,0,0,'Données projet'!$E$10+1,1))-AVERAGE(OFFSET($H$3,0,0,'Données projet'!$E$10+1,1))</f>
        <v>262.6671000229498</v>
      </c>
      <c r="AO15" s="62">
        <f t="shared" si="36"/>
        <v>289.30432245776024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1.3759915570491894</v>
      </c>
      <c r="AW15" s="23">
        <f>EXP(-LN(2)/2)*AW14+(1-EXP(-LN(2)/2))/(LN(2)/2)*AQ15*AT15*VLOOKUP('Données projet'!$B$10,Paramètres!$A$1:$I$89,3,0)*0.475*44/12</f>
        <v>0.8160224614732744</v>
      </c>
      <c r="AX15" s="23">
        <f t="shared" si="6"/>
        <v>2.1920140185224639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8.8000000000000007</v>
      </c>
      <c r="CT15" s="13">
        <f>IF('Données projet'!$A$140&gt;35,CT14+CS15-DB14,IF(A15&lt;'Données projet'!$A$140,$CQ$205^A15,IF(A15='Données projet'!$A$140,'Données projet'!$B$140,CT14+CS15-DB14)))</f>
        <v>46.599999999999994</v>
      </c>
      <c r="CU15" s="18">
        <f>CT15*VLOOKUP('Données projet'!$B$13,Paramètres!$A$1:$I$89,3,0)*VLOOKUP('Données projet'!$B$13,Paramètres!$A$1:$I$89,5,0)</f>
        <v>40.709760000000003</v>
      </c>
      <c r="CV15" s="14">
        <f t="shared" si="41"/>
        <v>12.186575870088381</v>
      </c>
      <c r="CW15" s="22">
        <f t="shared" si="13"/>
        <v>92.127784973737278</v>
      </c>
      <c r="CX15" s="62">
        <f t="shared" si="14"/>
        <v>385.46111830707059</v>
      </c>
      <c r="CY15" s="62">
        <f ca="1">AVERAGE(OFFSET($CX$3,0,0,'Données projet'!$E$13+1,1))-AVERAGE(OFFSET($H$3,0,0,'Données projet'!$E$13+1,1))</f>
        <v>268.27008134105046</v>
      </c>
      <c r="CZ15" s="62">
        <f t="shared" si="42"/>
        <v>252.36274686619709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10.8</v>
      </c>
      <c r="DO15" s="13">
        <f>IF('Données projet'!$A$166&gt;35,DO14+DN15-DW14,IF(A15&lt;'Données projet'!$A$166,$DL$205^A15,IF(A15='Données projet'!$A$166,'Données projet'!$B$166,DO14+DN15-DW14)))</f>
        <v>32.6</v>
      </c>
      <c r="DP15" s="18">
        <f>DO15*VLOOKUP('Données projet'!$B$14,Paramètres!$A$1:$I$89,3,0)*VLOOKUP('Données projet'!$B$14,Paramètres!$A$1:$I$89,5,0)</f>
        <v>25.936560000000004</v>
      </c>
      <c r="DQ15" s="14">
        <f t="shared" si="43"/>
        <v>8.1824816304360635</v>
      </c>
      <c r="DR15" s="22">
        <f t="shared" si="16"/>
        <v>59.423997506342801</v>
      </c>
      <c r="DS15" s="62">
        <f t="shared" si="17"/>
        <v>352.75733083967611</v>
      </c>
      <c r="DT15" s="62">
        <f ca="1">AVERAGE(OFFSET($DS$3,0,0,'Données projet'!$E$14+1,1))-AVERAGE(OFFSET($H$3,0,0,'Données projet'!$E$14+1,1))</f>
        <v>279.49721661620544</v>
      </c>
      <c r="DU15" s="62">
        <f t="shared" si="44"/>
        <v>275.18739333988754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2.8</v>
      </c>
      <c r="EJ15" s="13">
        <f>IF('Données projet'!$A$192&gt;35,EJ14+EI15-ER14,IF(A15&lt;'Données projet'!$A$192,$EG$205^A15,IF(A15='Données projet'!$A$192,'Données projet'!$B$192,EJ14+EI15-ER14)))</f>
        <v>11.19213180983215</v>
      </c>
      <c r="EK15" s="18">
        <f>EJ15*VLOOKUP('Données projet'!$B$15,Paramètres!$A$1:$I$89,3,0)*VLOOKUP('Données projet'!$B$15,Paramètres!$A$1:$I$89,5,0)</f>
        <v>9.6028490928359851</v>
      </c>
      <c r="EL15" s="14">
        <f t="shared" si="45"/>
        <v>3.4009543049268385</v>
      </c>
      <c r="EM15" s="22">
        <f t="shared" si="19"/>
        <v>22.64829091777025</v>
      </c>
      <c r="EN15" s="62">
        <f t="shared" si="20"/>
        <v>315.98162425110354</v>
      </c>
      <c r="EO15" s="62">
        <f ca="1">AVERAGE(OFFSET($EN$3,0,0,'Données projet'!$E$15+1,1))-AVERAGE(OFFSET($H$3,0,0,'Données projet'!$E$15+1,1))</f>
        <v>394.11074988418096</v>
      </c>
      <c r="EP15" s="62">
        <f t="shared" si="46"/>
        <v>241.85593029696236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20.666666666666668</v>
      </c>
      <c r="N16" s="14">
        <f>IF('Données projet'!$A$36&gt;35,N15+M16-V15,IF(A16&lt;'Données projet'!$A$36,$K$205^A16,IF(A16='Données projet'!$A$36,'Données projet'!$B$36,N15+M16-V15)))</f>
        <v>96.666666666666686</v>
      </c>
      <c r="O16" s="14">
        <f>N16*VLOOKUP('Données projet'!$B$9,Paramètres!$A$1:$I$89,3,0)*VLOOKUP('Données projet'!$B$9,Paramètres!$A$1:$I$89,5,0)</f>
        <v>54.036666666666683</v>
      </c>
      <c r="P16" s="14">
        <f t="shared" si="33"/>
        <v>15.651489297682343</v>
      </c>
      <c r="Q16" s="22">
        <f t="shared" si="2"/>
        <v>121.37353830457452</v>
      </c>
      <c r="R16" s="62">
        <f t="shared" si="0"/>
        <v>414.70687163790785</v>
      </c>
      <c r="S16" s="62">
        <f ca="1">AVERAGE(OFFSET($R$3,0,0,'Données projet'!$E$9+1,1))-AVERAGE(OFFSET($H$3,0,0,'Données projet'!$E$9+1,1))</f>
        <v>539.2446452106276</v>
      </c>
      <c r="T16" s="62">
        <f t="shared" si="34"/>
        <v>596.73830276071465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1.0180819265211041</v>
      </c>
      <c r="AB16" s="23">
        <f>EXP(-LN(2)/2)*AB15+(1-EXP(-LN(2)/2))/(LN(2)/2)*V16*Y16*VLOOKUP('Données projet'!$B$9,Paramètres!$A$1:$I$89,3,0)*0.475*44/12</f>
        <v>0.34810481987451197</v>
      </c>
      <c r="AC16" s="24">
        <f t="shared" si="3"/>
        <v>1.3661867463956161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17</v>
      </c>
      <c r="AI16" s="14">
        <f>IF('Données projet'!$A$62&gt;35,AI15+AH16-AQ15,IF(A16&lt;'Données projet'!$A$62,$AF$205^A16,IF(A16='Données projet'!$A$62,'Données projet'!$B$62,AI15+AH16-AQ15)))</f>
        <v>103</v>
      </c>
      <c r="AJ16" s="14">
        <f>AI16*VLOOKUP('Données projet'!$B$10,Paramètres!$A$1:$I$89,3,0)*VLOOKUP('Données projet'!$B$10,Paramètres!$A$1:$I$89,5,0)</f>
        <v>56.238</v>
      </c>
      <c r="AK16" s="14">
        <f t="shared" si="35"/>
        <v>16.213562712594502</v>
      </c>
      <c r="AL16" s="22">
        <f t="shared" si="4"/>
        <v>126.18647172443542</v>
      </c>
      <c r="AM16" s="62">
        <f t="shared" si="5"/>
        <v>419.51980505776874</v>
      </c>
      <c r="AN16" s="62">
        <f ca="1">AVERAGE(OFFSET($AM$3,0,0,'Données projet'!$E$10+1,1))-AVERAGE(OFFSET($H$3,0,0,'Données projet'!$E$10+1,1))</f>
        <v>262.6671000229498</v>
      </c>
      <c r="AO16" s="62">
        <f t="shared" si="36"/>
        <v>289.30432245776024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1.3383649955614283</v>
      </c>
      <c r="AW16" s="23">
        <f>EXP(-LN(2)/2)*AW15+(1-EXP(-LN(2)/2))/(LN(2)/2)*AQ16*AT16*VLOOKUP('Données projet'!$B$10,Paramètres!$A$1:$I$89,3,0)*0.475*44/12</f>
        <v>0.57701501610829053</v>
      </c>
      <c r="AX16" s="23">
        <f t="shared" si="6"/>
        <v>1.9153800116697188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8.8000000000000007</v>
      </c>
      <c r="CT16" s="13">
        <f>IF('Données projet'!$A$140&gt;35,CT15+CS16-DB15,IF(A16&lt;'Données projet'!$A$140,$CQ$205^A16,IF(A16='Données projet'!$A$140,'Données projet'!$B$140,CT15+CS16-DB15)))</f>
        <v>55.399999999999991</v>
      </c>
      <c r="CU16" s="18">
        <f>CT16*VLOOKUP('Données projet'!$B$13,Paramètres!$A$1:$I$89,3,0)*VLOOKUP('Données projet'!$B$13,Paramètres!$A$1:$I$89,5,0)</f>
        <v>48.397439999999996</v>
      </c>
      <c r="CV16" s="14">
        <f t="shared" si="41"/>
        <v>14.199110166340073</v>
      </c>
      <c r="CW16" s="22">
        <f t="shared" si="13"/>
        <v>109.02232487304228</v>
      </c>
      <c r="CX16" s="62">
        <f t="shared" si="14"/>
        <v>402.35565820637561</v>
      </c>
      <c r="CY16" s="62">
        <f ca="1">AVERAGE(OFFSET($CX$3,0,0,'Données projet'!$E$13+1,1))-AVERAGE(OFFSET($H$3,0,0,'Données projet'!$E$13+1,1))</f>
        <v>268.27008134105046</v>
      </c>
      <c r="CZ16" s="62">
        <f t="shared" si="42"/>
        <v>252.36274686619709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10.8</v>
      </c>
      <c r="DO16" s="13">
        <f>IF('Données projet'!$A$166&gt;35,DO15+DN16-DW15,IF(A16&lt;'Données projet'!$A$166,$DL$205^A16,IF(A16='Données projet'!$A$166,'Données projet'!$B$166,DO15+DN16-DW15)))</f>
        <v>43.400000000000006</v>
      </c>
      <c r="DP16" s="18">
        <f>DO16*VLOOKUP('Données projet'!$B$14,Paramètres!$A$1:$I$89,3,0)*VLOOKUP('Données projet'!$B$14,Paramètres!$A$1:$I$89,5,0)</f>
        <v>34.529040000000009</v>
      </c>
      <c r="DQ16" s="14">
        <f t="shared" si="43"/>
        <v>10.536391336679102</v>
      </c>
      <c r="DR16" s="22">
        <f t="shared" si="16"/>
        <v>78.488959578049446</v>
      </c>
      <c r="DS16" s="62">
        <f t="shared" si="17"/>
        <v>371.82229291138276</v>
      </c>
      <c r="DT16" s="62">
        <f ca="1">AVERAGE(OFFSET($DS$3,0,0,'Données projet'!$E$14+1,1))-AVERAGE(OFFSET($H$3,0,0,'Données projet'!$E$14+1,1))</f>
        <v>279.49721661620544</v>
      </c>
      <c r="DU16" s="62">
        <f t="shared" si="44"/>
        <v>275.18739333988754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2.8</v>
      </c>
      <c r="EJ16" s="13">
        <f>IF('Données projet'!$A$192&gt;35,EJ15+EI16-ER15,IF(A16&lt;'Données projet'!$A$192,$EG$205^A16,IF(A16='Données projet'!$A$192,'Données projet'!$B$192,EJ15+EI16-ER15)))</f>
        <v>13.687439657435972</v>
      </c>
      <c r="EK16" s="18">
        <f>EJ16*VLOOKUP('Données projet'!$B$15,Paramètres!$A$1:$I$89,3,0)*VLOOKUP('Données projet'!$B$15,Paramètres!$A$1:$I$89,5,0)</f>
        <v>11.743823226080066</v>
      </c>
      <c r="EL16" s="14">
        <f t="shared" si="45"/>
        <v>4.0628963576462231</v>
      </c>
      <c r="EM16" s="22">
        <f t="shared" si="19"/>
        <v>27.530036608323286</v>
      </c>
      <c r="EN16" s="62">
        <f t="shared" si="20"/>
        <v>320.86336994165663</v>
      </c>
      <c r="EO16" s="62">
        <f ca="1">AVERAGE(OFFSET($EN$3,0,0,'Données projet'!$E$15+1,1))-AVERAGE(OFFSET($H$3,0,0,'Données projet'!$E$15+1,1))</f>
        <v>394.11074988418096</v>
      </c>
      <c r="EP16" s="62">
        <f t="shared" si="46"/>
        <v>241.85593029696236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20.666666666666668</v>
      </c>
      <c r="N17" s="14">
        <f>IF('Données projet'!$A$36&gt;35,N16+M17-V16,IF(A17&lt;'Données projet'!$A$36,$K$205^A17,IF(A17='Données projet'!$A$36,'Données projet'!$B$36,N16+M17-V16)))</f>
        <v>117.33333333333336</v>
      </c>
      <c r="O17" s="14">
        <f>N17*VLOOKUP('Données projet'!$B$9,Paramètres!$A$1:$I$89,3,0)*VLOOKUP('Données projet'!$B$9,Paramètres!$A$1:$I$89,5,0)</f>
        <v>65.589333333333343</v>
      </c>
      <c r="P17" s="14">
        <f t="shared" si="33"/>
        <v>18.574019411860068</v>
      </c>
      <c r="Q17" s="22">
        <f t="shared" si="2"/>
        <v>146.58450603121184</v>
      </c>
      <c r="R17" s="62">
        <f t="shared" si="0"/>
        <v>439.91783936454516</v>
      </c>
      <c r="S17" s="62">
        <f ca="1">AVERAGE(OFFSET($R$3,0,0,'Données projet'!$E$9+1,1))-AVERAGE(OFFSET($H$3,0,0,'Données projet'!$E$9+1,1))</f>
        <v>539.2446452106276</v>
      </c>
      <c r="T17" s="62">
        <f t="shared" si="34"/>
        <v>596.73830276071465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0.99024242270178287</v>
      </c>
      <c r="AB17" s="23">
        <f>EXP(-LN(2)/2)*AB16+(1-EXP(-LN(2)/2))/(LN(2)/2)*V17*Y17*VLOOKUP('Données projet'!$B$9,Paramètres!$A$1:$I$89,3,0)*0.475*44/12</f>
        <v>0.2461472786969891</v>
      </c>
      <c r="AC17" s="24">
        <f t="shared" si="3"/>
        <v>1.2363897013987719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</v>
      </c>
      <c r="AI17" s="14">
        <f>IF('Données projet'!$A$62&gt;35,AI16+AH17-AQ16,IF(A17&lt;'Données projet'!$A$62,$AF$205^A17,IF(A17='Données projet'!$A$62,'Données projet'!$B$62,AI16+AH17-AQ16)))</f>
        <v>120</v>
      </c>
      <c r="AJ17" s="14">
        <f>AI17*VLOOKUP('Données projet'!$B$10,Paramètres!$A$1:$I$89,3,0)*VLOOKUP('Données projet'!$B$10,Paramètres!$A$1:$I$89,5,0)</f>
        <v>65.52</v>
      </c>
      <c r="AK17" s="14">
        <f t="shared" si="35"/>
        <v>18.556669503136725</v>
      </c>
      <c r="AL17" s="22">
        <f t="shared" si="4"/>
        <v>146.43353271796309</v>
      </c>
      <c r="AM17" s="62">
        <f t="shared" si="5"/>
        <v>439.7668660512964</v>
      </c>
      <c r="AN17" s="62">
        <f ca="1">AVERAGE(OFFSET($AM$3,0,0,'Données projet'!$E$10+1,1))-AVERAGE(OFFSET($H$3,0,0,'Données projet'!$E$10+1,1))</f>
        <v>262.6671000229498</v>
      </c>
      <c r="AO17" s="62">
        <f t="shared" si="36"/>
        <v>289.30432245776024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1.3017673343762448</v>
      </c>
      <c r="AW17" s="23">
        <f>EXP(-LN(2)/2)*AW16+(1-EXP(-LN(2)/2))/(LN(2)/2)*AQ17*AT17*VLOOKUP('Données projet'!$B$10,Paramètres!$A$1:$I$89,3,0)*0.475*44/12</f>
        <v>0.4080112307366372</v>
      </c>
      <c r="AX17" s="23">
        <f t="shared" si="6"/>
        <v>1.7097785651128821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8.8000000000000007</v>
      </c>
      <c r="CT17" s="13">
        <f>IF('Données projet'!$A$140&gt;35,CT16+CS17-DB16,IF(A17&lt;'Données projet'!$A$140,$CQ$205^A17,IF(A17='Données projet'!$A$140,'Données projet'!$B$140,CT16+CS17-DB16)))</f>
        <v>64.199999999999989</v>
      </c>
      <c r="CU17" s="18">
        <f>CT17*VLOOKUP('Données projet'!$B$13,Paramètres!$A$1:$I$89,3,0)*VLOOKUP('Données projet'!$B$13,Paramètres!$A$1:$I$89,5,0)</f>
        <v>56.085119999999996</v>
      </c>
      <c r="CV17" s="14">
        <f t="shared" si="41"/>
        <v>16.174611252215492</v>
      </c>
      <c r="CW17" s="22">
        <f t="shared" si="13"/>
        <v>125.85236526427531</v>
      </c>
      <c r="CX17" s="62">
        <f t="shared" si="14"/>
        <v>419.18569859760862</v>
      </c>
      <c r="CY17" s="62">
        <f ca="1">AVERAGE(OFFSET($CX$3,0,0,'Données projet'!$E$13+1,1))-AVERAGE(OFFSET($H$3,0,0,'Données projet'!$E$13+1,1))</f>
        <v>268.27008134105046</v>
      </c>
      <c r="CZ17" s="62">
        <f t="shared" si="42"/>
        <v>252.36274686619709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10.8</v>
      </c>
      <c r="DO17" s="13">
        <f>IF('Données projet'!$A$166&gt;35,DO16+DN17-DW16,IF(A17&lt;'Données projet'!$A$166,$DL$205^A17,IF(A17='Données projet'!$A$166,'Données projet'!$B$166,DO16+DN17-DW16)))</f>
        <v>54.2</v>
      </c>
      <c r="DP17" s="18">
        <f>DO17*VLOOKUP('Données projet'!$B$14,Paramètres!$A$1:$I$89,3,0)*VLOOKUP('Données projet'!$B$14,Paramètres!$A$1:$I$89,5,0)</f>
        <v>43.121520000000004</v>
      </c>
      <c r="DQ17" s="14">
        <f t="shared" si="43"/>
        <v>12.822353245070515</v>
      </c>
      <c r="DR17" s="22">
        <f t="shared" si="16"/>
        <v>97.435579235164482</v>
      </c>
      <c r="DS17" s="62">
        <f t="shared" si="17"/>
        <v>390.7689125684978</v>
      </c>
      <c r="DT17" s="62">
        <f ca="1">AVERAGE(OFFSET($DS$3,0,0,'Données projet'!$E$14+1,1))-AVERAGE(OFFSET($H$3,0,0,'Données projet'!$E$14+1,1))</f>
        <v>279.49721661620544</v>
      </c>
      <c r="DU17" s="62">
        <f t="shared" si="44"/>
        <v>275.18739333988754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2.8</v>
      </c>
      <c r="EJ17" s="13">
        <f>IF('Données projet'!$A$192&gt;35,EJ16+EI17-ER16,IF(A17&lt;'Données projet'!$A$192,$EG$205^A17,IF(A17='Données projet'!$A$192,'Données projet'!$B$192,EJ16+EI17-ER16)))</f>
        <v>16.739081308117708</v>
      </c>
      <c r="EK17" s="18">
        <f>EJ17*VLOOKUP('Données projet'!$B$15,Paramètres!$A$1:$I$89,3,0)*VLOOKUP('Données projet'!$B$15,Paramètres!$A$1:$I$89,5,0)</f>
        <v>14.362131762364994</v>
      </c>
      <c r="EL17" s="14">
        <f t="shared" si="45"/>
        <v>4.8536749785381312</v>
      </c>
      <c r="EM17" s="22">
        <f t="shared" si="19"/>
        <v>33.46753007373961</v>
      </c>
      <c r="EN17" s="62">
        <f t="shared" si="20"/>
        <v>326.80086340707294</v>
      </c>
      <c r="EO17" s="62">
        <f ca="1">AVERAGE(OFFSET($EN$3,0,0,'Données projet'!$E$15+1,1))-AVERAGE(OFFSET($H$3,0,0,'Données projet'!$E$15+1,1))</f>
        <v>394.11074988418096</v>
      </c>
      <c r="EP17" s="62">
        <f t="shared" si="46"/>
        <v>241.85593029696236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138</v>
      </c>
      <c r="L18" s="13">
        <f>VLOOKUP(A18,'Données projet'!$A$35:$I$55,9,0)</f>
        <v>20.666666666666668</v>
      </c>
      <c r="M18" s="13">
        <f t="array" ref="M18">INDEX(L:L,MIN(IF(ISNUMBER(L18:L214),ROW(L18:L214),"")))</f>
        <v>20.666666666666668</v>
      </c>
      <c r="N18" s="14">
        <f>IF('Données projet'!$A$36&gt;35,N17+M18-V17,IF(A18&lt;'Données projet'!$A$36,$K$205^A18,IF(A18='Données projet'!$A$36,'Données projet'!$B$36,N17+M18-V17)))</f>
        <v>138.00000000000003</v>
      </c>
      <c r="O18" s="14">
        <f>N18*VLOOKUP('Données projet'!$B$9,Paramètres!$A$1:$I$89,3,0)*VLOOKUP('Données projet'!$B$9,Paramètres!$A$1:$I$89,5,0)</f>
        <v>77.14200000000001</v>
      </c>
      <c r="P18" s="14">
        <f t="shared" si="33"/>
        <v>21.436915648510755</v>
      </c>
      <c r="Q18" s="22">
        <f t="shared" si="2"/>
        <v>171.69161142115624</v>
      </c>
      <c r="R18" s="62">
        <f t="shared" si="0"/>
        <v>465.02494475448952</v>
      </c>
      <c r="S18" s="62">
        <f ca="1">AVERAGE(OFFSET($R$3,0,0,'Données projet'!$E$9+1,1))-AVERAGE(OFFSET($H$3,0,0,'Données projet'!$E$9+1,1))</f>
        <v>539.2446452106276</v>
      </c>
      <c r="T18" s="62">
        <f t="shared" si="34"/>
        <v>596.73830276071465</v>
      </c>
      <c r="U18" s="16">
        <f>IF(ISNA(VLOOKUP(A18,'Données projet'!$A$35:$I$55,3,0)),0,VLOOKUP(A18,'Données projet'!$A$35:$I$55,3,0))</f>
        <v>2</v>
      </c>
      <c r="V18" s="16">
        <f>IF(ISNA(VLOOKUP(A18,'Données projet'!$A$35:$I$55,4,0)),0,VLOOKUP(A18,'Données projet'!$A$35:$I$55,4,0))</f>
        <v>43</v>
      </c>
      <c r="W18" s="17">
        <f>IF(ISNA(VLOOKUP(A18,'Données projet'!$A$35:$I$55,5,0)),0%,VLOOKUP(A18,'Données projet'!$A$35:$I$55,5,0)*VLOOKUP('Données projet'!$B$9,Paramètres!$A$1:$I$89,7,0))</f>
        <v>0.11000000000000001</v>
      </c>
      <c r="X18" s="17">
        <f>IF(ISNA(VLOOKUP(A18,'Données projet'!$A$35:$I$55,6,0)),0%,VLOOKUP(A18,'Données projet'!$A$35:$I$55,6,0)*VLOOKUP('Données projet'!$B$9,Paramètres!$A$1:$I$89,7,0))</f>
        <v>0.24750000000000003</v>
      </c>
      <c r="Y18" s="17">
        <f>IF(ISNA(VLOOKUP(A18,'Données projet'!$A$35:$I$55,7,0)),0%,VLOOKUP(A18,'Données projet'!$A$35:$I$55,7,0))</f>
        <v>0.35</v>
      </c>
      <c r="Z18" s="23">
        <f>EXP(-LN(2)/35)*Z17+(1-EXP(-LN(2)/35))/(LN(2)/35)*V18*W18*VLOOKUP('Données projet'!$B$9,Paramètres!$A$1:$I$89,3,0)*0.475*44/12</f>
        <v>3.5075292796940247</v>
      </c>
      <c r="AA18" s="23">
        <f>EXP(-LN(2)/25)*AA17+(1-EXP(-LN(2)/25))/(LN(2)/25)*Calculateur!V18*Calculateur!X18*VLOOKUP('Données projet'!$B$9,Paramètres!$A$1:$I$89,3,0)*0.475*44/12</f>
        <v>8.8240314925828987</v>
      </c>
      <c r="AB18" s="23">
        <f>EXP(-LN(2)/2)*AB17+(1-EXP(-LN(2)/2))/(LN(2)/2)*V18*Y18*VLOOKUP('Données projet'!$B$9,Paramètres!$A$1:$I$89,3,0)*0.475*44/12</f>
        <v>9.6994661174125358</v>
      </c>
      <c r="AC18" s="24">
        <f t="shared" si="3"/>
        <v>22.031026889689457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137</v>
      </c>
      <c r="AG18" s="13">
        <f>VLOOKUP(A18,'Données projet'!$A$61:$I$81,9,0)</f>
        <v>17</v>
      </c>
      <c r="AH18" s="13">
        <f t="array" ref="AH18">INDEX(AG:AG,MIN(IF(ISNUMBER(AG18:AG214),ROW(AG18:AG214),"")))</f>
        <v>17</v>
      </c>
      <c r="AI18" s="14">
        <f>IF('Données projet'!$A$62&gt;35,AI17+AH18-AQ17,IF(A18&lt;'Données projet'!$A$62,$AF$205^A18,IF(A18='Données projet'!$A$62,'Données projet'!$B$62,AI17+AH18-AQ17)))</f>
        <v>137</v>
      </c>
      <c r="AJ18" s="14">
        <f>AI18*VLOOKUP('Données projet'!$B$10,Paramètres!$A$1:$I$89,3,0)*VLOOKUP('Données projet'!$B$10,Paramètres!$A$1:$I$89,5,0)</f>
        <v>74.802000000000007</v>
      </c>
      <c r="AK18" s="14">
        <f t="shared" si="35"/>
        <v>20.861319623408168</v>
      </c>
      <c r="AL18" s="22">
        <f t="shared" si="4"/>
        <v>166.61361501076922</v>
      </c>
      <c r="AM18" s="62">
        <f t="shared" si="5"/>
        <v>459.94694834410257</v>
      </c>
      <c r="AN18" s="62">
        <f ca="1">AVERAGE(OFFSET($AM$3,0,0,'Données projet'!$E$10+1,1))-AVERAGE(OFFSET($H$3,0,0,'Données projet'!$E$10+1,1))</f>
        <v>262.6671000229498</v>
      </c>
      <c r="AO18" s="62">
        <f t="shared" si="36"/>
        <v>289.30432245776024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40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0.33600000000000002</v>
      </c>
      <c r="AT18" s="17">
        <f>IF(ISNA(VLOOKUP(A18,'Données projet'!$A$61:$I$81,7,0)),0%,VLOOKUP(A18,'Données projet'!$A$61:$I$81,7,0))</f>
        <v>0.44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10.962489767901673</v>
      </c>
      <c r="AW18" s="23">
        <f>EXP(-LN(2)/2)*AW17+(1-EXP(-LN(2)/2))/(LN(2)/2)*AQ18*AT18*VLOOKUP('Données projet'!$B$10,Paramètres!$A$1:$I$89,3,0)*0.475*44/12</f>
        <v>11.168806994364472</v>
      </c>
      <c r="AX18" s="23">
        <f t="shared" si="6"/>
        <v>22.131296762266146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73</v>
      </c>
      <c r="CR18" s="13">
        <f>VLOOKUP(A18,'Données projet'!$A$139:$I$159,9,0)</f>
        <v>8.8000000000000007</v>
      </c>
      <c r="CS18" s="13">
        <f t="array" ref="CS18">INDEX(CR:CR,MIN(IF(ISNUMBER(CR18:CR214),ROW(CR18:CR214),"")))</f>
        <v>8.8000000000000007</v>
      </c>
      <c r="CT18" s="13">
        <f>IF('Données projet'!$A$140&gt;35,CT17+CS18-DB17,IF(A18&lt;'Données projet'!$A$140,$CQ$205^A18,IF(A18='Données projet'!$A$140,'Données projet'!$B$140,CT17+CS18-DB17)))</f>
        <v>72.999999999999986</v>
      </c>
      <c r="CU18" s="18">
        <f>CT18*VLOOKUP('Données projet'!$B$13,Paramètres!$A$1:$I$89,3,0)*VLOOKUP('Données projet'!$B$13,Paramètres!$A$1:$I$89,5,0)</f>
        <v>63.772799999999997</v>
      </c>
      <c r="CV18" s="14">
        <f t="shared" si="41"/>
        <v>18.118739450759566</v>
      </c>
      <c r="CW18" s="22">
        <f t="shared" si="13"/>
        <v>142.62776454340624</v>
      </c>
      <c r="CX18" s="62">
        <f t="shared" si="14"/>
        <v>435.96109787673959</v>
      </c>
      <c r="CY18" s="62">
        <f ca="1">AVERAGE(OFFSET($CX$3,0,0,'Données projet'!$E$13+1,1))-AVERAGE(OFFSET($H$3,0,0,'Données projet'!$E$13+1,1))</f>
        <v>268.27008134105046</v>
      </c>
      <c r="CZ18" s="62">
        <f t="shared" si="42"/>
        <v>252.36274686619709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>
        <f>VLOOKUP(A18,'Données projet'!$A$165:$I$185,2,0)</f>
        <v>65</v>
      </c>
      <c r="DM18" s="13">
        <f>VLOOKUP(A18,'Données projet'!$A$165:$I$185,9,0)</f>
        <v>10.8</v>
      </c>
      <c r="DN18" s="13">
        <f t="array" ref="DN18">INDEX(DM:DM,MIN(IF(ISNUMBER(DM18:DM214),ROW(DM18:DM214),"")))</f>
        <v>10.8</v>
      </c>
      <c r="DO18" s="13">
        <f>IF('Données projet'!$A$166&gt;35,DO17+DN18-DW17,IF(A18&lt;'Données projet'!$A$166,$DL$205^A18,IF(A18='Données projet'!$A$166,'Données projet'!$B$166,DO17+DN18-DW17)))</f>
        <v>65</v>
      </c>
      <c r="DP18" s="18">
        <f>DO18*VLOOKUP('Données projet'!$B$14,Paramètres!$A$1:$I$89,3,0)*VLOOKUP('Données projet'!$B$14,Paramètres!$A$1:$I$89,5,0)</f>
        <v>51.713999999999999</v>
      </c>
      <c r="DQ18" s="14">
        <f t="shared" si="43"/>
        <v>15.055535578337075</v>
      </c>
      <c r="DR18" s="22">
        <f t="shared" si="16"/>
        <v>116.29027446560372</v>
      </c>
      <c r="DS18" s="62">
        <f t="shared" si="17"/>
        <v>409.62360779893703</v>
      </c>
      <c r="DT18" s="62">
        <f ca="1">AVERAGE(OFFSET($DS$3,0,0,'Données projet'!$E$14+1,1))-AVERAGE(OFFSET($H$3,0,0,'Données projet'!$E$14+1,1))</f>
        <v>279.49721661620544</v>
      </c>
      <c r="DU18" s="62">
        <f t="shared" si="44"/>
        <v>275.18739333988754</v>
      </c>
      <c r="DV18" s="16">
        <f>IF(ISNA(VLOOKUP(A18,'Données projet'!$A$165:$I$185,3,0)),0,VLOOKUP(A18,'Données projet'!$A$165:$I$185,3,0))</f>
        <v>2</v>
      </c>
      <c r="DW18" s="16">
        <f>IF(ISNA(VLOOKUP(A18,'Données projet'!$A$165:$I$185,4,0)),0,VLOOKUP(A18,'Données projet'!$A$165:$I$185,4,0))</f>
        <v>32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2.8</v>
      </c>
      <c r="EJ18" s="13">
        <f>IF('Données projet'!$A$192&gt;35,EJ17+EI18-ER17,IF(A18&lt;'Données projet'!$A$192,$EG$205^A18,IF(A18='Données projet'!$A$192,'Données projet'!$B$192,EJ17+EI18-ER17)))</f>
        <v>20.471092479852732</v>
      </c>
      <c r="EK18" s="18">
        <f>EJ18*VLOOKUP('Données projet'!$B$15,Paramètres!$A$1:$I$89,3,0)*VLOOKUP('Données projet'!$B$15,Paramètres!$A$1:$I$89,5,0)</f>
        <v>17.564197347713648</v>
      </c>
      <c r="EL18" s="14">
        <f t="shared" si="45"/>
        <v>5.7983661712048189</v>
      </c>
      <c r="EM18" s="22">
        <f t="shared" si="19"/>
        <v>40.689798128782996</v>
      </c>
      <c r="EN18" s="62">
        <f t="shared" si="20"/>
        <v>334.02313146211634</v>
      </c>
      <c r="EO18" s="62">
        <f ca="1">AVERAGE(OFFSET($EN$3,0,0,'Données projet'!$E$15+1,1))-AVERAGE(OFFSET($H$3,0,0,'Données projet'!$E$15+1,1))</f>
        <v>394.11074988418096</v>
      </c>
      <c r="EP18" s="62">
        <f t="shared" si="46"/>
        <v>241.85593029696236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32.428571428571431</v>
      </c>
      <c r="N19" s="14">
        <f>IF('Données projet'!$A$36&gt;35,N18+M19-V18,IF(A19&lt;'Données projet'!$A$36,$K$205^A19,IF(A19='Données projet'!$A$36,'Données projet'!$B$36,N18+M19-V18)))</f>
        <v>127.42857142857144</v>
      </c>
      <c r="O19" s="14">
        <f>N19*VLOOKUP('Données projet'!$B$9,Paramètres!$A$1:$I$89,3,0)*VLOOKUP('Données projet'!$B$9,Paramètres!$A$1:$I$89,5,0)</f>
        <v>71.232571428571433</v>
      </c>
      <c r="P19" s="14">
        <f t="shared" si="33"/>
        <v>19.97923685436373</v>
      </c>
      <c r="Q19" s="22">
        <f t="shared" si="2"/>
        <v>158.86056609277875</v>
      </c>
      <c r="R19" s="62">
        <f t="shared" si="0"/>
        <v>452.19389942611207</v>
      </c>
      <c r="S19" s="62">
        <f ca="1">AVERAGE(OFFSET($R$3,0,0,'Données projet'!$E$9+1,1))-AVERAGE(OFFSET($H$3,0,0,'Données projet'!$E$9+1,1))</f>
        <v>539.2446452106276</v>
      </c>
      <c r="T19" s="62">
        <f t="shared" si="34"/>
        <v>596.73830276071465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3.438748769900839</v>
      </c>
      <c r="AA19" s="23">
        <f>EXP(-LN(2)/25)*AA18+(1-EXP(-LN(2)/25))/(LN(2)/25)*Calculateur!V19*Calculateur!X19*VLOOKUP('Données projet'!$B$9,Paramètres!$A$1:$I$89,3,0)*0.475*44/12</f>
        <v>8.5827378873825708</v>
      </c>
      <c r="AB19" s="23">
        <f>EXP(-LN(2)/2)*AB18+(1-EXP(-LN(2)/2))/(LN(2)/2)*V19*Y19*VLOOKUP('Données projet'!$B$9,Paramètres!$A$1:$I$89,3,0)*0.475*44/12</f>
        <v>6.858558265511558</v>
      </c>
      <c r="AC19" s="24">
        <f t="shared" si="3"/>
        <v>18.880044922794966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18.399999999999999</v>
      </c>
      <c r="AI19" s="14">
        <f>IF('Données projet'!$A$62&gt;35,AI18+AH19-AQ18,IF(A19&lt;'Données projet'!$A$62,$AF$205^A19,IF(A19='Données projet'!$A$62,'Données projet'!$B$62,AI18+AH19-AQ18)))</f>
        <v>115.4</v>
      </c>
      <c r="AJ19" s="14">
        <f>AI19*VLOOKUP('Données projet'!$B$10,Paramètres!$A$1:$I$89,3,0)*VLOOKUP('Données projet'!$B$10,Paramètres!$A$1:$I$89,5,0)</f>
        <v>63.008400000000009</v>
      </c>
      <c r="AK19" s="14">
        <f t="shared" si="35"/>
        <v>17.926707674801804</v>
      </c>
      <c r="AL19" s="22">
        <f t="shared" si="4"/>
        <v>140.96197920027984</v>
      </c>
      <c r="AM19" s="62">
        <f t="shared" si="5"/>
        <v>434.29531253361313</v>
      </c>
      <c r="AN19" s="62">
        <f ca="1">AVERAGE(OFFSET($AM$3,0,0,'Données projet'!$E$10+1,1))-AVERAGE(OFFSET($H$3,0,0,'Données projet'!$E$10+1,1))</f>
        <v>262.6671000229498</v>
      </c>
      <c r="AO19" s="62">
        <f t="shared" si="36"/>
        <v>289.30432245776024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10.662719908706119</v>
      </c>
      <c r="AW19" s="23">
        <f>EXP(-LN(2)/2)*AW18+(1-EXP(-LN(2)/2))/(LN(2)/2)*AQ19*AT19*VLOOKUP('Données projet'!$B$10,Paramètres!$A$1:$I$89,3,0)*0.475*44/12</f>
        <v>7.8975391634788608</v>
      </c>
      <c r="AX19" s="23">
        <f t="shared" si="6"/>
        <v>18.56025907218498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11.2</v>
      </c>
      <c r="CT19" s="13">
        <f>IF('Données projet'!$A$140&gt;35,CT18+CS19-DB18,IF(A19&lt;'Données projet'!$A$140,$CQ$205^A19,IF(A19='Données projet'!$A$140,'Données projet'!$B$140,CT18+CS19-DB18)))</f>
        <v>84.199999999999989</v>
      </c>
      <c r="CU19" s="18">
        <f>CT19*VLOOKUP('Données projet'!$B$13,Paramètres!$A$1:$I$89,3,0)*VLOOKUP('Données projet'!$B$13,Paramètres!$A$1:$I$89,5,0)</f>
        <v>73.557119999999998</v>
      </c>
      <c r="CV19" s="14">
        <f t="shared" si="41"/>
        <v>20.554251427792224</v>
      </c>
      <c r="CW19" s="22">
        <f t="shared" si="13"/>
        <v>163.91063857007143</v>
      </c>
      <c r="CX19" s="62">
        <f t="shared" si="14"/>
        <v>457.24397190340471</v>
      </c>
      <c r="CY19" s="62">
        <f ca="1">AVERAGE(OFFSET($CX$3,0,0,'Données projet'!$E$13+1,1))-AVERAGE(OFFSET($H$3,0,0,'Données projet'!$E$13+1,1))</f>
        <v>268.27008134105046</v>
      </c>
      <c r="CZ19" s="62">
        <f t="shared" si="42"/>
        <v>252.36274686619709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13.8</v>
      </c>
      <c r="DO19" s="13">
        <f>IF('Données projet'!$A$166&gt;35,DO18+DN19-DW18,IF(A19&lt;'Données projet'!$A$166,$DL$205^A19,IF(A19='Données projet'!$A$166,'Données projet'!$B$166,DO18+DN19-DW18)))</f>
        <v>46.8</v>
      </c>
      <c r="DP19" s="18">
        <f>DO19*VLOOKUP('Données projet'!$B$14,Paramètres!$A$1:$I$89,3,0)*VLOOKUP('Données projet'!$B$14,Paramètres!$A$1:$I$89,5,0)</f>
        <v>37.234079999999999</v>
      </c>
      <c r="DQ19" s="14">
        <f t="shared" si="43"/>
        <v>11.262510356679771</v>
      </c>
      <c r="DR19" s="22">
        <f t="shared" si="16"/>
        <v>84.464894871217254</v>
      </c>
      <c r="DS19" s="62">
        <f t="shared" si="17"/>
        <v>377.79822820455058</v>
      </c>
      <c r="DT19" s="62">
        <f ca="1">AVERAGE(OFFSET($DS$3,0,0,'Données projet'!$E$14+1,1))-AVERAGE(OFFSET($H$3,0,0,'Données projet'!$E$14+1,1))</f>
        <v>279.49721661620544</v>
      </c>
      <c r="DU19" s="62">
        <f t="shared" si="44"/>
        <v>275.18739333988754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2.8</v>
      </c>
      <c r="EJ19" s="13">
        <f>IF('Données projet'!$A$192&gt;35,EJ18+EI19-ER18,IF(A19&lt;'Données projet'!$A$192,$EG$205^A19,IF(A19='Données projet'!$A$192,'Données projet'!$B$192,EJ18+EI19-ER18)))</f>
        <v>25.035162898423533</v>
      </c>
      <c r="EK19" s="18">
        <f>EJ19*VLOOKUP('Données projet'!$B$15,Paramètres!$A$1:$I$89,3,0)*VLOOKUP('Données projet'!$B$15,Paramètres!$A$1:$I$89,5,0)</f>
        <v>21.480169766847393</v>
      </c>
      <c r="EL19" s="14">
        <f t="shared" si="45"/>
        <v>6.9269265873873334</v>
      </c>
      <c r="EM19" s="22">
        <f t="shared" si="19"/>
        <v>49.475692816958805</v>
      </c>
      <c r="EN19" s="62">
        <f t="shared" si="20"/>
        <v>342.80902615029214</v>
      </c>
      <c r="EO19" s="62">
        <f ca="1">AVERAGE(OFFSET($EN$3,0,0,'Données projet'!$E$15+1,1))-AVERAGE(OFFSET($H$3,0,0,'Données projet'!$E$15+1,1))</f>
        <v>394.11074988418096</v>
      </c>
      <c r="EP19" s="62">
        <f t="shared" si="46"/>
        <v>241.85593029696236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32.428571428571431</v>
      </c>
      <c r="N20" s="14">
        <f>IF('Données projet'!$A$36&gt;35,N19+M20-V19,IF(A20&lt;'Données projet'!$A$36,$K$205^A20,IF(A20='Données projet'!$A$36,'Données projet'!$B$36,N19+M20-V19)))</f>
        <v>159.85714285714289</v>
      </c>
      <c r="O20" s="14">
        <f>N20*VLOOKUP('Données projet'!$B$9,Paramètres!$A$1:$I$89,3,0)*VLOOKUP('Données projet'!$B$9,Paramètres!$A$1:$I$89,5,0)</f>
        <v>89.36014285714289</v>
      </c>
      <c r="P20" s="14">
        <f t="shared" si="33"/>
        <v>24.410842836330076</v>
      </c>
      <c r="Q20" s="22">
        <f t="shared" si="2"/>
        <v>198.15113341613207</v>
      </c>
      <c r="R20" s="62">
        <f t="shared" si="0"/>
        <v>491.48446674946535</v>
      </c>
      <c r="S20" s="62">
        <f ca="1">AVERAGE(OFFSET($R$3,0,0,'Données projet'!$E$9+1,1))-AVERAGE(OFFSET($H$3,0,0,'Données projet'!$E$9+1,1))</f>
        <v>539.2446452106276</v>
      </c>
      <c r="T20" s="62">
        <f t="shared" si="34"/>
        <v>596.73830276071465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3.3713170039527292</v>
      </c>
      <c r="AA20" s="23">
        <f>EXP(-LN(2)/25)*AA19+(1-EXP(-LN(2)/25))/(LN(2)/25)*Calculateur!V20*Calculateur!X20*VLOOKUP('Données projet'!$B$9,Paramètres!$A$1:$I$89,3,0)*0.475*44/12</f>
        <v>8.3480424685055254</v>
      </c>
      <c r="AB20" s="23">
        <f>EXP(-LN(2)/2)*AB19+(1-EXP(-LN(2)/2))/(LN(2)/2)*V20*Y20*VLOOKUP('Données projet'!$B$9,Paramètres!$A$1:$I$89,3,0)*0.475*44/12</f>
        <v>4.8497330587062688</v>
      </c>
      <c r="AC20" s="24">
        <f t="shared" si="3"/>
        <v>16.569092531164522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18.399999999999999</v>
      </c>
      <c r="AI20" s="14">
        <f>IF('Données projet'!$A$62&gt;35,AI19+AH20-AQ19,IF(A20&lt;'Données projet'!$A$62,$AF$205^A20,IF(A20='Données projet'!$A$62,'Données projet'!$B$62,AI19+AH20-AQ19)))</f>
        <v>133.80000000000001</v>
      </c>
      <c r="AJ20" s="14">
        <f>AI20*VLOOKUP('Données projet'!$B$10,Paramètres!$A$1:$I$89,3,0)*VLOOKUP('Données projet'!$B$10,Paramètres!$A$1:$I$89,5,0)</f>
        <v>73.054800000000014</v>
      </c>
      <c r="AK20" s="14">
        <f t="shared" si="35"/>
        <v>20.430175897593891</v>
      </c>
      <c r="AL20" s="22">
        <f t="shared" si="4"/>
        <v>162.81966635497602</v>
      </c>
      <c r="AM20" s="62">
        <f t="shared" si="5"/>
        <v>456.15299968830936</v>
      </c>
      <c r="AN20" s="62">
        <f ca="1">AVERAGE(OFFSET($AM$3,0,0,'Données projet'!$E$10+1,1))-AVERAGE(OFFSET($H$3,0,0,'Données projet'!$E$10+1,1))</f>
        <v>262.6671000229498</v>
      </c>
      <c r="AO20" s="62">
        <f t="shared" si="36"/>
        <v>289.30432245776024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10.371147272074481</v>
      </c>
      <c r="AW20" s="23">
        <f>EXP(-LN(2)/2)*AW19+(1-EXP(-LN(2)/2))/(LN(2)/2)*AQ20*AT20*VLOOKUP('Données projet'!$B$10,Paramètres!$A$1:$I$89,3,0)*0.475*44/12</f>
        <v>5.5844034971822367</v>
      </c>
      <c r="AX20" s="23">
        <f t="shared" si="6"/>
        <v>15.955550769256718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11.2</v>
      </c>
      <c r="CT20" s="13">
        <f>IF('Données projet'!$A$140&gt;35,CT19+CS20-DB19,IF(A20&lt;'Données projet'!$A$140,$CQ$205^A20,IF(A20='Données projet'!$A$140,'Données projet'!$B$140,CT19+CS20-DB19)))</f>
        <v>95.399999999999991</v>
      </c>
      <c r="CU20" s="18">
        <f>CT20*VLOOKUP('Données projet'!$B$13,Paramètres!$A$1:$I$89,3,0)*VLOOKUP('Données projet'!$B$13,Paramètres!$A$1:$I$89,5,0)</f>
        <v>83.341440000000006</v>
      </c>
      <c r="CV20" s="14">
        <f t="shared" si="41"/>
        <v>22.952227742446681</v>
      </c>
      <c r="CW20" s="22">
        <f t="shared" si="13"/>
        <v>185.12813798476131</v>
      </c>
      <c r="CX20" s="62">
        <f t="shared" si="14"/>
        <v>478.4614713180946</v>
      </c>
      <c r="CY20" s="62">
        <f ca="1">AVERAGE(OFFSET($CX$3,0,0,'Données projet'!$E$13+1,1))-AVERAGE(OFFSET($H$3,0,0,'Données projet'!$E$13+1,1))</f>
        <v>268.27008134105046</v>
      </c>
      <c r="CZ20" s="62">
        <f t="shared" si="42"/>
        <v>252.36274686619709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13.8</v>
      </c>
      <c r="DO20" s="13">
        <f>IF('Données projet'!$A$166&gt;35,DO19+DN20-DW19,IF(A20&lt;'Données projet'!$A$166,$DL$205^A20,IF(A20='Données projet'!$A$166,'Données projet'!$B$166,DO19+DN20-DW19)))</f>
        <v>60.599999999999994</v>
      </c>
      <c r="DP20" s="18">
        <f>DO20*VLOOKUP('Données projet'!$B$14,Paramètres!$A$1:$I$89,3,0)*VLOOKUP('Données projet'!$B$14,Paramètres!$A$1:$I$89,5,0)</f>
        <v>48.213360000000002</v>
      </c>
      <c r="DQ20" s="14">
        <f t="shared" si="43"/>
        <v>14.151379520104694</v>
      </c>
      <c r="DR20" s="22">
        <f t="shared" si="16"/>
        <v>108.61858799751566</v>
      </c>
      <c r="DS20" s="62">
        <f t="shared" si="17"/>
        <v>401.95192133084896</v>
      </c>
      <c r="DT20" s="62">
        <f ca="1">AVERAGE(OFFSET($DS$3,0,0,'Données projet'!$E$14+1,1))-AVERAGE(OFFSET($H$3,0,0,'Données projet'!$E$14+1,1))</f>
        <v>279.49721661620544</v>
      </c>
      <c r="DU20" s="62">
        <f t="shared" si="44"/>
        <v>275.18739333988754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2.8</v>
      </c>
      <c r="EJ20" s="13">
        <f>IF('Données projet'!$A$192&gt;35,EJ19+EI20-ER19,IF(A20&lt;'Données projet'!$A$192,$EG$205^A20,IF(A20='Données projet'!$A$192,'Données projet'!$B$192,EJ19+EI20-ER19)))</f>
        <v>30.61680181296855</v>
      </c>
      <c r="EK20" s="18">
        <f>EJ20*VLOOKUP('Données projet'!$B$15,Paramètres!$A$1:$I$89,3,0)*VLOOKUP('Données projet'!$B$15,Paramètres!$A$1:$I$89,5,0)</f>
        <v>26.26921595552702</v>
      </c>
      <c r="EL20" s="14">
        <f t="shared" si="45"/>
        <v>8.2751434680579159</v>
      </c>
      <c r="EM20" s="22">
        <f t="shared" si="19"/>
        <v>60.164759329410423</v>
      </c>
      <c r="EN20" s="62">
        <f t="shared" si="20"/>
        <v>353.49809266274372</v>
      </c>
      <c r="EO20" s="62">
        <f ca="1">AVERAGE(OFFSET($EN$3,0,0,'Données projet'!$E$15+1,1))-AVERAGE(OFFSET($H$3,0,0,'Données projet'!$E$15+1,1))</f>
        <v>394.11074988418096</v>
      </c>
      <c r="EP20" s="62">
        <f t="shared" si="46"/>
        <v>241.85593029696236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32.428571428571431</v>
      </c>
      <c r="N21" s="14">
        <f>IF('Données projet'!$A$36&gt;35,N20+M21-V20,IF(A21&lt;'Données projet'!$A$36,$K$205^A21,IF(A21='Données projet'!$A$36,'Données projet'!$B$36,N20+M21-V20)))</f>
        <v>192.28571428571433</v>
      </c>
      <c r="O21" s="14">
        <f>N21*VLOOKUP('Données projet'!$B$9,Paramètres!$A$1:$I$89,3,0)*VLOOKUP('Données projet'!$B$9,Paramètres!$A$1:$I$89,5,0)</f>
        <v>107.4877142857143</v>
      </c>
      <c r="P21" s="14">
        <f t="shared" si="33"/>
        <v>28.738276905637278</v>
      </c>
      <c r="Q21" s="22">
        <f t="shared" si="2"/>
        <v>237.260267991604</v>
      </c>
      <c r="R21" s="62">
        <f t="shared" si="0"/>
        <v>530.59360132493725</v>
      </c>
      <c r="S21" s="62">
        <f ca="1">AVERAGE(OFFSET($R$3,0,0,'Données projet'!$E$9+1,1))-AVERAGE(OFFSET($H$3,0,0,'Données projet'!$E$9+1,1))</f>
        <v>539.2446452106276</v>
      </c>
      <c r="T21" s="62">
        <f t="shared" si="34"/>
        <v>596.73830276071465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3.3052075338055458</v>
      </c>
      <c r="AA21" s="23">
        <f>EXP(-LN(2)/25)*AA20+(1-EXP(-LN(2)/25))/(LN(2)/25)*Calculateur!V21*Calculateur!X21*VLOOKUP('Données projet'!$B$9,Paramètres!$A$1:$I$89,3,0)*0.475*44/12</f>
        <v>8.1197648081997684</v>
      </c>
      <c r="AB21" s="23">
        <f>EXP(-LN(2)/2)*AB20+(1-EXP(-LN(2)/2))/(LN(2)/2)*V21*Y21*VLOOKUP('Données projet'!$B$9,Paramètres!$A$1:$I$89,3,0)*0.475*44/12</f>
        <v>3.4292791327557799</v>
      </c>
      <c r="AC21" s="24">
        <f t="shared" si="3"/>
        <v>14.854251474761096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18.399999999999999</v>
      </c>
      <c r="AI21" s="14">
        <f>IF('Données projet'!$A$62&gt;35,AI20+AH21-AQ20,IF(A21&lt;'Données projet'!$A$62,$AF$205^A21,IF(A21='Données projet'!$A$62,'Données projet'!$B$62,AI20+AH21-AQ20)))</f>
        <v>152.20000000000002</v>
      </c>
      <c r="AJ21" s="14">
        <f>AI21*VLOOKUP('Données projet'!$B$10,Paramètres!$A$1:$I$89,3,0)*VLOOKUP('Données projet'!$B$10,Paramètres!$A$1:$I$89,5,0)</f>
        <v>83.101200000000006</v>
      </c>
      <c r="AK21" s="14">
        <f t="shared" si="35"/>
        <v>22.893757108382488</v>
      </c>
      <c r="AL21" s="22">
        <f t="shared" si="4"/>
        <v>184.60788363043284</v>
      </c>
      <c r="AM21" s="62">
        <f t="shared" si="5"/>
        <v>477.94121696376612</v>
      </c>
      <c r="AN21" s="62">
        <f ca="1">AVERAGE(OFFSET($AM$3,0,0,'Données projet'!$E$10+1,1))-AVERAGE(OFFSET($H$3,0,0,'Données projet'!$E$10+1,1))</f>
        <v>262.6671000229498</v>
      </c>
      <c r="AO21" s="62">
        <f t="shared" si="36"/>
        <v>289.30432245776024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10.087547704524672</v>
      </c>
      <c r="AW21" s="23">
        <f>EXP(-LN(2)/2)*AW20+(1-EXP(-LN(2)/2))/(LN(2)/2)*AQ21*AT21*VLOOKUP('Données projet'!$B$10,Paramètres!$A$1:$I$89,3,0)*0.475*44/12</f>
        <v>3.9487695817394308</v>
      </c>
      <c r="AX21" s="23">
        <f t="shared" si="6"/>
        <v>14.036317286264103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11.2</v>
      </c>
      <c r="CT21" s="13">
        <f>IF('Données projet'!$A$140&gt;35,CT20+CS21-DB20,IF(A21&lt;'Données projet'!$A$140,$CQ$205^A21,IF(A21='Données projet'!$A$140,'Données projet'!$B$140,CT20+CS21-DB20)))</f>
        <v>106.6</v>
      </c>
      <c r="CU21" s="18">
        <f>CT21*VLOOKUP('Données projet'!$B$13,Paramètres!$A$1:$I$89,3,0)*VLOOKUP('Données projet'!$B$13,Paramètres!$A$1:$I$89,5,0)</f>
        <v>93.125760000000014</v>
      </c>
      <c r="CV21" s="14">
        <f t="shared" si="41"/>
        <v>25.317578585717406</v>
      </c>
      <c r="CW21" s="22">
        <f t="shared" si="13"/>
        <v>206.2888147034578</v>
      </c>
      <c r="CX21" s="62">
        <f t="shared" si="14"/>
        <v>499.62214803679115</v>
      </c>
      <c r="CY21" s="62">
        <f ca="1">AVERAGE(OFFSET($CX$3,0,0,'Données projet'!$E$13+1,1))-AVERAGE(OFFSET($H$3,0,0,'Données projet'!$E$13+1,1))</f>
        <v>268.27008134105046</v>
      </c>
      <c r="CZ21" s="62">
        <f t="shared" si="42"/>
        <v>252.36274686619709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13.8</v>
      </c>
      <c r="DO21" s="13">
        <f>IF('Données projet'!$A$166&gt;35,DO20+DN21-DW20,IF(A21&lt;'Données projet'!$A$166,$DL$205^A21,IF(A21='Données projet'!$A$166,'Données projet'!$B$166,DO20+DN21-DW20)))</f>
        <v>74.399999999999991</v>
      </c>
      <c r="DP21" s="18">
        <f>DO21*VLOOKUP('Données projet'!$B$14,Paramètres!$A$1:$I$89,3,0)*VLOOKUP('Données projet'!$B$14,Paramètres!$A$1:$I$89,5,0)</f>
        <v>59.192639999999997</v>
      </c>
      <c r="DQ21" s="14">
        <f t="shared" si="43"/>
        <v>16.963982408330725</v>
      </c>
      <c r="DR21" s="22">
        <f t="shared" si="16"/>
        <v>132.63945069450935</v>
      </c>
      <c r="DS21" s="62">
        <f t="shared" si="17"/>
        <v>425.97278402784264</v>
      </c>
      <c r="DT21" s="62">
        <f ca="1">AVERAGE(OFFSET($DS$3,0,0,'Données projet'!$E$14+1,1))-AVERAGE(OFFSET($H$3,0,0,'Données projet'!$E$14+1,1))</f>
        <v>279.49721661620544</v>
      </c>
      <c r="DU21" s="62">
        <f t="shared" si="44"/>
        <v>275.18739333988754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2.8</v>
      </c>
      <c r="EJ21" s="13">
        <f>IF('Données projet'!$A$192&gt;35,EJ20+EI21-ER20,IF(A21&lt;'Données projet'!$A$192,$EG$205^A21,IF(A21='Données projet'!$A$192,'Données projet'!$B$192,EJ20+EI21-ER20)))</f>
        <v>37.442878125375486</v>
      </c>
      <c r="EK21" s="18">
        <f>EJ21*VLOOKUP('Données projet'!$B$15,Paramètres!$A$1:$I$89,3,0)*VLOOKUP('Données projet'!$B$15,Paramètres!$A$1:$I$89,5,0)</f>
        <v>32.125989431572172</v>
      </c>
      <c r="EL21" s="14">
        <f t="shared" si="45"/>
        <v>9.8857694755459775</v>
      </c>
      <c r="EM21" s="22">
        <f t="shared" si="19"/>
        <v>73.170480096564106</v>
      </c>
      <c r="EN21" s="62">
        <f t="shared" si="20"/>
        <v>366.50381342989743</v>
      </c>
      <c r="EO21" s="62">
        <f ca="1">AVERAGE(OFFSET($EN$3,0,0,'Données projet'!$E$15+1,1))-AVERAGE(OFFSET($H$3,0,0,'Données projet'!$E$15+1,1))</f>
        <v>394.11074988418096</v>
      </c>
      <c r="EP21" s="62">
        <f t="shared" si="46"/>
        <v>241.85593029696236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32.428571428571431</v>
      </c>
      <c r="N22" s="14">
        <f>IF('Données projet'!$A$36&gt;35,N21+M22-V21,IF(A22&lt;'Données projet'!$A$36,$K$205^A22,IF(A22='Données projet'!$A$36,'Données projet'!$B$36,N21+M22-V21)))</f>
        <v>224.71428571428578</v>
      </c>
      <c r="O22" s="14">
        <f>N22*VLOOKUP('Données projet'!$B$9,Paramètres!$A$1:$I$89,3,0)*VLOOKUP('Données projet'!$B$9,Paramètres!$A$1:$I$89,5,0)</f>
        <v>125.61528571428576</v>
      </c>
      <c r="P22" s="14">
        <f t="shared" si="33"/>
        <v>32.981166308086976</v>
      </c>
      <c r="Q22" s="22">
        <f t="shared" si="2"/>
        <v>276.22215393896585</v>
      </c>
      <c r="R22" s="62">
        <f t="shared" si="0"/>
        <v>569.55548727229916</v>
      </c>
      <c r="S22" s="62">
        <f ca="1">AVERAGE(OFFSET($R$3,0,0,'Données projet'!$E$9+1,1))-AVERAGE(OFFSET($H$3,0,0,'Données projet'!$E$9+1,1))</f>
        <v>539.2446452106276</v>
      </c>
      <c r="T22" s="62">
        <f t="shared" si="34"/>
        <v>596.73830276071465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3.2403944300451535</v>
      </c>
      <c r="AA22" s="23">
        <f>EXP(-LN(2)/25)*AA21+(1-EXP(-LN(2)/25))/(LN(2)/25)*Calculateur!V22*Calculateur!X22*VLOOKUP('Données projet'!$B$9,Paramètres!$A$1:$I$89,3,0)*0.475*44/12</f>
        <v>7.8977294125196726</v>
      </c>
      <c r="AB22" s="23">
        <f>EXP(-LN(2)/2)*AB21+(1-EXP(-LN(2)/2))/(LN(2)/2)*V22*Y22*VLOOKUP('Données projet'!$B$9,Paramètres!$A$1:$I$89,3,0)*0.475*44/12</f>
        <v>2.4248665293531348</v>
      </c>
      <c r="AC22" s="24">
        <f t="shared" si="3"/>
        <v>13.562990371917962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18.399999999999999</v>
      </c>
      <c r="AI22" s="14">
        <f>IF('Données projet'!$A$62&gt;35,AI21+AH22-AQ21,IF(A22&lt;'Données projet'!$A$62,$AF$205^A22,IF(A22='Données projet'!$A$62,'Données projet'!$B$62,AI21+AH22-AQ21)))</f>
        <v>170.60000000000002</v>
      </c>
      <c r="AJ22" s="14">
        <f>AI22*VLOOKUP('Données projet'!$B$10,Paramètres!$A$1:$I$89,3,0)*VLOOKUP('Données projet'!$B$10,Paramètres!$A$1:$I$89,5,0)</f>
        <v>93.147600000000011</v>
      </c>
      <c r="AK22" s="14">
        <f t="shared" si="35"/>
        <v>25.322824905399642</v>
      </c>
      <c r="AL22" s="22">
        <f t="shared" si="4"/>
        <v>206.33599004357106</v>
      </c>
      <c r="AM22" s="62">
        <f t="shared" si="5"/>
        <v>499.66932337690434</v>
      </c>
      <c r="AN22" s="62">
        <f ca="1">AVERAGE(OFFSET($AM$3,0,0,'Données projet'!$E$10+1,1))-AVERAGE(OFFSET($H$3,0,0,'Données projet'!$E$10+1,1))</f>
        <v>262.6671000229498</v>
      </c>
      <c r="AO22" s="62">
        <f t="shared" si="36"/>
        <v>289.30432245776024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9.8117031820633667</v>
      </c>
      <c r="AW22" s="23">
        <f>EXP(-LN(2)/2)*AW21+(1-EXP(-LN(2)/2))/(LN(2)/2)*AQ22*AT22*VLOOKUP('Données projet'!$B$10,Paramètres!$A$1:$I$89,3,0)*0.475*44/12</f>
        <v>2.7922017485911188</v>
      </c>
      <c r="AX22" s="23">
        <f t="shared" si="6"/>
        <v>12.603904930654485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11.2</v>
      </c>
      <c r="CT22" s="13">
        <f>IF('Données projet'!$A$140&gt;35,CT21+CS22-DB21,IF(A22&lt;'Données projet'!$A$140,$CQ$205^A22,IF(A22='Données projet'!$A$140,'Données projet'!$B$140,CT21+CS22-DB21)))</f>
        <v>117.8</v>
      </c>
      <c r="CU22" s="18">
        <f>CT22*VLOOKUP('Données projet'!$B$13,Paramètres!$A$1:$I$89,3,0)*VLOOKUP('Données projet'!$B$13,Paramètres!$A$1:$I$89,5,0)</f>
        <v>102.91008000000001</v>
      </c>
      <c r="CV22" s="14">
        <f t="shared" si="41"/>
        <v>27.654122306790427</v>
      </c>
      <c r="CW22" s="22">
        <f t="shared" si="13"/>
        <v>227.39931901765999</v>
      </c>
      <c r="CX22" s="62">
        <f t="shared" si="14"/>
        <v>520.73265235099325</v>
      </c>
      <c r="CY22" s="62">
        <f ca="1">AVERAGE(OFFSET($CX$3,0,0,'Données projet'!$E$13+1,1))-AVERAGE(OFFSET($H$3,0,0,'Données projet'!$E$13+1,1))</f>
        <v>268.27008134105046</v>
      </c>
      <c r="CZ22" s="62">
        <f t="shared" si="42"/>
        <v>252.36274686619709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13.8</v>
      </c>
      <c r="DO22" s="13">
        <f>IF('Données projet'!$A$166&gt;35,DO21+DN22-DW21,IF(A22&lt;'Données projet'!$A$166,$DL$205^A22,IF(A22='Données projet'!$A$166,'Données projet'!$B$166,DO21+DN22-DW21)))</f>
        <v>88.199999999999989</v>
      </c>
      <c r="DP22" s="18">
        <f>DO22*VLOOKUP('Données projet'!$B$14,Paramètres!$A$1:$I$89,3,0)*VLOOKUP('Données projet'!$B$14,Paramètres!$A$1:$I$89,5,0)</f>
        <v>70.171919999999986</v>
      </c>
      <c r="DQ22" s="14">
        <f t="shared" si="43"/>
        <v>19.716145269554726</v>
      </c>
      <c r="DR22" s="22">
        <f t="shared" si="16"/>
        <v>156.55504701114111</v>
      </c>
      <c r="DS22" s="62">
        <f t="shared" si="17"/>
        <v>449.8883803444744</v>
      </c>
      <c r="DT22" s="62">
        <f ca="1">AVERAGE(OFFSET($DS$3,0,0,'Données projet'!$E$14+1,1))-AVERAGE(OFFSET($H$3,0,0,'Données projet'!$E$14+1,1))</f>
        <v>279.49721661620544</v>
      </c>
      <c r="DU22" s="62">
        <f t="shared" si="44"/>
        <v>275.18739333988754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2.8</v>
      </c>
      <c r="EJ22" s="13">
        <f>IF('Données projet'!$A$192&gt;35,EJ21+EI22-ER21,IF(A22&lt;'Données projet'!$A$192,$EG$205^A22,IF(A22='Données projet'!$A$192,'Données projet'!$B$192,EJ21+EI22-ER21)))</f>
        <v>45.79084160638493</v>
      </c>
      <c r="EK22" s="18">
        <f>EJ22*VLOOKUP('Données projet'!$B$15,Paramètres!$A$1:$I$89,3,0)*VLOOKUP('Données projet'!$B$15,Paramètres!$A$1:$I$89,5,0)</f>
        <v>39.28854209827827</v>
      </c>
      <c r="EL22" s="14">
        <f t="shared" si="45"/>
        <v>11.809878402817876</v>
      </c>
      <c r="EM22" s="22">
        <f t="shared" si="19"/>
        <v>88.99641570607578</v>
      </c>
      <c r="EN22" s="62">
        <f t="shared" si="20"/>
        <v>382.32974903940908</v>
      </c>
      <c r="EO22" s="62">
        <f ca="1">AVERAGE(OFFSET($EN$3,0,0,'Données projet'!$E$15+1,1))-AVERAGE(OFFSET($H$3,0,0,'Données projet'!$E$15+1,1))</f>
        <v>394.11074988418096</v>
      </c>
      <c r="EP22" s="62">
        <f t="shared" si="46"/>
        <v>241.85593029696236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32.428571428571431</v>
      </c>
      <c r="N23" s="14">
        <f>IF('Données projet'!$A$36&gt;35,N22+M23-V22,IF(A23&lt;'Données projet'!$A$36,$K$205^A23,IF(A23='Données projet'!$A$36,'Données projet'!$B$36,N22+M23-V22)))</f>
        <v>257.14285714285722</v>
      </c>
      <c r="O23" s="14">
        <f>N23*VLOOKUP('Données projet'!$B$9,Paramètres!$A$1:$I$89,3,0)*VLOOKUP('Données projet'!$B$9,Paramètres!$A$1:$I$89,5,0)</f>
        <v>143.74285714285719</v>
      </c>
      <c r="P23" s="14">
        <f t="shared" si="33"/>
        <v>37.153120460531561</v>
      </c>
      <c r="Q23" s="22">
        <f t="shared" si="2"/>
        <v>315.06049432590208</v>
      </c>
      <c r="R23" s="62">
        <f t="shared" si="0"/>
        <v>608.3938276592354</v>
      </c>
      <c r="S23" s="62">
        <f ca="1">AVERAGE(OFFSET($R$3,0,0,'Données projet'!$E$9+1,1))-AVERAGE(OFFSET($H$3,0,0,'Données projet'!$E$9+1,1))</f>
        <v>539.2446452106276</v>
      </c>
      <c r="T23" s="62">
        <f t="shared" si="34"/>
        <v>596.73830276071465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3.1768522717174124</v>
      </c>
      <c r="AA23" s="23">
        <f>EXP(-LN(2)/25)*AA22+(1-EXP(-LN(2)/25))/(LN(2)/25)*Calculateur!V23*Calculateur!X23*VLOOKUP('Données projet'!$B$9,Paramètres!$A$1:$I$89,3,0)*0.475*44/12</f>
        <v>7.6817655864107826</v>
      </c>
      <c r="AB23" s="23">
        <f>EXP(-LN(2)/2)*AB22+(1-EXP(-LN(2)/2))/(LN(2)/2)*V23*Y23*VLOOKUP('Données projet'!$B$9,Paramètres!$A$1:$I$89,3,0)*0.475*44/12</f>
        <v>1.7146395663778902</v>
      </c>
      <c r="AC23" s="24">
        <f t="shared" si="3"/>
        <v>12.573257424506085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189</v>
      </c>
      <c r="AG23" s="13">
        <f>VLOOKUP(A23,'Données projet'!$A$61:$I$81,9,0)</f>
        <v>18.399999999999999</v>
      </c>
      <c r="AH23" s="13">
        <f t="array" ref="AH23">INDEX(AG:AG,MIN(IF(ISNUMBER(AG23:AG219),ROW(AG23:AG219),"")))</f>
        <v>18.399999999999999</v>
      </c>
      <c r="AI23" s="14">
        <f>IF('Données projet'!$A$62&gt;35,AI22+AH23-AQ22,IF(A23&lt;'Données projet'!$A$62,$AF$205^A23,IF(A23='Données projet'!$A$62,'Données projet'!$B$62,AI22+AH23-AQ22)))</f>
        <v>189.00000000000003</v>
      </c>
      <c r="AJ23" s="14">
        <f>AI23*VLOOKUP('Données projet'!$B$10,Paramètres!$A$1:$I$89,3,0)*VLOOKUP('Données projet'!$B$10,Paramètres!$A$1:$I$89,5,0)</f>
        <v>103.19400000000002</v>
      </c>
      <c r="AK23" s="14">
        <f t="shared" si="35"/>
        <v>27.721526045872263</v>
      </c>
      <c r="AL23" s="22">
        <f t="shared" si="4"/>
        <v>228.01120786322755</v>
      </c>
      <c r="AM23" s="62">
        <f t="shared" si="5"/>
        <v>521.34454119656084</v>
      </c>
      <c r="AN23" s="62">
        <f ca="1">AVERAGE(OFFSET($AM$3,0,0,'Données projet'!$E$10+1,1))-AVERAGE(OFFSET($H$3,0,0,'Données projet'!$E$10+1,1))</f>
        <v>262.6671000229498</v>
      </c>
      <c r="AO23" s="62">
        <f t="shared" si="36"/>
        <v>289.30432245776024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47</v>
      </c>
      <c r="AR23" s="17">
        <f>IF(ISNA(VLOOKUP(A23,'Données projet'!$A$61:$I$81,5,0)),0%,VLOOKUP(A23,'Données projet'!$A$61:$I$81,5,0)*VLOOKUP('Données projet'!$B$10,Paramètres!$A$1:$I$89,7,0))</f>
        <v>0.12</v>
      </c>
      <c r="AS23" s="17">
        <f>IF(ISNA(VLOOKUP(A23,'Données projet'!$A$61:$I$81,6,0)),0%,VLOOKUP(A23,'Données projet'!$A$61:$I$81,6,0)*VLOOKUP('Données projet'!$B$10,Paramètres!$A$1:$I$89,7,0))</f>
        <v>0.27</v>
      </c>
      <c r="AT23" s="17">
        <f>IF(ISNA(VLOOKUP(A23,'Données projet'!$A$61:$I$81,7,0)),0%,VLOOKUP(A23,'Données projet'!$A$61:$I$81,7,0))</f>
        <v>0.35</v>
      </c>
      <c r="AU23" s="23">
        <f>EXP(-LN(2)/35)*AU22+(1-EXP(-LN(2)/35))/(LN(2)/35)*AQ23*AR23*VLOOKUP('Données projet'!$B$10,Paramètres!$A$1:$I$89,3,0)*0.475*44/12</f>
        <v>4.085075646658737</v>
      </c>
      <c r="AV23" s="23">
        <f>EXP(-LN(2)/25)*AV22+(1-EXP(-LN(2)/25))/(LN(2)/25)*Calculateur!AQ23*Calculateur!AS23*VLOOKUP('Données projet'!$B$10,Paramètres!$A$1:$I$89,3,0)*0.475*44/12</f>
        <v>18.698631724004276</v>
      </c>
      <c r="AW23" s="23">
        <f>EXP(-LN(2)/2)*AW22+(1-EXP(-LN(2)/2))/(LN(2)/2)*AQ23*AT23*VLOOKUP('Données projet'!$B$10,Paramètres!$A$1:$I$89,3,0)*0.475*44/12</f>
        <v>12.143755617563171</v>
      </c>
      <c r="AX23" s="23">
        <f t="shared" si="6"/>
        <v>34.927462988226182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129</v>
      </c>
      <c r="CR23" s="13">
        <f>VLOOKUP(A23,'Données projet'!$A$139:$I$159,9,0)</f>
        <v>11.2</v>
      </c>
      <c r="CS23" s="13">
        <f t="array" ref="CS23">INDEX(CR:CR,MIN(IF(ISNUMBER(CR23:CR219),ROW(CR23:CR219),"")))</f>
        <v>11.2</v>
      </c>
      <c r="CT23" s="13">
        <f>IF('Données projet'!$A$140&gt;35,CT22+CS23-DB22,IF(A23&lt;'Données projet'!$A$140,$CQ$205^A23,IF(A23='Données projet'!$A$140,'Données projet'!$B$140,CT22+CS23-DB22)))</f>
        <v>129</v>
      </c>
      <c r="CU23" s="18">
        <f>CT23*VLOOKUP('Données projet'!$B$13,Paramètres!$A$1:$I$89,3,0)*VLOOKUP('Données projet'!$B$13,Paramètres!$A$1:$I$89,5,0)</f>
        <v>112.69440000000002</v>
      </c>
      <c r="CV23" s="14">
        <f t="shared" si="41"/>
        <v>29.964909381330632</v>
      </c>
      <c r="CW23" s="22">
        <f t="shared" si="13"/>
        <v>248.46496383915087</v>
      </c>
      <c r="CX23" s="62">
        <f t="shared" si="14"/>
        <v>541.79829717248413</v>
      </c>
      <c r="CY23" s="62">
        <f ca="1">AVERAGE(OFFSET($CX$3,0,0,'Données projet'!$E$13+1,1))-AVERAGE(OFFSET($H$3,0,0,'Données projet'!$E$13+1,1))</f>
        <v>268.27008134105046</v>
      </c>
      <c r="CZ23" s="62">
        <f t="shared" si="42"/>
        <v>252.36274686619709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54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102</v>
      </c>
      <c r="DM23" s="13">
        <f>VLOOKUP(A23,'Données projet'!$A$165:$I$185,9,0)</f>
        <v>13.8</v>
      </c>
      <c r="DN23" s="13">
        <f t="array" ref="DN23">INDEX(DM:DM,MIN(IF(ISNUMBER(DM23:DM219),ROW(DM23:DM219),"")))</f>
        <v>13.8</v>
      </c>
      <c r="DO23" s="13">
        <f>IF('Données projet'!$A$166&gt;35,DO22+DN23-DW22,IF(A23&lt;'Données projet'!$A$166,$DL$205^A23,IF(A23='Données projet'!$A$166,'Données projet'!$B$166,DO22+DN23-DW22)))</f>
        <v>101.99999999999999</v>
      </c>
      <c r="DP23" s="18">
        <f>DO23*VLOOKUP('Données projet'!$B$14,Paramètres!$A$1:$I$89,3,0)*VLOOKUP('Données projet'!$B$14,Paramètres!$A$1:$I$89,5,0)</f>
        <v>81.151200000000003</v>
      </c>
      <c r="DQ23" s="14">
        <f t="shared" si="43"/>
        <v>22.418424032002342</v>
      </c>
      <c r="DR23" s="22">
        <f t="shared" si="16"/>
        <v>180.38376185573739</v>
      </c>
      <c r="DS23" s="62">
        <f t="shared" si="17"/>
        <v>473.71709518907073</v>
      </c>
      <c r="DT23" s="62">
        <f ca="1">AVERAGE(OFFSET($DS$3,0,0,'Données projet'!$E$14+1,1))-AVERAGE(OFFSET($H$3,0,0,'Données projet'!$E$14+1,1))</f>
        <v>279.49721661620544</v>
      </c>
      <c r="DU23" s="62">
        <f t="shared" si="44"/>
        <v>275.18739333988754</v>
      </c>
      <c r="DV23" s="16">
        <f>IF(ISNA(VLOOKUP(A23,'Données projet'!$A$165:$I$185,3,0)),0,VLOOKUP(A23,'Données projet'!$A$165:$I$185,3,0))</f>
        <v>3</v>
      </c>
      <c r="DW23" s="16">
        <f>IF(ISNA(VLOOKUP(A23,'Données projet'!$A$165:$I$185,4,0)),0,VLOOKUP(A23,'Données projet'!$A$165:$I$185,4,0))</f>
        <v>35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>
        <f>VLOOKUP(A23,'Données projet'!$A$191:$I$211,2,0)</f>
        <v>56</v>
      </c>
      <c r="EH23" s="13">
        <f>VLOOKUP(A23,'Données projet'!$A$191:$I$211,9,0)</f>
        <v>2.8</v>
      </c>
      <c r="EI23" s="13">
        <f t="array" ref="EI23">INDEX(EH:EH,MIN(IF(ISNUMBER(EH23:EH219),ROW(EH23:EH219),"")))</f>
        <v>2.8</v>
      </c>
      <c r="EJ23" s="13">
        <f>IF('Données projet'!$A$192&gt;35,EJ22+EI23-ER22,IF(A23&lt;'Données projet'!$A$192,$EG$205^A23,IF(A23='Données projet'!$A$192,'Données projet'!$B$192,EJ22+EI23-ER22)))</f>
        <v>56</v>
      </c>
      <c r="EK23" s="18">
        <f>EJ23*VLOOKUP('Données projet'!$B$15,Paramètres!$A$1:$I$89,3,0)*VLOOKUP('Données projet'!$B$15,Paramètres!$A$1:$I$89,5,0)</f>
        <v>48.048000000000009</v>
      </c>
      <c r="EL23" s="14">
        <f t="shared" si="45"/>
        <v>14.108484750160622</v>
      </c>
      <c r="EM23" s="22">
        <f t="shared" si="19"/>
        <v>108.25587760652975</v>
      </c>
      <c r="EN23" s="62">
        <f t="shared" si="20"/>
        <v>401.58921093986305</v>
      </c>
      <c r="EO23" s="62">
        <f ca="1">AVERAGE(OFFSET($EN$3,0,0,'Données projet'!$E$15+1,1))-AVERAGE(OFFSET($H$3,0,0,'Données projet'!$E$15+1,1))</f>
        <v>394.11074988418096</v>
      </c>
      <c r="EP23" s="62">
        <f t="shared" si="46"/>
        <v>241.85593029696236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32.428571428571431</v>
      </c>
      <c r="N24" s="14">
        <f>IF('Données projet'!$A$36&gt;35,N23+M24-V23,IF(A24&lt;'Données projet'!$A$36,$K$205^A24,IF(A24='Données projet'!$A$36,'Données projet'!$B$36,N23+M24-V23)))</f>
        <v>289.57142857142867</v>
      </c>
      <c r="O24" s="14">
        <f>N24*VLOOKUP('Données projet'!$B$9,Paramètres!$A$1:$I$89,3,0)*VLOOKUP('Données projet'!$B$9,Paramètres!$A$1:$I$89,5,0)</f>
        <v>161.87042857142862</v>
      </c>
      <c r="P24" s="14">
        <f t="shared" si="33"/>
        <v>41.264109998909952</v>
      </c>
      <c r="Q24" s="22">
        <f t="shared" si="2"/>
        <v>353.79265467667301</v>
      </c>
      <c r="R24" s="62">
        <f t="shared" si="0"/>
        <v>647.12598801000627</v>
      </c>
      <c r="S24" s="62">
        <f ca="1">AVERAGE(OFFSET($R$3,0,0,'Données projet'!$E$9+1,1))-AVERAGE(OFFSET($H$3,0,0,'Données projet'!$E$9+1,1))</f>
        <v>539.2446452106276</v>
      </c>
      <c r="T24" s="62">
        <f t="shared" si="34"/>
        <v>596.73830276071465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3.1145561363575887</v>
      </c>
      <c r="AA24" s="23">
        <f>EXP(-LN(2)/25)*AA23+(1-EXP(-LN(2)/25))/(LN(2)/25)*Calculateur!V24*Calculateur!X24*VLOOKUP('Données projet'!$B$9,Paramètres!$A$1:$I$89,3,0)*0.475*44/12</f>
        <v>7.4717073024838845</v>
      </c>
      <c r="AB24" s="23">
        <f>EXP(-LN(2)/2)*AB23+(1-EXP(-LN(2)/2))/(LN(2)/2)*V24*Y24*VLOOKUP('Données projet'!$B$9,Paramètres!$A$1:$I$89,3,0)*0.475*44/12</f>
        <v>1.2124332646765676</v>
      </c>
      <c r="AC24" s="24">
        <f t="shared" si="3"/>
        <v>11.798696703518042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18.399999999999999</v>
      </c>
      <c r="AI24" s="14">
        <f>IF('Données projet'!$A$62&gt;35,AI23+AH24-AQ23,IF(A24&lt;'Données projet'!$A$62,$AF$205^A24,IF(A24='Données projet'!$A$62,'Données projet'!$B$62,AI23+AH24-AQ23)))</f>
        <v>160.40000000000003</v>
      </c>
      <c r="AJ24" s="14">
        <f>AI24*VLOOKUP('Données projet'!$B$10,Paramètres!$A$1:$I$89,3,0)*VLOOKUP('Données projet'!$B$10,Paramètres!$A$1:$I$89,5,0)</f>
        <v>87.578400000000016</v>
      </c>
      <c r="AK24" s="14">
        <f t="shared" si="35"/>
        <v>23.980269520990817</v>
      </c>
      <c r="AL24" s="22">
        <f t="shared" si="4"/>
        <v>194.29801608239234</v>
      </c>
      <c r="AM24" s="62">
        <f t="shared" si="5"/>
        <v>487.63134941572565</v>
      </c>
      <c r="AN24" s="62">
        <f ca="1">AVERAGE(OFFSET($AM$3,0,0,'Données projet'!$E$10+1,1))-AVERAGE(OFFSET($H$3,0,0,'Données projet'!$E$10+1,1))</f>
        <v>262.6671000229498</v>
      </c>
      <c r="AO24" s="62">
        <f t="shared" si="36"/>
        <v>289.30432245776024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4.0049698048778737</v>
      </c>
      <c r="AV24" s="23">
        <f>EXP(-LN(2)/25)*AV23+(1-EXP(-LN(2)/25))/(LN(2)/25)*Calculateur!AQ24*Calculateur!AS24*VLOOKUP('Données projet'!$B$10,Paramètres!$A$1:$I$89,3,0)*0.475*44/12</f>
        <v>18.187316656193072</v>
      </c>
      <c r="AW24" s="23">
        <f>EXP(-LN(2)/2)*AW23+(1-EXP(-LN(2)/2))/(LN(2)/2)*AQ24*AT24*VLOOKUP('Données projet'!$B$10,Paramètres!$A$1:$I$89,3,0)*0.475*44/12</f>
        <v>8.5869319462511484</v>
      </c>
      <c r="AX24" s="23">
        <f t="shared" si="6"/>
        <v>30.779218407322094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10.199999999999999</v>
      </c>
      <c r="CT24" s="13">
        <f>IF('Données projet'!$A$140&gt;35,CT23+CS24-DB23,IF(A24&lt;'Données projet'!$A$140,$CQ$205^A24,IF(A24='Données projet'!$A$140,'Données projet'!$B$140,CT23+CS24-DB23)))</f>
        <v>85.199999999999989</v>
      </c>
      <c r="CU24" s="18">
        <f>CT24*VLOOKUP('Données projet'!$B$13,Paramètres!$A$1:$I$89,3,0)*VLOOKUP('Données projet'!$B$13,Paramètres!$A$1:$I$89,5,0)</f>
        <v>74.430719999999994</v>
      </c>
      <c r="CV24" s="14">
        <f t="shared" si="41"/>
        <v>20.76980057385482</v>
      </c>
      <c r="CW24" s="22">
        <f t="shared" si="13"/>
        <v>165.80757333279712</v>
      </c>
      <c r="CX24" s="62">
        <f t="shared" si="14"/>
        <v>459.14090666613043</v>
      </c>
      <c r="CY24" s="62">
        <f ca="1">AVERAGE(OFFSET($CX$3,0,0,'Données projet'!$E$13+1,1))-AVERAGE(OFFSET($H$3,0,0,'Données projet'!$E$13+1,1))</f>
        <v>268.27008134105046</v>
      </c>
      <c r="CZ24" s="62">
        <f t="shared" si="42"/>
        <v>252.36274686619709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14.8</v>
      </c>
      <c r="DO24" s="13">
        <f>IF('Données projet'!$A$166&gt;35,DO23+DN24-DW23,IF(A24&lt;'Données projet'!$A$166,$DL$205^A24,IF(A24='Données projet'!$A$166,'Données projet'!$B$166,DO23+DN24-DW23)))</f>
        <v>81.799999999999983</v>
      </c>
      <c r="DP24" s="18">
        <f>DO24*VLOOKUP('Données projet'!$B$14,Paramètres!$A$1:$I$89,3,0)*VLOOKUP('Données projet'!$B$14,Paramètres!$A$1:$I$89,5,0)</f>
        <v>65.080079999999981</v>
      </c>
      <c r="DQ24" s="14">
        <f t="shared" si="43"/>
        <v>18.44653442602603</v>
      </c>
      <c r="DR24" s="22">
        <f t="shared" si="16"/>
        <v>145.47552012532864</v>
      </c>
      <c r="DS24" s="62">
        <f t="shared" si="17"/>
        <v>438.80885345866193</v>
      </c>
      <c r="DT24" s="62">
        <f ca="1">AVERAGE(OFFSET($DS$3,0,0,'Données projet'!$E$14+1,1))-AVERAGE(OFFSET($H$3,0,0,'Données projet'!$E$14+1,1))</f>
        <v>279.49721661620544</v>
      </c>
      <c r="DU24" s="62">
        <f t="shared" si="44"/>
        <v>275.18739333988754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11</v>
      </c>
      <c r="EJ24" s="13">
        <f>IF('Données projet'!$A$192&gt;35,EJ23+EI24-ER23,IF(A24&lt;'Données projet'!$A$192,$EG$205^A24,IF(A24='Données projet'!$A$192,'Données projet'!$B$192,EJ23+EI24-ER23)))</f>
        <v>67</v>
      </c>
      <c r="EK24" s="18">
        <f>EJ24*VLOOKUP('Données projet'!$B$15,Paramètres!$A$1:$I$89,3,0)*VLOOKUP('Données projet'!$B$15,Paramètres!$A$1:$I$89,5,0)</f>
        <v>57.486000000000004</v>
      </c>
      <c r="EL24" s="14">
        <f t="shared" si="45"/>
        <v>16.531076211754396</v>
      </c>
      <c r="EM24" s="22">
        <f t="shared" si="19"/>
        <v>128.9130744021389</v>
      </c>
      <c r="EN24" s="62">
        <f t="shared" si="20"/>
        <v>422.24640773547219</v>
      </c>
      <c r="EO24" s="62">
        <f ca="1">AVERAGE(OFFSET($EN$3,0,0,'Données projet'!$E$15+1,1))-AVERAGE(OFFSET($H$3,0,0,'Données projet'!$E$15+1,1))</f>
        <v>394.11074988418096</v>
      </c>
      <c r="EP24" s="62">
        <f t="shared" si="46"/>
        <v>241.85593029696236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322</v>
      </c>
      <c r="L25" s="13">
        <f>VLOOKUP(A25,'Données projet'!$A$35:$I$55,9,0)</f>
        <v>32.428571428571431</v>
      </c>
      <c r="M25" s="13">
        <f t="array" ref="M25">INDEX(L:L,MIN(IF(ISNUMBER(L25:L221),ROW(L25:L221),"")))</f>
        <v>32.428571428571431</v>
      </c>
      <c r="N25" s="14">
        <f>IF('Données projet'!$A$36&gt;35,N24+M25-V24,IF(A25&lt;'Données projet'!$A$36,$K$205^A25,IF(A25='Données projet'!$A$36,'Données projet'!$B$36,N24+M25-V24)))</f>
        <v>322.00000000000011</v>
      </c>
      <c r="O25" s="14">
        <f>N25*VLOOKUP('Données projet'!$B$9,Paramètres!$A$1:$I$89,3,0)*VLOOKUP('Données projet'!$B$9,Paramètres!$A$1:$I$89,5,0)</f>
        <v>179.99800000000005</v>
      </c>
      <c r="P25" s="14">
        <f t="shared" si="33"/>
        <v>45.321741203124091</v>
      </c>
      <c r="Q25" s="22">
        <f t="shared" si="2"/>
        <v>392.43188259544121</v>
      </c>
      <c r="R25" s="62">
        <f t="shared" si="0"/>
        <v>685.76521592877452</v>
      </c>
      <c r="S25" s="62">
        <f ca="1">AVERAGE(OFFSET($R$3,0,0,'Données projet'!$E$9+1,1))-AVERAGE(OFFSET($H$3,0,0,'Données projet'!$E$9+1,1))</f>
        <v>539.2446452106276</v>
      </c>
      <c r="T25" s="62">
        <f t="shared" si="34"/>
        <v>596.73830276071465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76</v>
      </c>
      <c r="W25" s="17">
        <f>IF(ISNA(VLOOKUP(A25,'Données projet'!$A$35:$I$55,5,0)),0%,VLOOKUP(A25,'Données projet'!$A$35:$I$55,5,0)*VLOOKUP('Données projet'!$B$9,Paramètres!$A$1:$I$89,7,0))</f>
        <v>0.16500000000000001</v>
      </c>
      <c r="X25" s="17">
        <f>IF(ISNA(VLOOKUP(A25,'Données projet'!$A$35:$I$55,6,0)),0%,VLOOKUP(A25,'Données projet'!$A$35:$I$55,6,0)*VLOOKUP('Données projet'!$B$9,Paramètres!$A$1:$I$89,7,0))</f>
        <v>0.21450000000000002</v>
      </c>
      <c r="Y25" s="17">
        <f>IF(ISNA(VLOOKUP(A25,'Données projet'!$A$35:$I$55,7,0)),0%,VLOOKUP(A25,'Données projet'!$A$35:$I$55,7,0))</f>
        <v>0.31</v>
      </c>
      <c r="Z25" s="23">
        <f>EXP(-LN(2)/35)*Z24+(1-EXP(-LN(2)/35))/(LN(2)/35)*V25*W25*VLOOKUP('Données projet'!$B$9,Paramètres!$A$1:$I$89,3,0)*0.475*44/12</f>
        <v>12.352512703822695</v>
      </c>
      <c r="AA25" s="23">
        <f>EXP(-LN(2)/25)*AA24+(1-EXP(-LN(2)/25))/(LN(2)/25)*Calculateur!V25*Calculateur!X25*VLOOKUP('Données projet'!$B$9,Paramètres!$A$1:$I$89,3,0)*0.475*44/12</f>
        <v>19.308535543753312</v>
      </c>
      <c r="AB25" s="23">
        <f>EXP(-LN(2)/2)*AB24+(1-EXP(-LN(2)/2))/(LN(2)/2)*V25*Y25*VLOOKUP('Données projet'!$B$9,Paramètres!$A$1:$I$89,3,0)*0.475*44/12</f>
        <v>15.768864430904403</v>
      </c>
      <c r="AC25" s="24">
        <f t="shared" si="3"/>
        <v>47.429912678480406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18.399999999999999</v>
      </c>
      <c r="AI25" s="14">
        <f>IF('Données projet'!$A$62&gt;35,AI24+AH25-AQ24,IF(A25&lt;'Données projet'!$A$62,$AF$205^A25,IF(A25='Données projet'!$A$62,'Données projet'!$B$62,AI24+AH25-AQ24)))</f>
        <v>178.80000000000004</v>
      </c>
      <c r="AJ25" s="14">
        <f>AI25*VLOOKUP('Données projet'!$B$10,Paramètres!$A$1:$I$89,3,0)*VLOOKUP('Données projet'!$B$10,Paramètres!$A$1:$I$89,5,0)</f>
        <v>97.624800000000022</v>
      </c>
      <c r="AK25" s="14">
        <f t="shared" si="35"/>
        <v>26.395349675372152</v>
      </c>
      <c r="AL25" s="22">
        <f t="shared" si="4"/>
        <v>216.00176068460652</v>
      </c>
      <c r="AM25" s="62">
        <f t="shared" si="5"/>
        <v>509.33509401793981</v>
      </c>
      <c r="AN25" s="62">
        <f ca="1">AVERAGE(OFFSET($AM$3,0,0,'Données projet'!$E$10+1,1))-AVERAGE(OFFSET($H$3,0,0,'Données projet'!$E$10+1,1))</f>
        <v>262.6671000229498</v>
      </c>
      <c r="AO25" s="62">
        <f t="shared" si="36"/>
        <v>289.30432245776024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3.9264347897945941</v>
      </c>
      <c r="AV25" s="23">
        <f>EXP(-LN(2)/25)*AV24+(1-EXP(-LN(2)/25))/(LN(2)/25)*Calculateur!AQ25*Calculateur!AS25*VLOOKUP('Données projet'!$B$10,Paramètres!$A$1:$I$89,3,0)*0.475*44/12</f>
        <v>17.689983525800059</v>
      </c>
      <c r="AW25" s="23">
        <f>EXP(-LN(2)/2)*AW24+(1-EXP(-LN(2)/2))/(LN(2)/2)*AQ25*AT25*VLOOKUP('Données projet'!$B$10,Paramètres!$A$1:$I$89,3,0)*0.475*44/12</f>
        <v>6.0718778087815855</v>
      </c>
      <c r="AX25" s="23">
        <f t="shared" si="6"/>
        <v>27.68829612437624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10.199999999999999</v>
      </c>
      <c r="CT25" s="13">
        <f>IF('Données projet'!$A$140&gt;35,CT24+CS25-DB24,IF(A25&lt;'Données projet'!$A$140,$CQ$205^A25,IF(A25='Données projet'!$A$140,'Données projet'!$B$140,CT24+CS25-DB24)))</f>
        <v>95.399999999999991</v>
      </c>
      <c r="CU25" s="18">
        <f>CT25*VLOOKUP('Données projet'!$B$13,Paramètres!$A$1:$I$89,3,0)*VLOOKUP('Données projet'!$B$13,Paramètres!$A$1:$I$89,5,0)</f>
        <v>83.341440000000006</v>
      </c>
      <c r="CV25" s="14">
        <f t="shared" si="41"/>
        <v>22.952227742446681</v>
      </c>
      <c r="CW25" s="22">
        <f t="shared" si="13"/>
        <v>185.12813798476131</v>
      </c>
      <c r="CX25" s="62">
        <f t="shared" si="14"/>
        <v>478.4614713180946</v>
      </c>
      <c r="CY25" s="62">
        <f ca="1">AVERAGE(OFFSET($CX$3,0,0,'Données projet'!$E$13+1,1))-AVERAGE(OFFSET($H$3,0,0,'Données projet'!$E$13+1,1))</f>
        <v>268.27008134105046</v>
      </c>
      <c r="CZ25" s="62">
        <f t="shared" si="42"/>
        <v>252.36274686619709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14.8</v>
      </c>
      <c r="DO25" s="13">
        <f>IF('Données projet'!$A$166&gt;35,DO24+DN25-DW24,IF(A25&lt;'Données projet'!$A$166,$DL$205^A25,IF(A25='Données projet'!$A$166,'Données projet'!$B$166,DO24+DN25-DW24)))</f>
        <v>96.59999999999998</v>
      </c>
      <c r="DP25" s="18">
        <f>DO25*VLOOKUP('Données projet'!$B$14,Paramètres!$A$1:$I$89,3,0)*VLOOKUP('Données projet'!$B$14,Paramètres!$A$1:$I$89,5,0)</f>
        <v>76.854959999999991</v>
      </c>
      <c r="DQ25" s="14">
        <f t="shared" si="43"/>
        <v>21.366419773799993</v>
      </c>
      <c r="DR25" s="22">
        <f t="shared" si="16"/>
        <v>171.06890310603498</v>
      </c>
      <c r="DS25" s="62">
        <f t="shared" si="17"/>
        <v>464.40223643936827</v>
      </c>
      <c r="DT25" s="62">
        <f ca="1">AVERAGE(OFFSET($DS$3,0,0,'Données projet'!$E$14+1,1))-AVERAGE(OFFSET($H$3,0,0,'Données projet'!$E$14+1,1))</f>
        <v>279.49721661620544</v>
      </c>
      <c r="DU25" s="62">
        <f t="shared" si="44"/>
        <v>275.18739333988754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11</v>
      </c>
      <c r="EJ25" s="13">
        <f>IF('Données projet'!$A$192&gt;35,EJ24+EI25-ER24,IF(A25&lt;'Données projet'!$A$192,$EG$205^A25,IF(A25='Données projet'!$A$192,'Données projet'!$B$192,EJ24+EI25-ER24)))</f>
        <v>78</v>
      </c>
      <c r="EK25" s="18">
        <f>EJ25*VLOOKUP('Données projet'!$B$15,Paramètres!$A$1:$I$89,3,0)*VLOOKUP('Données projet'!$B$15,Paramètres!$A$1:$I$89,5,0)</f>
        <v>66.924000000000007</v>
      </c>
      <c r="EL25" s="14">
        <f t="shared" si="45"/>
        <v>18.90759204786767</v>
      </c>
      <c r="EM25" s="22">
        <f t="shared" si="19"/>
        <v>149.49002281670286</v>
      </c>
      <c r="EN25" s="62">
        <f t="shared" si="20"/>
        <v>442.82335615003615</v>
      </c>
      <c r="EO25" s="62">
        <f ca="1">AVERAGE(OFFSET($EN$3,0,0,'Données projet'!$E$15+1,1))-AVERAGE(OFFSET($H$3,0,0,'Données projet'!$E$15+1,1))</f>
        <v>394.11074988418096</v>
      </c>
      <c r="EP25" s="62">
        <f t="shared" si="46"/>
        <v>241.85593029696236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34.625</v>
      </c>
      <c r="N26" s="14">
        <f>IF('Données projet'!$A$36&gt;35,N25+M26-V25,IF(A26&lt;'Données projet'!$A$36,$K$205^A26,IF(A26='Données projet'!$A$36,'Données projet'!$B$36,N25+M26-V25)))</f>
        <v>280.62500000000011</v>
      </c>
      <c r="O26" s="14">
        <f>N26*VLOOKUP('Données projet'!$B$9,Paramètres!$A$1:$I$89,3,0)*VLOOKUP('Données projet'!$B$9,Paramètres!$A$1:$I$89,5,0)</f>
        <v>156.86937500000008</v>
      </c>
      <c r="P26" s="14">
        <f t="shared" si="33"/>
        <v>40.135584177011296</v>
      </c>
      <c r="Q26" s="22">
        <f t="shared" si="2"/>
        <v>343.11697056662803</v>
      </c>
      <c r="R26" s="62">
        <f t="shared" si="0"/>
        <v>636.45030389996134</v>
      </c>
      <c r="S26" s="62">
        <f ca="1">AVERAGE(OFFSET($R$3,0,0,'Données projet'!$E$9+1,1))-AVERAGE(OFFSET($H$3,0,0,'Données projet'!$E$9+1,1))</f>
        <v>539.2446452106276</v>
      </c>
      <c r="T26" s="62">
        <f t="shared" si="34"/>
        <v>596.73830276071465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12.110287463989533</v>
      </c>
      <c r="AA26" s="23">
        <f>EXP(-LN(2)/25)*AA25+(1-EXP(-LN(2)/25))/(LN(2)/25)*Calculateur!V26*Calculateur!X26*VLOOKUP('Données projet'!$B$9,Paramètres!$A$1:$I$89,3,0)*0.475*44/12</f>
        <v>18.780542623917622</v>
      </c>
      <c r="AB26" s="23">
        <f>EXP(-LN(2)/2)*AB25+(1-EXP(-LN(2)/2))/(LN(2)/2)*V26*Y26*VLOOKUP('Données projet'!$B$9,Paramètres!$A$1:$I$89,3,0)*0.475*44/12</f>
        <v>11.150270970703852</v>
      </c>
      <c r="AC26" s="24">
        <f t="shared" si="3"/>
        <v>42.041101058611005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18.399999999999999</v>
      </c>
      <c r="AI26" s="14">
        <f>IF('Données projet'!$A$62&gt;35,AI25+AH26-AQ25,IF(A26&lt;'Données projet'!$A$62,$AF$205^A26,IF(A26='Données projet'!$A$62,'Données projet'!$B$62,AI25+AH26-AQ25)))</f>
        <v>197.20000000000005</v>
      </c>
      <c r="AJ26" s="14">
        <f>AI26*VLOOKUP('Données projet'!$B$10,Paramètres!$A$1:$I$89,3,0)*VLOOKUP('Données projet'!$B$10,Paramètres!$A$1:$I$89,5,0)</f>
        <v>107.67120000000001</v>
      </c>
      <c r="AK26" s="14">
        <f t="shared" si="35"/>
        <v>28.781619683258381</v>
      </c>
      <c r="AL26" s="22">
        <f t="shared" si="4"/>
        <v>237.65532761500836</v>
      </c>
      <c r="AM26" s="62">
        <f t="shared" si="5"/>
        <v>530.9886609483417</v>
      </c>
      <c r="AN26" s="62">
        <f ca="1">AVERAGE(OFFSET($AM$3,0,0,'Données projet'!$E$10+1,1))-AVERAGE(OFFSET($H$3,0,0,'Données projet'!$E$10+1,1))</f>
        <v>262.6671000229498</v>
      </c>
      <c r="AO26" s="62">
        <f t="shared" si="36"/>
        <v>289.30432245776024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3.8494397984554682</v>
      </c>
      <c r="AV26" s="23">
        <f>EXP(-LN(2)/25)*AV25+(1-EXP(-LN(2)/25))/(LN(2)/25)*Calculateur!AQ26*Calculateur!AS26*VLOOKUP('Données projet'!$B$10,Paramètres!$A$1:$I$89,3,0)*0.475*44/12</f>
        <v>17.206249996011255</v>
      </c>
      <c r="AW26" s="23">
        <f>EXP(-LN(2)/2)*AW25+(1-EXP(-LN(2)/2))/(LN(2)/2)*AQ26*AT26*VLOOKUP('Données projet'!$B$10,Paramètres!$A$1:$I$89,3,0)*0.475*44/12</f>
        <v>4.2934659731255742</v>
      </c>
      <c r="AX26" s="23">
        <f t="shared" si="6"/>
        <v>25.349155767592297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10.199999999999999</v>
      </c>
      <c r="CT26" s="13">
        <f>IF('Données projet'!$A$140&gt;35,CT25+CS26-DB25,IF(A26&lt;'Données projet'!$A$140,$CQ$205^A26,IF(A26='Données projet'!$A$140,'Données projet'!$B$140,CT25+CS26-DB25)))</f>
        <v>105.6</v>
      </c>
      <c r="CU26" s="18">
        <f>CT26*VLOOKUP('Données projet'!$B$13,Paramètres!$A$1:$I$89,3,0)*VLOOKUP('Données projet'!$B$13,Paramètres!$A$1:$I$89,5,0)</f>
        <v>92.252160000000003</v>
      </c>
      <c r="CV26" s="14">
        <f t="shared" si="41"/>
        <v>25.107607958259987</v>
      </c>
      <c r="CW26" s="22">
        <f t="shared" si="13"/>
        <v>204.40159586063612</v>
      </c>
      <c r="CX26" s="62">
        <f t="shared" si="14"/>
        <v>497.73492919396944</v>
      </c>
      <c r="CY26" s="62">
        <f ca="1">AVERAGE(OFFSET($CX$3,0,0,'Données projet'!$E$13+1,1))-AVERAGE(OFFSET($H$3,0,0,'Données projet'!$E$13+1,1))</f>
        <v>268.27008134105046</v>
      </c>
      <c r="CZ26" s="62">
        <f t="shared" si="42"/>
        <v>252.36274686619709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14.8</v>
      </c>
      <c r="DO26" s="13">
        <f>IF('Données projet'!$A$166&gt;35,DO25+DN26-DW25,IF(A26&lt;'Données projet'!$A$166,$DL$205^A26,IF(A26='Données projet'!$A$166,'Données projet'!$B$166,DO25+DN26-DW25)))</f>
        <v>111.39999999999998</v>
      </c>
      <c r="DP26" s="18">
        <f>DO26*VLOOKUP('Données projet'!$B$14,Paramètres!$A$1:$I$89,3,0)*VLOOKUP('Données projet'!$B$14,Paramètres!$A$1:$I$89,5,0)</f>
        <v>88.629839999999987</v>
      </c>
      <c r="DQ26" s="14">
        <f t="shared" si="43"/>
        <v>24.23448093253452</v>
      </c>
      <c r="DR26" s="22">
        <f t="shared" si="16"/>
        <v>196.57202562416424</v>
      </c>
      <c r="DS26" s="62">
        <f t="shared" si="17"/>
        <v>489.90535895749758</v>
      </c>
      <c r="DT26" s="62">
        <f ca="1">AVERAGE(OFFSET($DS$3,0,0,'Données projet'!$E$14+1,1))-AVERAGE(OFFSET($H$3,0,0,'Données projet'!$E$14+1,1))</f>
        <v>279.49721661620544</v>
      </c>
      <c r="DU26" s="62">
        <f t="shared" si="44"/>
        <v>275.18739333988754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11</v>
      </c>
      <c r="EJ26" s="13">
        <f>IF('Données projet'!$A$192&gt;35,EJ25+EI26-ER25,IF(A26&lt;'Données projet'!$A$192,$EG$205^A26,IF(A26='Données projet'!$A$192,'Données projet'!$B$192,EJ25+EI26-ER25)))</f>
        <v>89</v>
      </c>
      <c r="EK26" s="18">
        <f>EJ26*VLOOKUP('Données projet'!$B$15,Paramètres!$A$1:$I$89,3,0)*VLOOKUP('Données projet'!$B$15,Paramètres!$A$1:$I$89,5,0)</f>
        <v>76.362000000000009</v>
      </c>
      <c r="EL26" s="14">
        <f t="shared" si="45"/>
        <v>21.245279172340783</v>
      </c>
      <c r="EM26" s="22">
        <f t="shared" si="19"/>
        <v>169.99934455849356</v>
      </c>
      <c r="EN26" s="62">
        <f t="shared" si="20"/>
        <v>463.33267789182685</v>
      </c>
      <c r="EO26" s="62">
        <f ca="1">AVERAGE(OFFSET($EN$3,0,0,'Données projet'!$E$15+1,1))-AVERAGE(OFFSET($H$3,0,0,'Données projet'!$E$15+1,1))</f>
        <v>394.11074988418096</v>
      </c>
      <c r="EP26" s="62">
        <f t="shared" si="46"/>
        <v>241.85593029696236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34.625</v>
      </c>
      <c r="N27" s="14">
        <f>IF('Données projet'!$A$36&gt;35,N26+M27-V26,IF(A27&lt;'Données projet'!$A$36,$K$205^A27,IF(A27='Données projet'!$A$36,'Données projet'!$B$36,N26+M27-V26)))</f>
        <v>315.25000000000011</v>
      </c>
      <c r="O27" s="14">
        <f>N27*VLOOKUP('Données projet'!$B$9,Paramètres!$A$1:$I$89,3,0)*VLOOKUP('Données projet'!$B$9,Paramètres!$A$1:$I$89,5,0)</f>
        <v>176.22475000000006</v>
      </c>
      <c r="P27" s="14">
        <f t="shared" si="33"/>
        <v>44.48122923966482</v>
      </c>
      <c r="Q27" s="22">
        <f t="shared" si="2"/>
        <v>384.39624717574969</v>
      </c>
      <c r="R27" s="62">
        <f t="shared" si="0"/>
        <v>677.72958050908301</v>
      </c>
      <c r="S27" s="62">
        <f ca="1">AVERAGE(OFFSET($R$3,0,0,'Données projet'!$E$9+1,1))-AVERAGE(OFFSET($H$3,0,0,'Données projet'!$E$9+1,1))</f>
        <v>539.2446452106276</v>
      </c>
      <c r="T27" s="62">
        <f t="shared" si="34"/>
        <v>596.73830276071465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11.87281211336669</v>
      </c>
      <c r="AA27" s="23">
        <f>EXP(-LN(2)/25)*AA26+(1-EXP(-LN(2)/25))/(LN(2)/25)*Calculateur!V27*Calculateur!X27*VLOOKUP('Données projet'!$B$9,Paramètres!$A$1:$I$89,3,0)*0.475*44/12</f>
        <v>18.266987698240783</v>
      </c>
      <c r="AB27" s="23">
        <f>EXP(-LN(2)/2)*AB26+(1-EXP(-LN(2)/2))/(LN(2)/2)*V27*Y27*VLOOKUP('Données projet'!$B$9,Paramètres!$A$1:$I$89,3,0)*0.475*44/12</f>
        <v>7.8844322154522022</v>
      </c>
      <c r="AC27" s="24">
        <f t="shared" si="3"/>
        <v>38.024232027059675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18.399999999999999</v>
      </c>
      <c r="AI27" s="14">
        <f>IF('Données projet'!$A$62&gt;35,AI26+AH27-AQ26,IF(A27&lt;'Données projet'!$A$62,$AF$205^A27,IF(A27='Données projet'!$A$62,'Données projet'!$B$62,AI26+AH27-AQ26)))</f>
        <v>215.60000000000005</v>
      </c>
      <c r="AJ27" s="14">
        <f>AI27*VLOOKUP('Données projet'!$B$10,Paramètres!$A$1:$I$89,3,0)*VLOOKUP('Données projet'!$B$10,Paramètres!$A$1:$I$89,5,0)</f>
        <v>117.71760000000003</v>
      </c>
      <c r="AK27" s="14">
        <f t="shared" si="35"/>
        <v>31.14207348933753</v>
      </c>
      <c r="AL27" s="22">
        <f t="shared" si="4"/>
        <v>259.26393132726292</v>
      </c>
      <c r="AM27" s="62">
        <f t="shared" si="5"/>
        <v>552.59726466059624</v>
      </c>
      <c r="AN27" s="62">
        <f ca="1">AVERAGE(OFFSET($AM$3,0,0,'Données projet'!$E$10+1,1))-AVERAGE(OFFSET($H$3,0,0,'Données projet'!$E$10+1,1))</f>
        <v>262.6671000229498</v>
      </c>
      <c r="AO27" s="62">
        <f t="shared" si="36"/>
        <v>289.30432245776024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3.773954631934195</v>
      </c>
      <c r="AV27" s="23">
        <f>EXP(-LN(2)/25)*AV26+(1-EXP(-LN(2)/25))/(LN(2)/25)*Calculateur!AQ27*Calculateur!AS27*VLOOKUP('Données projet'!$B$10,Paramètres!$A$1:$I$89,3,0)*0.475*44/12</f>
        <v>16.735744185032967</v>
      </c>
      <c r="AW27" s="23">
        <f>EXP(-LN(2)/2)*AW26+(1-EXP(-LN(2)/2))/(LN(2)/2)*AQ27*AT27*VLOOKUP('Données projet'!$B$10,Paramètres!$A$1:$I$89,3,0)*0.475*44/12</f>
        <v>3.0359389043907927</v>
      </c>
      <c r="AX27" s="23">
        <f t="shared" si="6"/>
        <v>23.545637721357956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10.199999999999999</v>
      </c>
      <c r="CT27" s="13">
        <f>IF('Données projet'!$A$140&gt;35,CT26+CS27-DB26,IF(A27&lt;'Données projet'!$A$140,$CQ$205^A27,IF(A27='Données projet'!$A$140,'Données projet'!$B$140,CT26+CS27-DB26)))</f>
        <v>115.8</v>
      </c>
      <c r="CU27" s="18">
        <f>CT27*VLOOKUP('Données projet'!$B$13,Paramètres!$A$1:$I$89,3,0)*VLOOKUP('Données projet'!$B$13,Paramètres!$A$1:$I$89,5,0)</f>
        <v>101.16288</v>
      </c>
      <c r="CV27" s="14">
        <f t="shared" si="41"/>
        <v>27.238850979377386</v>
      </c>
      <c r="CW27" s="22">
        <f t="shared" si="13"/>
        <v>223.63301478908227</v>
      </c>
      <c r="CX27" s="62">
        <f t="shared" si="14"/>
        <v>516.96634812241564</v>
      </c>
      <c r="CY27" s="62">
        <f ca="1">AVERAGE(OFFSET($CX$3,0,0,'Données projet'!$E$13+1,1))-AVERAGE(OFFSET($H$3,0,0,'Données projet'!$E$13+1,1))</f>
        <v>268.27008134105046</v>
      </c>
      <c r="CZ27" s="62">
        <f t="shared" si="42"/>
        <v>252.36274686619709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14.8</v>
      </c>
      <c r="DO27" s="13">
        <f>IF('Données projet'!$A$166&gt;35,DO26+DN27-DW26,IF(A27&lt;'Données projet'!$A$166,$DL$205^A27,IF(A27='Données projet'!$A$166,'Données projet'!$B$166,DO26+DN27-DW26)))</f>
        <v>126.19999999999997</v>
      </c>
      <c r="DP27" s="18">
        <f>DO27*VLOOKUP('Données projet'!$B$14,Paramètres!$A$1:$I$89,3,0)*VLOOKUP('Données projet'!$B$14,Paramètres!$A$1:$I$89,5,0)</f>
        <v>100.40472</v>
      </c>
      <c r="DQ27" s="14">
        <f t="shared" si="43"/>
        <v>27.058393830330502</v>
      </c>
      <c r="DR27" s="22">
        <f t="shared" si="16"/>
        <v>221.99825658782561</v>
      </c>
      <c r="DS27" s="62">
        <f t="shared" si="17"/>
        <v>515.33158992115887</v>
      </c>
      <c r="DT27" s="62">
        <f ca="1">AVERAGE(OFFSET($DS$3,0,0,'Données projet'!$E$14+1,1))-AVERAGE(OFFSET($H$3,0,0,'Données projet'!$E$14+1,1))</f>
        <v>279.49721661620544</v>
      </c>
      <c r="DU27" s="62">
        <f t="shared" si="44"/>
        <v>275.18739333988754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11</v>
      </c>
      <c r="EJ27" s="13">
        <f>IF('Données projet'!$A$192&gt;35,EJ26+EI27-ER26,IF(A27&lt;'Données projet'!$A$192,$EG$205^A27,IF(A27='Données projet'!$A$192,'Données projet'!$B$192,EJ26+EI27-ER26)))</f>
        <v>100</v>
      </c>
      <c r="EK27" s="18">
        <f>EJ27*VLOOKUP('Données projet'!$B$15,Paramètres!$A$1:$I$89,3,0)*VLOOKUP('Données projet'!$B$15,Paramètres!$A$1:$I$89,5,0)</f>
        <v>85.800000000000011</v>
      </c>
      <c r="EL27" s="14">
        <f t="shared" si="45"/>
        <v>23.549485995669766</v>
      </c>
      <c r="EM27" s="22">
        <f t="shared" si="19"/>
        <v>190.45035477579154</v>
      </c>
      <c r="EN27" s="62">
        <f t="shared" si="20"/>
        <v>483.78368810912485</v>
      </c>
      <c r="EO27" s="62">
        <f ca="1">AVERAGE(OFFSET($EN$3,0,0,'Données projet'!$E$15+1,1))-AVERAGE(OFFSET($H$3,0,0,'Données projet'!$E$15+1,1))</f>
        <v>394.11074988418096</v>
      </c>
      <c r="EP27" s="62">
        <f t="shared" si="46"/>
        <v>241.85593029696236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34.625</v>
      </c>
      <c r="N28" s="14">
        <f>IF('Données projet'!$A$36&gt;35,N27+M28-V27,IF(A28&lt;'Données projet'!$A$36,$K$205^A28,IF(A28='Données projet'!$A$36,'Données projet'!$B$36,N27+M28-V27)))</f>
        <v>349.87500000000011</v>
      </c>
      <c r="O28" s="14">
        <f>N28*VLOOKUP('Données projet'!$B$9,Paramètres!$A$1:$I$89,3,0)*VLOOKUP('Données projet'!$B$9,Paramètres!$A$1:$I$89,5,0)</f>
        <v>195.58012500000007</v>
      </c>
      <c r="P28" s="14">
        <f t="shared" si="33"/>
        <v>48.771553239833587</v>
      </c>
      <c r="Q28" s="22">
        <f t="shared" si="2"/>
        <v>425.57917293437691</v>
      </c>
      <c r="R28" s="62">
        <f t="shared" si="0"/>
        <v>718.91250626771023</v>
      </c>
      <c r="S28" s="62">
        <f ca="1">AVERAGE(OFFSET($R$3,0,0,'Données projet'!$E$9+1,1))-AVERAGE(OFFSET($H$3,0,0,'Données projet'!$E$9+1,1))</f>
        <v>539.2446452106276</v>
      </c>
      <c r="T28" s="62">
        <f t="shared" si="34"/>
        <v>596.73830276071465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11.639993509523899</v>
      </c>
      <c r="AA28" s="23">
        <f>EXP(-LN(2)/25)*AA27+(1-EXP(-LN(2)/25))/(LN(2)/25)*Calculateur!V28*Calculateur!X28*VLOOKUP('Données projet'!$B$9,Paramètres!$A$1:$I$89,3,0)*0.475*44/12</f>
        <v>17.767475959013254</v>
      </c>
      <c r="AB28" s="23">
        <f>EXP(-LN(2)/2)*AB27+(1-EXP(-LN(2)/2))/(LN(2)/2)*V28*Y28*VLOOKUP('Données projet'!$B$9,Paramètres!$A$1:$I$89,3,0)*0.475*44/12</f>
        <v>5.575135485351927</v>
      </c>
      <c r="AC28" s="24">
        <f t="shared" si="3"/>
        <v>34.98260495388908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234</v>
      </c>
      <c r="AG28" s="13">
        <f>VLOOKUP(A28,'Données projet'!$A$61:$I$81,9,0)</f>
        <v>18.399999999999999</v>
      </c>
      <c r="AH28" s="13">
        <f t="array" ref="AH28">INDEX(AG:AG,MIN(IF(ISNUMBER(AG28:AG224),ROW(AG28:AG224),"")))</f>
        <v>18.399999999999999</v>
      </c>
      <c r="AI28" s="14">
        <f>IF('Données projet'!$A$62&gt;35,AI27+AH28-AQ27,IF(A28&lt;'Données projet'!$A$62,$AF$205^A28,IF(A28='Données projet'!$A$62,'Données projet'!$B$62,AI27+AH28-AQ27)))</f>
        <v>234.00000000000006</v>
      </c>
      <c r="AJ28" s="14">
        <f>AI28*VLOOKUP('Données projet'!$B$10,Paramètres!$A$1:$I$89,3,0)*VLOOKUP('Données projet'!$B$10,Paramètres!$A$1:$I$89,5,0)</f>
        <v>127.76400000000002</v>
      </c>
      <c r="AK28" s="14">
        <f t="shared" si="35"/>
        <v>33.479164830670079</v>
      </c>
      <c r="AL28" s="22">
        <f t="shared" si="4"/>
        <v>280.83184541341706</v>
      </c>
      <c r="AM28" s="62">
        <f t="shared" si="5"/>
        <v>574.16517874675037</v>
      </c>
      <c r="AN28" s="62">
        <f ca="1">AVERAGE(OFFSET($AM$3,0,0,'Données projet'!$E$10+1,1))-AVERAGE(OFFSET($H$3,0,0,'Données projet'!$E$10+1,1))</f>
        <v>262.6671000229498</v>
      </c>
      <c r="AO28" s="62">
        <f t="shared" si="36"/>
        <v>289.30432245776024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49</v>
      </c>
      <c r="AR28" s="17">
        <f>IF(ISNA(VLOOKUP(A28,'Données projet'!$A$61:$I$81,5,0)),0%,VLOOKUP(A28,'Données projet'!$A$61:$I$81,5,0)*VLOOKUP('Données projet'!$B$10,Paramètres!$A$1:$I$89,7,0))</f>
        <v>0.12</v>
      </c>
      <c r="AS28" s="17">
        <f>IF(ISNA(VLOOKUP(A28,'Données projet'!$A$61:$I$81,6,0)),0%,VLOOKUP(A28,'Données projet'!$A$61:$I$81,6,0)*VLOOKUP('Données projet'!$B$10,Paramètres!$A$1:$I$89,7,0))</f>
        <v>0.27</v>
      </c>
      <c r="AT28" s="17">
        <f>IF(ISNA(VLOOKUP(A28,'Données projet'!$A$61:$I$81,7,0)),0%,VLOOKUP(A28,'Données projet'!$A$61:$I$81,7,0))</f>
        <v>0.35</v>
      </c>
      <c r="AU28" s="23">
        <f>EXP(-LN(2)/35)*AU27+(1-EXP(-LN(2)/35))/(LN(2)/35)*AQ28*AR28*VLOOKUP('Données projet'!$B$10,Paramètres!$A$1:$I$89,3,0)*0.475*44/12</f>
        <v>7.9588583363865331</v>
      </c>
      <c r="AV28" s="23">
        <f>EXP(-LN(2)/25)*AV27+(1-EXP(-LN(2)/25))/(LN(2)/25)*Calculateur!AQ28*Calculateur!AS28*VLOOKUP('Données projet'!$B$10,Paramètres!$A$1:$I$89,3,0)*0.475*44/12</f>
        <v>25.822918720412417</v>
      </c>
      <c r="AW28" s="23">
        <f>EXP(-LN(2)/2)*AW27+(1-EXP(-LN(2)/2))/(LN(2)/2)*AQ28*AT28*VLOOKUP('Données projet'!$B$10,Paramètres!$A$1:$I$89,3,0)*0.475*44/12</f>
        <v>12.748842997370858</v>
      </c>
      <c r="AX28" s="23">
        <f t="shared" si="6"/>
        <v>46.530620054169809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126</v>
      </c>
      <c r="CR28" s="13">
        <f>VLOOKUP(A28,'Données projet'!$A$139:$I$159,9,0)</f>
        <v>10.199999999999999</v>
      </c>
      <c r="CS28" s="13">
        <f t="array" ref="CS28">INDEX(CR:CR,MIN(IF(ISNUMBER(CR28:CR224),ROW(CR28:CR224),"")))</f>
        <v>10.199999999999999</v>
      </c>
      <c r="CT28" s="13">
        <f>IF('Données projet'!$A$140&gt;35,CT27+CS28-DB27,IF(A28&lt;'Données projet'!$A$140,$CQ$205^A28,IF(A28='Données projet'!$A$140,'Données projet'!$B$140,CT27+CS28-DB27)))</f>
        <v>126</v>
      </c>
      <c r="CU28" s="18">
        <f>CT28*VLOOKUP('Données projet'!$B$13,Paramètres!$A$1:$I$89,3,0)*VLOOKUP('Données projet'!$B$13,Paramètres!$A$1:$I$89,5,0)</f>
        <v>110.07360000000001</v>
      </c>
      <c r="CV28" s="14">
        <f t="shared" si="41"/>
        <v>29.348324631518828</v>
      </c>
      <c r="CW28" s="22">
        <f t="shared" si="13"/>
        <v>242.8265187332286</v>
      </c>
      <c r="CX28" s="62">
        <f t="shared" si="14"/>
        <v>536.15985206656194</v>
      </c>
      <c r="CY28" s="62">
        <f ca="1">AVERAGE(OFFSET($CX$3,0,0,'Données projet'!$E$13+1,1))-AVERAGE(OFFSET($H$3,0,0,'Données projet'!$E$13+1,1))</f>
        <v>268.27008134105046</v>
      </c>
      <c r="CZ28" s="62">
        <f t="shared" si="42"/>
        <v>252.36274686619709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26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141</v>
      </c>
      <c r="DM28" s="13">
        <f>VLOOKUP(A28,'Données projet'!$A$165:$I$185,9,0)</f>
        <v>14.8</v>
      </c>
      <c r="DN28" s="13">
        <f t="array" ref="DN28">INDEX(DM:DM,MIN(IF(ISNUMBER(DM28:DM224),ROW(DM28:DM224),"")))</f>
        <v>14.8</v>
      </c>
      <c r="DO28" s="13">
        <f>IF('Données projet'!$A$166&gt;35,DO27+DN28-DW27,IF(A28&lt;'Données projet'!$A$166,$DL$205^A28,IF(A28='Données projet'!$A$166,'Données projet'!$B$166,DO27+DN28-DW27)))</f>
        <v>140.99999999999997</v>
      </c>
      <c r="DP28" s="18">
        <f>DO28*VLOOKUP('Données projet'!$B$14,Paramètres!$A$1:$I$89,3,0)*VLOOKUP('Données projet'!$B$14,Paramètres!$A$1:$I$89,5,0)</f>
        <v>112.17959999999998</v>
      </c>
      <c r="DQ28" s="14">
        <f t="shared" si="43"/>
        <v>29.8439274472838</v>
      </c>
      <c r="DR28" s="22">
        <f t="shared" si="16"/>
        <v>247.35764363735257</v>
      </c>
      <c r="DS28" s="62">
        <f t="shared" si="17"/>
        <v>540.69097697068582</v>
      </c>
      <c r="DT28" s="62">
        <f ca="1">AVERAGE(OFFSET($DS$3,0,0,'Données projet'!$E$14+1,1))-AVERAGE(OFFSET($H$3,0,0,'Données projet'!$E$14+1,1))</f>
        <v>279.49721661620544</v>
      </c>
      <c r="DU28" s="62">
        <f t="shared" si="44"/>
        <v>275.18739333988754</v>
      </c>
      <c r="DV28" s="16">
        <f>IF(ISNA(VLOOKUP(A28,'Données projet'!$A$165:$I$185,3,0)),0,VLOOKUP(A28,'Données projet'!$A$165:$I$185,3,0))</f>
        <v>4</v>
      </c>
      <c r="DW28" s="16">
        <f>IF(ISNA(VLOOKUP(A28,'Données projet'!$A$165:$I$185,4,0)),0,VLOOKUP(A28,'Données projet'!$A$165:$I$185,4,0))</f>
        <v>35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111</v>
      </c>
      <c r="EH28" s="13">
        <f>VLOOKUP(A28,'Données projet'!$A$191:$I$211,9,0)</f>
        <v>11</v>
      </c>
      <c r="EI28" s="13">
        <f t="array" ref="EI28">INDEX(EH:EH,MIN(IF(ISNUMBER(EH28:EH224),ROW(EH28:EH224),"")))</f>
        <v>11</v>
      </c>
      <c r="EJ28" s="13">
        <f>IF('Données projet'!$A$192&gt;35,EJ27+EI28-ER27,IF(A28&lt;'Données projet'!$A$192,$EG$205^A28,IF(A28='Données projet'!$A$192,'Données projet'!$B$192,EJ27+EI28-ER27)))</f>
        <v>111</v>
      </c>
      <c r="EK28" s="18">
        <f>EJ28*VLOOKUP('Données projet'!$B$15,Paramètres!$A$1:$I$89,3,0)*VLOOKUP('Données projet'!$B$15,Paramètres!$A$1:$I$89,5,0)</f>
        <v>95.238000000000014</v>
      </c>
      <c r="EL28" s="14">
        <f t="shared" si="45"/>
        <v>25.824315354051141</v>
      </c>
      <c r="EM28" s="22">
        <f t="shared" si="19"/>
        <v>210.85019924163907</v>
      </c>
      <c r="EN28" s="62">
        <f t="shared" si="20"/>
        <v>504.18353257497239</v>
      </c>
      <c r="EO28" s="62">
        <f ca="1">AVERAGE(OFFSET($EN$3,0,0,'Données projet'!$E$15+1,1))-AVERAGE(OFFSET($H$3,0,0,'Données projet'!$E$15+1,1))</f>
        <v>394.11074988418096</v>
      </c>
      <c r="EP28" s="62">
        <f t="shared" si="46"/>
        <v>241.85593029696236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26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34.625</v>
      </c>
      <c r="N29" s="14">
        <f>IF('Données projet'!$A$36&gt;35,N28+M29-V28,IF(A29&lt;'Données projet'!$A$36,$K$205^A29,IF(A29='Données projet'!$A$36,'Données projet'!$B$36,N28+M29-V28)))</f>
        <v>384.50000000000011</v>
      </c>
      <c r="O29" s="14">
        <f>N29*VLOOKUP('Données projet'!$B$9,Paramètres!$A$1:$I$89,3,0)*VLOOKUP('Données projet'!$B$9,Paramètres!$A$1:$I$89,5,0)</f>
        <v>214.93550000000005</v>
      </c>
      <c r="P29" s="14">
        <f t="shared" si="33"/>
        <v>53.012654111958383</v>
      </c>
      <c r="Q29" s="22">
        <f t="shared" si="2"/>
        <v>466.67636841166092</v>
      </c>
      <c r="R29" s="62">
        <f t="shared" si="0"/>
        <v>760.00970174499423</v>
      </c>
      <c r="S29" s="62">
        <f ca="1">AVERAGE(OFFSET($R$3,0,0,'Données projet'!$E$9+1,1))-AVERAGE(OFFSET($H$3,0,0,'Données projet'!$E$9+1,1))</f>
        <v>539.2446452106276</v>
      </c>
      <c r="T29" s="62">
        <f t="shared" si="34"/>
        <v>596.73830276071465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11.411740336497139</v>
      </c>
      <c r="AA29" s="23">
        <f>EXP(-LN(2)/25)*AA28+(1-EXP(-LN(2)/25))/(LN(2)/25)*Calculateur!V29*Calculateur!X29*VLOOKUP('Données projet'!$B$9,Paramètres!$A$1:$I$89,3,0)*0.475*44/12</f>
        <v>17.281623394563084</v>
      </c>
      <c r="AB29" s="23">
        <f>EXP(-LN(2)/2)*AB28+(1-EXP(-LN(2)/2))/(LN(2)/2)*V29*Y29*VLOOKUP('Données projet'!$B$9,Paramètres!$A$1:$I$89,3,0)*0.475*44/12</f>
        <v>3.942216107726102</v>
      </c>
      <c r="AC29" s="24">
        <f t="shared" si="3"/>
        <v>32.635579838786327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17</v>
      </c>
      <c r="AI29" s="14">
        <f>IF('Données projet'!$A$62&gt;35,AI28+AH29-AQ28,IF(A29&lt;'Données projet'!$A$62,$AF$205^A29,IF(A29='Données projet'!$A$62,'Données projet'!$B$62,AI28+AH29-AQ28)))</f>
        <v>202.00000000000006</v>
      </c>
      <c r="AJ29" s="14">
        <f>AI29*VLOOKUP('Données projet'!$B$10,Paramètres!$A$1:$I$89,3,0)*VLOOKUP('Données projet'!$B$10,Paramètres!$A$1:$I$89,5,0)</f>
        <v>110.29200000000003</v>
      </c>
      <c r="AK29" s="14">
        <f t="shared" si="35"/>
        <v>29.39977143172484</v>
      </c>
      <c r="AL29" s="22">
        <f t="shared" si="4"/>
        <v>243.29650191025416</v>
      </c>
      <c r="AM29" s="62">
        <f t="shared" si="5"/>
        <v>536.62983524358742</v>
      </c>
      <c r="AN29" s="62">
        <f ca="1">AVERAGE(OFFSET($AM$3,0,0,'Données projet'!$E$10+1,1))-AVERAGE(OFFSET($H$3,0,0,'Données projet'!$E$10+1,1))</f>
        <v>262.6671000229498</v>
      </c>
      <c r="AO29" s="62">
        <f t="shared" si="36"/>
        <v>289.30432245776024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7.8027899788342436</v>
      </c>
      <c r="AV29" s="23">
        <f>EXP(-LN(2)/25)*AV28+(1-EXP(-LN(2)/25))/(LN(2)/25)*Calculateur!AQ29*Calculateur!AS29*VLOOKUP('Données projet'!$B$10,Paramètres!$A$1:$I$89,3,0)*0.475*44/12</f>
        <v>25.116789650034463</v>
      </c>
      <c r="AW29" s="23">
        <f>EXP(-LN(2)/2)*AW28+(1-EXP(-LN(2)/2))/(LN(2)/2)*AQ29*AT29*VLOOKUP('Données projet'!$B$10,Paramètres!$A$1:$I$89,3,0)*0.475*44/12</f>
        <v>9.0147933357235637</v>
      </c>
      <c r="AX29" s="23">
        <f t="shared" si="6"/>
        <v>41.934372964592271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9.8000000000000007</v>
      </c>
      <c r="CT29" s="13">
        <f>IF('Données projet'!$A$140&gt;35,CT28+CS29-DB28,IF(A29&lt;'Données projet'!$A$140,$CQ$205^A29,IF(A29='Données projet'!$A$140,'Données projet'!$B$140,CT28+CS29-DB28)))</f>
        <v>109.80000000000001</v>
      </c>
      <c r="CU29" s="18">
        <f>CT29*VLOOKUP('Données projet'!$B$13,Paramètres!$A$1:$I$89,3,0)*VLOOKUP('Données projet'!$B$13,Paramètres!$A$1:$I$89,5,0)</f>
        <v>95.921280000000024</v>
      </c>
      <c r="CV29" s="14">
        <f t="shared" si="41"/>
        <v>25.98795633328076</v>
      </c>
      <c r="CW29" s="22">
        <f t="shared" si="13"/>
        <v>212.32525328046404</v>
      </c>
      <c r="CX29" s="62">
        <f t="shared" si="14"/>
        <v>505.65858661379735</v>
      </c>
      <c r="CY29" s="62">
        <f ca="1">AVERAGE(OFFSET($CX$3,0,0,'Données projet'!$E$13+1,1))-AVERAGE(OFFSET($H$3,0,0,'Données projet'!$E$13+1,1))</f>
        <v>268.27008134105046</v>
      </c>
      <c r="CZ29" s="62">
        <f t="shared" si="42"/>
        <v>252.36274686619709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14.2</v>
      </c>
      <c r="DO29" s="13">
        <f>IF('Données projet'!$A$166&gt;35,DO28+DN29-DW28,IF(A29&lt;'Données projet'!$A$166,$DL$205^A29,IF(A29='Données projet'!$A$166,'Données projet'!$B$166,DO28+DN29-DW28)))</f>
        <v>120.19999999999996</v>
      </c>
      <c r="DP29" s="18">
        <f>DO29*VLOOKUP('Données projet'!$B$14,Paramètres!$A$1:$I$89,3,0)*VLOOKUP('Données projet'!$B$14,Paramètres!$A$1:$I$89,5,0)</f>
        <v>95.631119999999967</v>
      </c>
      <c r="DQ29" s="14">
        <f t="shared" si="43"/>
        <v>25.918481589892234</v>
      </c>
      <c r="DR29" s="22">
        <f t="shared" si="16"/>
        <v>211.69888943572892</v>
      </c>
      <c r="DS29" s="62">
        <f t="shared" si="17"/>
        <v>505.03222276906223</v>
      </c>
      <c r="DT29" s="62">
        <f ca="1">AVERAGE(OFFSET($DS$3,0,0,'Données projet'!$E$14+1,1))-AVERAGE(OFFSET($H$3,0,0,'Données projet'!$E$14+1,1))</f>
        <v>279.49721661620544</v>
      </c>
      <c r="DU29" s="62">
        <f t="shared" si="44"/>
        <v>275.18739333988754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12.2</v>
      </c>
      <c r="EJ29" s="13">
        <f>IF('Données projet'!$A$192&gt;35,EJ28+EI29-ER28,IF(A29&lt;'Données projet'!$A$192,$EG$205^A29,IF(A29='Données projet'!$A$192,'Données projet'!$B$192,EJ28+EI29-ER28)))</f>
        <v>97.2</v>
      </c>
      <c r="EK29" s="18">
        <f>EJ29*VLOOKUP('Données projet'!$B$15,Paramètres!$A$1:$I$89,3,0)*VLOOKUP('Données projet'!$B$15,Paramètres!$A$1:$I$89,5,0)</f>
        <v>83.397600000000011</v>
      </c>
      <c r="EL29" s="14">
        <f t="shared" si="45"/>
        <v>22.965893371329315</v>
      </c>
      <c r="EM29" s="22">
        <f t="shared" si="19"/>
        <v>185.24975095506522</v>
      </c>
      <c r="EN29" s="62">
        <f t="shared" si="20"/>
        <v>478.58308428839854</v>
      </c>
      <c r="EO29" s="62">
        <f ca="1">AVERAGE(OFFSET($EN$3,0,0,'Données projet'!$E$15+1,1))-AVERAGE(OFFSET($H$3,0,0,'Données projet'!$E$15+1,1))</f>
        <v>394.11074988418096</v>
      </c>
      <c r="EP29" s="62">
        <f t="shared" si="46"/>
        <v>241.85593029696236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34.625</v>
      </c>
      <c r="N30" s="14">
        <f>IF('Données projet'!$A$36&gt;35,N29+M30-V29,IF(A30&lt;'Données projet'!$A$36,$K$205^A30,IF(A30='Données projet'!$A$36,'Données projet'!$B$36,N29+M30-V29)))</f>
        <v>419.12500000000011</v>
      </c>
      <c r="O30" s="14">
        <f>N30*VLOOKUP('Données projet'!$B$9,Paramètres!$A$1:$I$89,3,0)*VLOOKUP('Données projet'!$B$9,Paramètres!$A$1:$I$89,5,0)</f>
        <v>234.29087500000009</v>
      </c>
      <c r="P30" s="14">
        <f t="shared" si="33"/>
        <v>57.209468581069366</v>
      </c>
      <c r="Q30" s="22">
        <f t="shared" si="2"/>
        <v>507.69643173702929</v>
      </c>
      <c r="R30" s="62">
        <f t="shared" si="0"/>
        <v>801.0297650703626</v>
      </c>
      <c r="S30" s="62">
        <f ca="1">AVERAGE(OFFSET($R$3,0,0,'Données projet'!$E$9+1,1))-AVERAGE(OFFSET($H$3,0,0,'Données projet'!$E$9+1,1))</f>
        <v>539.2446452106276</v>
      </c>
      <c r="T30" s="62">
        <f t="shared" si="34"/>
        <v>596.73830276071465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11.187963068972746</v>
      </c>
      <c r="AA30" s="23">
        <f>EXP(-LN(2)/25)*AA29+(1-EXP(-LN(2)/25))/(LN(2)/25)*Calculateur!V30*Calculateur!X30*VLOOKUP('Données projet'!$B$9,Paramètres!$A$1:$I$89,3,0)*0.475*44/12</f>
        <v>16.80905649403768</v>
      </c>
      <c r="AB30" s="23">
        <f>EXP(-LN(2)/2)*AB29+(1-EXP(-LN(2)/2))/(LN(2)/2)*V30*Y30*VLOOKUP('Données projet'!$B$9,Paramètres!$A$1:$I$89,3,0)*0.475*44/12</f>
        <v>2.787567742675964</v>
      </c>
      <c r="AC30" s="24">
        <f t="shared" si="3"/>
        <v>30.78458730568639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17</v>
      </c>
      <c r="AI30" s="14">
        <f>IF('Données projet'!$A$62&gt;35,AI29+AH30-AQ29,IF(A30&lt;'Données projet'!$A$62,$AF$205^A30,IF(A30='Données projet'!$A$62,'Données projet'!$B$62,AI29+AH30-AQ29)))</f>
        <v>219.00000000000006</v>
      </c>
      <c r="AJ30" s="14">
        <f>AI30*VLOOKUP('Données projet'!$B$10,Paramètres!$A$1:$I$89,3,0)*VLOOKUP('Données projet'!$B$10,Paramètres!$A$1:$I$89,5,0)</f>
        <v>119.57400000000003</v>
      </c>
      <c r="AK30" s="14">
        <f t="shared" si="35"/>
        <v>31.5756212344129</v>
      </c>
      <c r="AL30" s="22">
        <f t="shared" si="4"/>
        <v>263.25225698326915</v>
      </c>
      <c r="AM30" s="62">
        <f t="shared" si="5"/>
        <v>556.58559031660252</v>
      </c>
      <c r="AN30" s="62">
        <f ca="1">AVERAGE(OFFSET($AM$3,0,0,'Données projet'!$E$10+1,1))-AVERAGE(OFFSET($H$3,0,0,'Données projet'!$E$10+1,1))</f>
        <v>262.6671000229498</v>
      </c>
      <c r="AO30" s="62">
        <f t="shared" si="36"/>
        <v>289.30432245776024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7.6497820265812564</v>
      </c>
      <c r="AV30" s="23">
        <f>EXP(-LN(2)/25)*AV29+(1-EXP(-LN(2)/25))/(LN(2)/25)*Calculateur!AQ30*Calculateur!AS30*VLOOKUP('Données projet'!$B$10,Paramètres!$A$1:$I$89,3,0)*0.475*44/12</f>
        <v>24.429969716219709</v>
      </c>
      <c r="AW30" s="23">
        <f>EXP(-LN(2)/2)*AW29+(1-EXP(-LN(2)/2))/(LN(2)/2)*AQ30*AT30*VLOOKUP('Données projet'!$B$10,Paramètres!$A$1:$I$89,3,0)*0.475*44/12</f>
        <v>6.3744214986854288</v>
      </c>
      <c r="AX30" s="23">
        <f t="shared" si="6"/>
        <v>38.454173241486394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9.8000000000000007</v>
      </c>
      <c r="CT30" s="13">
        <f>IF('Données projet'!$A$140&gt;35,CT29+CS30-DB29,IF(A30&lt;'Données projet'!$A$140,$CQ$205^A30,IF(A30='Données projet'!$A$140,'Données projet'!$B$140,CT29+CS30-DB29)))</f>
        <v>119.60000000000001</v>
      </c>
      <c r="CU30" s="18">
        <f>CT30*VLOOKUP('Données projet'!$B$13,Paramètres!$A$1:$I$89,3,0)*VLOOKUP('Données projet'!$B$13,Paramètres!$A$1:$I$89,5,0)</f>
        <v>104.48256000000002</v>
      </c>
      <c r="CV30" s="14">
        <f t="shared" si="41"/>
        <v>28.02716504477474</v>
      </c>
      <c r="CW30" s="22">
        <f t="shared" si="13"/>
        <v>230.78777111964939</v>
      </c>
      <c r="CX30" s="62">
        <f t="shared" si="14"/>
        <v>524.12110445298276</v>
      </c>
      <c r="CY30" s="62">
        <f ca="1">AVERAGE(OFFSET($CX$3,0,0,'Données projet'!$E$13+1,1))-AVERAGE(OFFSET($H$3,0,0,'Données projet'!$E$13+1,1))</f>
        <v>268.27008134105046</v>
      </c>
      <c r="CZ30" s="62">
        <f t="shared" si="42"/>
        <v>252.36274686619709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14.2</v>
      </c>
      <c r="DO30" s="13">
        <f>IF('Données projet'!$A$166&gt;35,DO29+DN30-DW29,IF(A30&lt;'Données projet'!$A$166,$DL$205^A30,IF(A30='Données projet'!$A$166,'Données projet'!$B$166,DO29+DN30-DW29)))</f>
        <v>134.39999999999995</v>
      </c>
      <c r="DP30" s="18">
        <f>DO30*VLOOKUP('Données projet'!$B$14,Paramètres!$A$1:$I$89,3,0)*VLOOKUP('Données projet'!$B$14,Paramètres!$A$1:$I$89,5,0)</f>
        <v>106.92863999999996</v>
      </c>
      <c r="DQ30" s="14">
        <f t="shared" si="43"/>
        <v>28.606159868782917</v>
      </c>
      <c r="DR30" s="22">
        <f t="shared" si="16"/>
        <v>236.05644310479681</v>
      </c>
      <c r="DS30" s="62">
        <f t="shared" si="17"/>
        <v>529.38977643813018</v>
      </c>
      <c r="DT30" s="62">
        <f ca="1">AVERAGE(OFFSET($DS$3,0,0,'Données projet'!$E$14+1,1))-AVERAGE(OFFSET($H$3,0,0,'Données projet'!$E$14+1,1))</f>
        <v>279.49721661620544</v>
      </c>
      <c r="DU30" s="62">
        <f t="shared" si="44"/>
        <v>275.18739333988754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12.2</v>
      </c>
      <c r="EJ30" s="13">
        <f>IF('Données projet'!$A$192&gt;35,EJ29+EI30-ER29,IF(A30&lt;'Données projet'!$A$192,$EG$205^A30,IF(A30='Données projet'!$A$192,'Données projet'!$B$192,EJ29+EI30-ER29)))</f>
        <v>109.4</v>
      </c>
      <c r="EK30" s="18">
        <f>EJ30*VLOOKUP('Données projet'!$B$15,Paramètres!$A$1:$I$89,3,0)*VLOOKUP('Données projet'!$B$15,Paramètres!$A$1:$I$89,5,0)</f>
        <v>93.865200000000016</v>
      </c>
      <c r="EL30" s="14">
        <f t="shared" si="45"/>
        <v>25.495124560846406</v>
      </c>
      <c r="EM30" s="22">
        <f t="shared" si="19"/>
        <v>207.88589861014086</v>
      </c>
      <c r="EN30" s="62">
        <f t="shared" si="20"/>
        <v>501.21923194347414</v>
      </c>
      <c r="EO30" s="62">
        <f ca="1">AVERAGE(OFFSET($EN$3,0,0,'Données projet'!$E$15+1,1))-AVERAGE(OFFSET($H$3,0,0,'Données projet'!$E$15+1,1))</f>
        <v>394.11074988418096</v>
      </c>
      <c r="EP30" s="62">
        <f t="shared" si="46"/>
        <v>241.85593029696236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34.625</v>
      </c>
      <c r="N31" s="14">
        <f>IF('Données projet'!$A$36&gt;35,N30+M31-V30,IF(A31&lt;'Données projet'!$A$36,$K$205^A31,IF(A31='Données projet'!$A$36,'Données projet'!$B$36,N30+M31-V30)))</f>
        <v>453.75000000000011</v>
      </c>
      <c r="O31" s="14">
        <f>N31*VLOOKUP('Données projet'!$B$9,Paramètres!$A$1:$I$89,3,0)*VLOOKUP('Données projet'!$B$9,Paramètres!$A$1:$I$89,5,0)</f>
        <v>253.64625000000007</v>
      </c>
      <c r="P31" s="14">
        <f t="shared" si="33"/>
        <v>61.36607121025407</v>
      </c>
      <c r="Q31" s="22">
        <f t="shared" si="2"/>
        <v>548.64645944119263</v>
      </c>
      <c r="R31" s="62">
        <f t="shared" si="0"/>
        <v>841.979792774526</v>
      </c>
      <c r="S31" s="62">
        <f ca="1">AVERAGE(OFFSET($R$3,0,0,'Données projet'!$E$9+1,1))-AVERAGE(OFFSET($H$3,0,0,'Données projet'!$E$9+1,1))</f>
        <v>539.2446452106276</v>
      </c>
      <c r="T31" s="62">
        <f t="shared" si="34"/>
        <v>596.73830276071465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10.968573937173849</v>
      </c>
      <c r="AA31" s="23">
        <f>EXP(-LN(2)/25)*AA30+(1-EXP(-LN(2)/25))/(LN(2)/25)*Calculateur!V31*Calculateur!X31*VLOOKUP('Données projet'!$B$9,Paramètres!$A$1:$I$89,3,0)*0.475*44/12</f>
        <v>16.349411960258358</v>
      </c>
      <c r="AB31" s="23">
        <f>EXP(-LN(2)/2)*AB30+(1-EXP(-LN(2)/2))/(LN(2)/2)*V31*Y31*VLOOKUP('Données projet'!$B$9,Paramètres!$A$1:$I$89,3,0)*0.475*44/12</f>
        <v>1.9711080538630512</v>
      </c>
      <c r="AC31" s="24">
        <f t="shared" si="3"/>
        <v>29.289093951295261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17</v>
      </c>
      <c r="AI31" s="14">
        <f>IF('Données projet'!$A$62&gt;35,AI30+AH31-AQ30,IF(A31&lt;'Données projet'!$A$62,$AF$205^A31,IF(A31='Données projet'!$A$62,'Données projet'!$B$62,AI30+AH31-AQ30)))</f>
        <v>236.00000000000006</v>
      </c>
      <c r="AJ31" s="14">
        <f>AI31*VLOOKUP('Données projet'!$B$10,Paramètres!$A$1:$I$89,3,0)*VLOOKUP('Données projet'!$B$10,Paramètres!$A$1:$I$89,5,0)</f>
        <v>128.85600000000002</v>
      </c>
      <c r="AK31" s="14">
        <f t="shared" si="35"/>
        <v>33.731878688740906</v>
      </c>
      <c r="AL31" s="22">
        <f t="shared" si="4"/>
        <v>283.17388871622381</v>
      </c>
      <c r="AM31" s="62">
        <f t="shared" si="5"/>
        <v>576.50722204955719</v>
      </c>
      <c r="AN31" s="62">
        <f ca="1">AVERAGE(OFFSET($AM$3,0,0,'Données projet'!$E$10+1,1))-AVERAGE(OFFSET($H$3,0,0,'Données projet'!$E$10+1,1))</f>
        <v>262.6671000229498</v>
      </c>
      <c r="AO31" s="62">
        <f t="shared" si="36"/>
        <v>289.30432245776024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7.499774466946314</v>
      </c>
      <c r="AV31" s="23">
        <f>EXP(-LN(2)/25)*AV30+(1-EXP(-LN(2)/25))/(LN(2)/25)*Calculateur!AQ31*Calculateur!AS31*VLOOKUP('Données projet'!$B$10,Paramètres!$A$1:$I$89,3,0)*0.475*44/12</f>
        <v>23.761930909613408</v>
      </c>
      <c r="AW31" s="23">
        <f>EXP(-LN(2)/2)*AW30+(1-EXP(-LN(2)/2))/(LN(2)/2)*AQ31*AT31*VLOOKUP('Données projet'!$B$10,Paramètres!$A$1:$I$89,3,0)*0.475*44/12</f>
        <v>4.5073966678617818</v>
      </c>
      <c r="AX31" s="23">
        <f t="shared" si="6"/>
        <v>35.769102044421501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9.8000000000000007</v>
      </c>
      <c r="CT31" s="13">
        <f>IF('Données projet'!$A$140&gt;35,CT30+CS31-DB30,IF(A31&lt;'Données projet'!$A$140,$CQ$205^A31,IF(A31='Données projet'!$A$140,'Données projet'!$B$140,CT30+CS31-DB30)))</f>
        <v>129.4</v>
      </c>
      <c r="CU31" s="18">
        <f>CT31*VLOOKUP('Données projet'!$B$13,Paramètres!$A$1:$I$89,3,0)*VLOOKUP('Données projet'!$B$13,Paramètres!$A$1:$I$89,5,0)</f>
        <v>113.04384000000002</v>
      </c>
      <c r="CV31" s="14">
        <f t="shared" si="41"/>
        <v>30.046993788338579</v>
      </c>
      <c r="CW31" s="22">
        <f t="shared" si="13"/>
        <v>249.2165355146897</v>
      </c>
      <c r="CX31" s="62">
        <f t="shared" si="14"/>
        <v>542.54986884802304</v>
      </c>
      <c r="CY31" s="62">
        <f ca="1">AVERAGE(OFFSET($CX$3,0,0,'Données projet'!$E$13+1,1))-AVERAGE(OFFSET($H$3,0,0,'Données projet'!$E$13+1,1))</f>
        <v>268.27008134105046</v>
      </c>
      <c r="CZ31" s="62">
        <f t="shared" si="42"/>
        <v>252.36274686619709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14.2</v>
      </c>
      <c r="DO31" s="13">
        <f>IF('Données projet'!$A$166&gt;35,DO30+DN31-DW30,IF(A31&lt;'Données projet'!$A$166,$DL$205^A31,IF(A31='Données projet'!$A$166,'Données projet'!$B$166,DO30+DN31-DW30)))</f>
        <v>148.59999999999994</v>
      </c>
      <c r="DP31" s="18">
        <f>DO31*VLOOKUP('Données projet'!$B$14,Paramètres!$A$1:$I$89,3,0)*VLOOKUP('Données projet'!$B$14,Paramètres!$A$1:$I$89,5,0)</f>
        <v>118.22615999999996</v>
      </c>
      <c r="DQ31" s="14">
        <f t="shared" si="43"/>
        <v>31.260922342884676</v>
      </c>
      <c r="DR31" s="22">
        <f t="shared" si="16"/>
        <v>260.35666841385739</v>
      </c>
      <c r="DS31" s="62">
        <f t="shared" si="17"/>
        <v>553.69000174719076</v>
      </c>
      <c r="DT31" s="62">
        <f ca="1">AVERAGE(OFFSET($DS$3,0,0,'Données projet'!$E$14+1,1))-AVERAGE(OFFSET($H$3,0,0,'Données projet'!$E$14+1,1))</f>
        <v>279.49721661620544</v>
      </c>
      <c r="DU31" s="62">
        <f t="shared" si="44"/>
        <v>275.18739333988754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12.2</v>
      </c>
      <c r="EJ31" s="13">
        <f>IF('Données projet'!$A$192&gt;35,EJ30+EI31-ER30,IF(A31&lt;'Données projet'!$A$192,$EG$205^A31,IF(A31='Données projet'!$A$192,'Données projet'!$B$192,EJ30+EI31-ER30)))</f>
        <v>121.60000000000001</v>
      </c>
      <c r="EK31" s="18">
        <f>EJ31*VLOOKUP('Données projet'!$B$15,Paramètres!$A$1:$I$89,3,0)*VLOOKUP('Données projet'!$B$15,Paramètres!$A$1:$I$89,5,0)</f>
        <v>104.33280000000002</v>
      </c>
      <c r="EL31" s="14">
        <f t="shared" si="45"/>
        <v>27.991665469945552</v>
      </c>
      <c r="EM31" s="22">
        <f t="shared" si="19"/>
        <v>230.46511069348855</v>
      </c>
      <c r="EN31" s="62">
        <f t="shared" si="20"/>
        <v>523.79844402682193</v>
      </c>
      <c r="EO31" s="62">
        <f ca="1">AVERAGE(OFFSET($EN$3,0,0,'Données projet'!$E$15+1,1))-AVERAGE(OFFSET($H$3,0,0,'Données projet'!$E$15+1,1))</f>
        <v>394.11074988418096</v>
      </c>
      <c r="EP31" s="62">
        <f t="shared" si="46"/>
        <v>241.85593029696236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34.625</v>
      </c>
      <c r="N32" s="14">
        <f>IF('Données projet'!$A$36&gt;35,N31+M32-V31,IF(A32&lt;'Données projet'!$A$36,$K$205^A32,IF(A32='Données projet'!$A$36,'Données projet'!$B$36,N31+M32-V31)))</f>
        <v>488.37500000000011</v>
      </c>
      <c r="O32" s="14">
        <f>N32*VLOOKUP('Données projet'!$B$9,Paramètres!$A$1:$I$89,3,0)*VLOOKUP('Données projet'!$B$9,Paramètres!$A$1:$I$89,5,0)</f>
        <v>273.0016250000001</v>
      </c>
      <c r="P32" s="14">
        <f t="shared" si="33"/>
        <v>65.485879400840872</v>
      </c>
      <c r="Q32" s="22">
        <f t="shared" si="2"/>
        <v>589.53240349813132</v>
      </c>
      <c r="R32" s="62">
        <f t="shared" si="0"/>
        <v>882.86573683146457</v>
      </c>
      <c r="S32" s="62">
        <f ca="1">AVERAGE(OFFSET($R$3,0,0,'Données projet'!$E$9+1,1))-AVERAGE(OFFSET($H$3,0,0,'Données projet'!$E$9+1,1))</f>
        <v>539.2446452106276</v>
      </c>
      <c r="T32" s="62">
        <f t="shared" si="34"/>
        <v>596.73830276071465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10.753486892435372</v>
      </c>
      <c r="AA32" s="23">
        <f>EXP(-LN(2)/25)*AA31+(1-EXP(-LN(2)/25))/(LN(2)/25)*Calculateur!V32*Calculateur!X32*VLOOKUP('Données projet'!$B$9,Paramètres!$A$1:$I$89,3,0)*0.475*44/12</f>
        <v>15.902336430426885</v>
      </c>
      <c r="AB32" s="23">
        <f>EXP(-LN(2)/2)*AB31+(1-EXP(-LN(2)/2))/(LN(2)/2)*V32*Y32*VLOOKUP('Données projet'!$B$9,Paramètres!$A$1:$I$89,3,0)*0.475*44/12</f>
        <v>1.3937838713379822</v>
      </c>
      <c r="AC32" s="24">
        <f t="shared" si="3"/>
        <v>28.049607194200242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17</v>
      </c>
      <c r="AI32" s="14">
        <f>IF('Données projet'!$A$62&gt;35,AI31+AH32-AQ31,IF(A32&lt;'Données projet'!$A$62,$AF$205^A32,IF(A32='Données projet'!$A$62,'Données projet'!$B$62,AI31+AH32-AQ31)))</f>
        <v>253.00000000000006</v>
      </c>
      <c r="AJ32" s="14">
        <f>AI32*VLOOKUP('Données projet'!$B$10,Paramètres!$A$1:$I$89,3,0)*VLOOKUP('Données projet'!$B$10,Paramètres!$A$1:$I$89,5,0)</f>
        <v>138.13800000000003</v>
      </c>
      <c r="AK32" s="14">
        <f t="shared" si="35"/>
        <v>35.870115614757175</v>
      </c>
      <c r="AL32" s="22">
        <f t="shared" si="4"/>
        <v>303.06413469570208</v>
      </c>
      <c r="AM32" s="62">
        <f t="shared" si="5"/>
        <v>596.39746802903539</v>
      </c>
      <c r="AN32" s="62">
        <f ca="1">AVERAGE(OFFSET($AM$3,0,0,'Données projet'!$E$10+1,1))-AVERAGE(OFFSET($H$3,0,0,'Données projet'!$E$10+1,1))</f>
        <v>262.6671000229498</v>
      </c>
      <c r="AO32" s="62">
        <f t="shared" si="36"/>
        <v>289.30432245776024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7.3527084640602363</v>
      </c>
      <c r="AV32" s="23">
        <f>EXP(-LN(2)/25)*AV31+(1-EXP(-LN(2)/25))/(LN(2)/25)*Calculateur!AQ32*Calculateur!AS32*VLOOKUP('Données projet'!$B$10,Paramètres!$A$1:$I$89,3,0)*0.475*44/12</f>
        <v>23.112159659304393</v>
      </c>
      <c r="AW32" s="23">
        <f>EXP(-LN(2)/2)*AW31+(1-EXP(-LN(2)/2))/(LN(2)/2)*AQ32*AT32*VLOOKUP('Données projet'!$B$10,Paramètres!$A$1:$I$89,3,0)*0.475*44/12</f>
        <v>3.1872107493427144</v>
      </c>
      <c r="AX32" s="23">
        <f t="shared" si="6"/>
        <v>33.652078872707342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9.8000000000000007</v>
      </c>
      <c r="CT32" s="13">
        <f>IF('Données projet'!$A$140&gt;35,CT31+CS32-DB31,IF(A32&lt;'Données projet'!$A$140,$CQ$205^A32,IF(A32='Données projet'!$A$140,'Données projet'!$B$140,CT31+CS32-DB31)))</f>
        <v>139.20000000000002</v>
      </c>
      <c r="CU32" s="18">
        <f>CT32*VLOOKUP('Données projet'!$B$13,Paramètres!$A$1:$I$89,3,0)*VLOOKUP('Données projet'!$B$13,Paramètres!$A$1:$I$89,5,0)</f>
        <v>121.60512000000003</v>
      </c>
      <c r="CV32" s="14">
        <f t="shared" si="41"/>
        <v>32.049077176455789</v>
      </c>
      <c r="CW32" s="22">
        <f t="shared" si="13"/>
        <v>267.61439341566057</v>
      </c>
      <c r="CX32" s="62">
        <f t="shared" si="14"/>
        <v>560.94772674899389</v>
      </c>
      <c r="CY32" s="62">
        <f ca="1">AVERAGE(OFFSET($CX$3,0,0,'Données projet'!$E$13+1,1))-AVERAGE(OFFSET($H$3,0,0,'Données projet'!$E$13+1,1))</f>
        <v>268.27008134105046</v>
      </c>
      <c r="CZ32" s="62">
        <f t="shared" si="42"/>
        <v>252.36274686619709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14.2</v>
      </c>
      <c r="DO32" s="13">
        <f>IF('Données projet'!$A$166&gt;35,DO31+DN32-DW31,IF(A32&lt;'Données projet'!$A$166,$DL$205^A32,IF(A32='Données projet'!$A$166,'Données projet'!$B$166,DO31+DN32-DW31)))</f>
        <v>162.79999999999993</v>
      </c>
      <c r="DP32" s="18">
        <f>DO32*VLOOKUP('Données projet'!$B$14,Paramètres!$A$1:$I$89,3,0)*VLOOKUP('Données projet'!$B$14,Paramètres!$A$1:$I$89,5,0)</f>
        <v>129.52367999999996</v>
      </c>
      <c r="DQ32" s="14">
        <f t="shared" si="43"/>
        <v>33.886272262901727</v>
      </c>
      <c r="DR32" s="22">
        <f t="shared" si="16"/>
        <v>284.60566685788712</v>
      </c>
      <c r="DS32" s="62">
        <f t="shared" si="17"/>
        <v>577.93900019122043</v>
      </c>
      <c r="DT32" s="62">
        <f ca="1">AVERAGE(OFFSET($DS$3,0,0,'Données projet'!$E$14+1,1))-AVERAGE(OFFSET($H$3,0,0,'Données projet'!$E$14+1,1))</f>
        <v>279.49721661620544</v>
      </c>
      <c r="DU32" s="62">
        <f t="shared" si="44"/>
        <v>275.18739333988754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12.2</v>
      </c>
      <c r="EJ32" s="13">
        <f>IF('Données projet'!$A$192&gt;35,EJ31+EI32-ER31,IF(A32&lt;'Données projet'!$A$192,$EG$205^A32,IF(A32='Données projet'!$A$192,'Données projet'!$B$192,EJ31+EI32-ER31)))</f>
        <v>133.80000000000001</v>
      </c>
      <c r="EK32" s="18">
        <f>EJ32*VLOOKUP('Données projet'!$B$15,Paramètres!$A$1:$I$89,3,0)*VLOOKUP('Données projet'!$B$15,Paramètres!$A$1:$I$89,5,0)</f>
        <v>114.80040000000002</v>
      </c>
      <c r="EL32" s="14">
        <f t="shared" si="45"/>
        <v>30.459169258522444</v>
      </c>
      <c r="EM32" s="22">
        <f t="shared" si="19"/>
        <v>252.99374979192666</v>
      </c>
      <c r="EN32" s="62">
        <f t="shared" si="20"/>
        <v>546.32708312525995</v>
      </c>
      <c r="EO32" s="62">
        <f ca="1">AVERAGE(OFFSET($EN$3,0,0,'Données projet'!$E$15+1,1))-AVERAGE(OFFSET($H$3,0,0,'Données projet'!$E$15+1,1))</f>
        <v>394.11074988418096</v>
      </c>
      <c r="EP32" s="62">
        <f t="shared" si="46"/>
        <v>241.85593029696236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523</v>
      </c>
      <c r="L33" s="13">
        <f>VLOOKUP(A33,'Données projet'!$A$35:$I$55,9,0)</f>
        <v>34.625</v>
      </c>
      <c r="M33" s="13">
        <f t="array" ref="M33">INDEX(L:L,MIN(IF(ISNUMBER(L33:L229),ROW(L33:L229),"")))</f>
        <v>34.625</v>
      </c>
      <c r="N33" s="14">
        <f>IF('Données projet'!$A$36&gt;35,N32+M33-V32,IF(A33&lt;'Données projet'!$A$36,$K$205^A33,IF(A33='Données projet'!$A$36,'Données projet'!$B$36,N32+M33-V32)))</f>
        <v>523.00000000000011</v>
      </c>
      <c r="O33" s="14">
        <f>N33*VLOOKUP('Données projet'!$B$9,Paramètres!$A$1:$I$89,3,0)*VLOOKUP('Données projet'!$B$9,Paramètres!$A$1:$I$89,5,0)</f>
        <v>292.35700000000008</v>
      </c>
      <c r="P33" s="14">
        <f t="shared" si="33"/>
        <v>69.57179852486469</v>
      </c>
      <c r="Q33" s="22">
        <f t="shared" si="2"/>
        <v>630.35932409747272</v>
      </c>
      <c r="R33" s="62">
        <f t="shared" si="0"/>
        <v>923.69265743080609</v>
      </c>
      <c r="S33" s="62">
        <f ca="1">AVERAGE(OFFSET($R$3,0,0,'Données projet'!$E$9+1,1))-AVERAGE(OFFSET($H$3,0,0,'Données projet'!$E$9+1,1))</f>
        <v>539.2446452106276</v>
      </c>
      <c r="T33" s="62">
        <f t="shared" si="34"/>
        <v>596.73830276071465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97</v>
      </c>
      <c r="W33" s="17">
        <f>IF(ISNA(VLOOKUP(A33,'Données projet'!$A$35:$I$55,5,0)),0%,VLOOKUP(A33,'Données projet'!$A$35:$I$55,5,0)*VLOOKUP('Données projet'!$B$9,Paramètres!$A$1:$I$89,7,0))</f>
        <v>0.22000000000000003</v>
      </c>
      <c r="X33" s="17">
        <f>IF(ISNA(VLOOKUP(A33,'Données projet'!$A$35:$I$55,6,0)),0%,VLOOKUP(A33,'Données projet'!$A$35:$I$55,6,0)*VLOOKUP('Données projet'!$B$9,Paramètres!$A$1:$I$89,7,0))</f>
        <v>0.18700000000000003</v>
      </c>
      <c r="Y33" s="17">
        <f>IF(ISNA(VLOOKUP(A33,'Données projet'!$A$35:$I$55,7,0)),0%,VLOOKUP(A33,'Données projet'!$A$35:$I$55,7,0))</f>
        <v>0.26</v>
      </c>
      <c r="Z33" s="23">
        <f>EXP(-LN(2)/35)*Z32+(1-EXP(-LN(2)/35))/(LN(2)/35)*V33*W33*VLOOKUP('Données projet'!$B$9,Paramètres!$A$1:$I$89,3,0)*0.475*44/12</f>
        <v>26.367284556259676</v>
      </c>
      <c r="AA33" s="23">
        <f>EXP(-LN(2)/25)*AA32+(1-EXP(-LN(2)/25))/(LN(2)/25)*Calculateur!V33*Calculateur!X33*VLOOKUP('Données projet'!$B$9,Paramètres!$A$1:$I$89,3,0)*0.475*44/12</f>
        <v>28.865491557809275</v>
      </c>
      <c r="AB33" s="23">
        <f>EXP(-LN(2)/2)*AB32+(1-EXP(-LN(2)/2))/(LN(2)/2)*V33*Y33*VLOOKUP('Données projet'!$B$9,Paramètres!$A$1:$I$89,3,0)*0.475*44/12</f>
        <v>16.947742312813688</v>
      </c>
      <c r="AC33" s="24">
        <f t="shared" si="3"/>
        <v>72.180518426882642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270</v>
      </c>
      <c r="AG33" s="13">
        <f>VLOOKUP(A33,'Données projet'!$A$61:$I$81,9,0)</f>
        <v>17</v>
      </c>
      <c r="AH33" s="13">
        <f t="array" ref="AH33">INDEX(AG:AG,MIN(IF(ISNUMBER(AG33:AG229),ROW(AG33:AG229),"")))</f>
        <v>17</v>
      </c>
      <c r="AI33" s="14">
        <f>IF('Données projet'!$A$62&gt;35,AI32+AH33-AQ32,IF(A33&lt;'Données projet'!$A$62,$AF$205^A33,IF(A33='Données projet'!$A$62,'Données projet'!$B$62,AI32+AH33-AQ32)))</f>
        <v>270.00000000000006</v>
      </c>
      <c r="AJ33" s="14">
        <f>AI33*VLOOKUP('Données projet'!$B$10,Paramètres!$A$1:$I$89,3,0)*VLOOKUP('Données projet'!$B$10,Paramètres!$A$1:$I$89,5,0)</f>
        <v>147.42000000000004</v>
      </c>
      <c r="AK33" s="14">
        <f t="shared" si="35"/>
        <v>37.991680647570327</v>
      </c>
      <c r="AL33" s="22">
        <f t="shared" si="4"/>
        <v>322.92534379451837</v>
      </c>
      <c r="AM33" s="62">
        <f t="shared" si="5"/>
        <v>616.25867712785168</v>
      </c>
      <c r="AN33" s="62">
        <f ca="1">AVERAGE(OFFSET($AM$3,0,0,'Données projet'!$E$10+1,1))-AVERAGE(OFFSET($H$3,0,0,'Données projet'!$E$10+1,1))</f>
        <v>262.6671000229498</v>
      </c>
      <c r="AO33" s="62">
        <f t="shared" si="36"/>
        <v>289.30432245776024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48</v>
      </c>
      <c r="AR33" s="17">
        <f>IF(ISNA(VLOOKUP(A33,'Données projet'!$A$61:$I$81,5,0)),0%,VLOOKUP(A33,'Données projet'!$A$61:$I$81,5,0)*VLOOKUP('Données projet'!$B$10,Paramètres!$A$1:$I$89,7,0))</f>
        <v>0.18</v>
      </c>
      <c r="AS33" s="17">
        <f>IF(ISNA(VLOOKUP(A33,'Données projet'!$A$61:$I$81,6,0)),0%,VLOOKUP(A33,'Données projet'!$A$61:$I$81,6,0)*VLOOKUP('Données projet'!$B$10,Paramètres!$A$1:$I$89,7,0))</f>
        <v>0.23399999999999999</v>
      </c>
      <c r="AT33" s="17">
        <f>IF(ISNA(VLOOKUP(A33,'Données projet'!$A$61:$I$81,7,0)),0%,VLOOKUP(A33,'Données projet'!$A$61:$I$81,7,0))</f>
        <v>0.31</v>
      </c>
      <c r="AU33" s="23">
        <f>EXP(-LN(2)/35)*AU32+(1-EXP(-LN(2)/35))/(LN(2)/35)*AQ33*AR33*VLOOKUP('Données projet'!$B$10,Paramètres!$A$1:$I$89,3,0)*0.475*44/12</f>
        <v>13.466514560458055</v>
      </c>
      <c r="AV33" s="23">
        <f>EXP(-LN(2)/25)*AV32+(1-EXP(-LN(2)/25))/(LN(2)/25)*Calculateur!AQ33*Calculateur!AS33*VLOOKUP('Données projet'!$B$10,Paramètres!$A$1:$I$89,3,0)*0.475*44/12</f>
        <v>30.583509020717109</v>
      </c>
      <c r="AW33" s="23">
        <f>EXP(-LN(2)/2)*AW32+(1-EXP(-LN(2)/2))/(LN(2)/2)*AQ33*AT33*VLOOKUP('Données projet'!$B$10,Paramètres!$A$1:$I$89,3,0)*0.475*44/12</f>
        <v>11.452496990538709</v>
      </c>
      <c r="AX33" s="23">
        <f t="shared" si="6"/>
        <v>55.502520571713873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149</v>
      </c>
      <c r="CR33" s="13">
        <f>VLOOKUP(A33,'Données projet'!$A$139:$I$159,9,0)</f>
        <v>9.8000000000000007</v>
      </c>
      <c r="CS33" s="13">
        <f t="array" ref="CS33">INDEX(CR:CR,MIN(IF(ISNUMBER(CR33:CR229),ROW(CR33:CR229),"")))</f>
        <v>9.8000000000000007</v>
      </c>
      <c r="CT33" s="13">
        <f>IF('Données projet'!$A$140&gt;35,CT32+CS33-DB32,IF(A33&lt;'Données projet'!$A$140,$CQ$205^A33,IF(A33='Données projet'!$A$140,'Données projet'!$B$140,CT32+CS33-DB32)))</f>
        <v>149.00000000000003</v>
      </c>
      <c r="CU33" s="18">
        <f>CT33*VLOOKUP('Données projet'!$B$13,Paramètres!$A$1:$I$89,3,0)*VLOOKUP('Données projet'!$B$13,Paramètres!$A$1:$I$89,5,0)</f>
        <v>130.16640000000004</v>
      </c>
      <c r="CV33" s="14">
        <f t="shared" si="41"/>
        <v>34.034806623706302</v>
      </c>
      <c r="CW33" s="22">
        <f t="shared" si="13"/>
        <v>285.98376820295522</v>
      </c>
      <c r="CX33" s="62">
        <f t="shared" si="14"/>
        <v>579.31710153628853</v>
      </c>
      <c r="CY33" s="62">
        <f ca="1">AVERAGE(OFFSET($CX$3,0,0,'Données projet'!$E$13+1,1))-AVERAGE(OFFSET($H$3,0,0,'Données projet'!$E$13+1,1))</f>
        <v>268.27008134105046</v>
      </c>
      <c r="CZ33" s="62">
        <f t="shared" si="42"/>
        <v>252.36274686619709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27</v>
      </c>
      <c r="DC33" s="17">
        <f>IF(ISNA(VLOOKUP(A33,'Données projet'!$A$139:$I$159,5,0)),0%,VLOOKUP(A33,'Données projet'!$A$139:$I$159,5,0)*VLOOKUP('Données projet'!$B$13,Paramètres!$A$1:$I$89,7,0))</f>
        <v>8.6000000000000007E-2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2.2424457805062863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2.2424457805062863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177</v>
      </c>
      <c r="DM33" s="13">
        <f>VLOOKUP(A33,'Données projet'!$A$165:$I$185,9,0)</f>
        <v>14.2</v>
      </c>
      <c r="DN33" s="13">
        <f t="array" ref="DN33">INDEX(DM:DM,MIN(IF(ISNUMBER(DM33:DM229),ROW(DM33:DM229),"")))</f>
        <v>14.2</v>
      </c>
      <c r="DO33" s="13">
        <f>IF('Données projet'!$A$166&gt;35,DO32+DN33-DW32,IF(A33&lt;'Données projet'!$A$166,$DL$205^A33,IF(A33='Données projet'!$A$166,'Données projet'!$B$166,DO32+DN33-DW32)))</f>
        <v>176.99999999999991</v>
      </c>
      <c r="DP33" s="18">
        <f>DO33*VLOOKUP('Données projet'!$B$14,Paramètres!$A$1:$I$89,3,0)*VLOOKUP('Données projet'!$B$14,Paramètres!$A$1:$I$89,5,0)</f>
        <v>140.82119999999992</v>
      </c>
      <c r="DQ33" s="14">
        <f t="shared" si="43"/>
        <v>36.485066799987997</v>
      </c>
      <c r="DR33" s="22">
        <f t="shared" si="16"/>
        <v>308.80841467664561</v>
      </c>
      <c r="DS33" s="62">
        <f t="shared" si="17"/>
        <v>602.14174800997898</v>
      </c>
      <c r="DT33" s="62">
        <f ca="1">AVERAGE(OFFSET($DS$3,0,0,'Données projet'!$E$14+1,1))-AVERAGE(OFFSET($H$3,0,0,'Données projet'!$E$14+1,1))</f>
        <v>279.49721661620544</v>
      </c>
      <c r="DU33" s="62">
        <f t="shared" si="44"/>
        <v>275.18739333988754</v>
      </c>
      <c r="DV33" s="16">
        <f>IF(ISNA(VLOOKUP(A33,'Données projet'!$A$165:$I$185,3,0)),0,VLOOKUP(A33,'Données projet'!$A$165:$I$185,3,0))</f>
        <v>5</v>
      </c>
      <c r="DW33" s="16">
        <f>IF(ISNA(VLOOKUP(A33,'Données projet'!$A$165:$I$185,4,0)),0,VLOOKUP(A33,'Données projet'!$A$165:$I$185,4,0))</f>
        <v>35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146</v>
      </c>
      <c r="EH33" s="13">
        <f>VLOOKUP(A33,'Données projet'!$A$191:$I$211,9,0)</f>
        <v>12.2</v>
      </c>
      <c r="EI33" s="13">
        <f t="array" ref="EI33">INDEX(EH:EH,MIN(IF(ISNUMBER(EH33:EH229),ROW(EH33:EH229),"")))</f>
        <v>12.2</v>
      </c>
      <c r="EJ33" s="13">
        <f>IF('Données projet'!$A$192&gt;35,EJ32+EI33-ER32,IF(A33&lt;'Données projet'!$A$192,$EG$205^A33,IF(A33='Données projet'!$A$192,'Données projet'!$B$192,EJ32+EI33-ER32)))</f>
        <v>146</v>
      </c>
      <c r="EK33" s="18">
        <f>EJ33*VLOOKUP('Données projet'!$B$15,Paramètres!$A$1:$I$89,3,0)*VLOOKUP('Données projet'!$B$15,Paramètres!$A$1:$I$89,5,0)</f>
        <v>125.26800000000003</v>
      </c>
      <c r="EL33" s="14">
        <f t="shared" si="45"/>
        <v>32.9005846700787</v>
      </c>
      <c r="EM33" s="22">
        <f t="shared" si="19"/>
        <v>275.47695163372049</v>
      </c>
      <c r="EN33" s="62">
        <f t="shared" si="20"/>
        <v>568.8102849670538</v>
      </c>
      <c r="EO33" s="62">
        <f ca="1">AVERAGE(OFFSET($EN$3,0,0,'Données projet'!$E$15+1,1))-AVERAGE(OFFSET($H$3,0,0,'Données projet'!$E$15+1,1))</f>
        <v>394.11074988418096</v>
      </c>
      <c r="EP33" s="62">
        <f t="shared" si="46"/>
        <v>241.85593029696236</v>
      </c>
      <c r="EQ33" s="16">
        <f>IF(ISNA(VLOOKUP(A33,'Données projet'!$A$191:$I$211,3,0)),0,VLOOKUP(A33,'Données projet'!$A$191:$I$211,3,0))</f>
        <v>3</v>
      </c>
      <c r="ER33" s="16">
        <f>IF(ISNA(VLOOKUP(A33,'Données projet'!$A$191:$I$211,4,0)),0,VLOOKUP(A33,'Données projet'!$A$191:$I$211,4,0))</f>
        <v>35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30.777777777777779</v>
      </c>
      <c r="N34" s="14">
        <f>IF('Données projet'!$A$36&gt;35,N33+M34-V33,IF(A34&lt;'Données projet'!$A$36,$K$205^A34,IF(A34='Données projet'!$A$36,'Données projet'!$B$36,N33+M34-V33)))</f>
        <v>456.77777777777794</v>
      </c>
      <c r="O34" s="14">
        <f>N34*VLOOKUP('Données projet'!$B$9,Paramètres!$A$1:$I$89,3,0)*VLOOKUP('Données projet'!$B$9,Paramètres!$A$1:$I$89,5,0)</f>
        <v>255.33877777777786</v>
      </c>
      <c r="P34" s="14">
        <f t="shared" si="33"/>
        <v>61.72775005745094</v>
      </c>
      <c r="Q34" s="22">
        <f t="shared" si="2"/>
        <v>552.22420264635673</v>
      </c>
      <c r="R34" s="62">
        <f t="shared" si="0"/>
        <v>845.5575359796901</v>
      </c>
      <c r="S34" s="62">
        <f ca="1">AVERAGE(OFFSET($R$3,0,0,'Données projet'!$E$9+1,1))-AVERAGE(OFFSET($H$3,0,0,'Données projet'!$E$9+1,1))</f>
        <v>539.2446452106276</v>
      </c>
      <c r="T34" s="62">
        <f t="shared" si="34"/>
        <v>596.73830276071465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25.850238188566994</v>
      </c>
      <c r="AA34" s="23">
        <f>EXP(-LN(2)/25)*AA33+(1-EXP(-LN(2)/25))/(LN(2)/25)*Calculateur!V34*Calculateur!X34*VLOOKUP('Données projet'!$B$9,Paramètres!$A$1:$I$89,3,0)*0.475*44/12</f>
        <v>28.076163173190753</v>
      </c>
      <c r="AB34" s="23">
        <f>EXP(-LN(2)/2)*AB33+(1-EXP(-LN(2)/2))/(LN(2)/2)*V34*Y34*VLOOKUP('Données projet'!$B$9,Paramètres!$A$1:$I$89,3,0)*0.475*44/12</f>
        <v>11.983863515192741</v>
      </c>
      <c r="AC34" s="24">
        <f t="shared" si="3"/>
        <v>65.910264876950492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15.4</v>
      </c>
      <c r="AI34" s="14">
        <f>IF('Données projet'!$A$62&gt;35,AI33+AH34-AQ33,IF(A34&lt;'Données projet'!$A$62,$AF$205^A34,IF(A34='Données projet'!$A$62,'Données projet'!$B$62,AI33+AH34-AQ33)))</f>
        <v>237.40000000000003</v>
      </c>
      <c r="AJ34" s="14">
        <f>AI34*VLOOKUP('Données projet'!$B$10,Paramètres!$A$1:$I$89,3,0)*VLOOKUP('Données projet'!$B$10,Paramètres!$A$1:$I$89,5,0)</f>
        <v>129.62040000000002</v>
      </c>
      <c r="AK34" s="14">
        <f t="shared" si="35"/>
        <v>33.908629994918613</v>
      </c>
      <c r="AL34" s="22">
        <f t="shared" si="4"/>
        <v>284.81306057448325</v>
      </c>
      <c r="AM34" s="62">
        <f t="shared" si="5"/>
        <v>578.14639390781656</v>
      </c>
      <c r="AN34" s="62">
        <f ca="1">AVERAGE(OFFSET($AM$3,0,0,'Données projet'!$E$10+1,1))-AVERAGE(OFFSET($H$3,0,0,'Données projet'!$E$10+1,1))</f>
        <v>262.6671000229498</v>
      </c>
      <c r="AO34" s="62">
        <f t="shared" si="36"/>
        <v>289.30432245776024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13.202444423690313</v>
      </c>
      <c r="AV34" s="23">
        <f>EXP(-LN(2)/25)*AV33+(1-EXP(-LN(2)/25))/(LN(2)/25)*Calculateur!AQ34*Calculateur!AS34*VLOOKUP('Données projet'!$B$10,Paramètres!$A$1:$I$89,3,0)*0.475*44/12</f>
        <v>29.747201358228761</v>
      </c>
      <c r="AW34" s="23">
        <f>EXP(-LN(2)/2)*AW33+(1-EXP(-LN(2)/2))/(LN(2)/2)*AQ34*AT34*VLOOKUP('Données projet'!$B$10,Paramètres!$A$1:$I$89,3,0)*0.475*44/12</f>
        <v>8.0981382835284492</v>
      </c>
      <c r="AX34" s="23">
        <f t="shared" si="6"/>
        <v>51.047784065447523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9.1999999999999993</v>
      </c>
      <c r="CT34" s="13">
        <f>IF('Données projet'!$A$140&gt;35,CT33+CS34-DB33,IF(A34&lt;'Données projet'!$A$140,$CQ$205^A34,IF(A34='Données projet'!$A$140,'Données projet'!$B$140,CT33+CS34-DB33)))</f>
        <v>131.20000000000002</v>
      </c>
      <c r="CU34" s="18">
        <f>CT34*VLOOKUP('Données projet'!$B$13,Paramètres!$A$1:$I$89,3,0)*VLOOKUP('Données projet'!$B$13,Paramètres!$A$1:$I$89,5,0)</f>
        <v>114.61632000000004</v>
      </c>
      <c r="CV34" s="14">
        <f t="shared" si="41"/>
        <v>30.416009647934409</v>
      </c>
      <c r="CW34" s="22">
        <f t="shared" si="13"/>
        <v>252.59797413681915</v>
      </c>
      <c r="CX34" s="62">
        <f t="shared" si="14"/>
        <v>545.93130747015243</v>
      </c>
      <c r="CY34" s="62">
        <f ca="1">AVERAGE(OFFSET($CX$3,0,0,'Données projet'!$E$13+1,1))-AVERAGE(OFFSET($H$3,0,0,'Données projet'!$E$13+1,1))</f>
        <v>268.27008134105046</v>
      </c>
      <c r="CZ34" s="62">
        <f t="shared" si="42"/>
        <v>252.36274686619709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2.1984727865074292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2.1984727865074292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12.8</v>
      </c>
      <c r="DO34" s="13">
        <f>IF('Données projet'!$A$166&gt;35,DO33+DN34-DW33,IF(A34&lt;'Données projet'!$A$166,$DL$205^A34,IF(A34='Données projet'!$A$166,'Données projet'!$B$166,DO33+DN34-DW33)))</f>
        <v>154.79999999999993</v>
      </c>
      <c r="DP34" s="18">
        <f>DO34*VLOOKUP('Données projet'!$B$14,Paramètres!$A$1:$I$89,3,0)*VLOOKUP('Données projet'!$B$14,Paramètres!$A$1:$I$89,5,0)</f>
        <v>123.15887999999995</v>
      </c>
      <c r="DQ34" s="14">
        <f t="shared" si="43"/>
        <v>32.410638331814873</v>
      </c>
      <c r="DR34" s="22">
        <f t="shared" si="16"/>
        <v>270.95024442791083</v>
      </c>
      <c r="DS34" s="62">
        <f t="shared" si="17"/>
        <v>564.28357776124415</v>
      </c>
      <c r="DT34" s="62">
        <f ca="1">AVERAGE(OFFSET($DS$3,0,0,'Données projet'!$E$14+1,1))-AVERAGE(OFFSET($H$3,0,0,'Données projet'!$E$14+1,1))</f>
        <v>279.49721661620544</v>
      </c>
      <c r="DU34" s="62">
        <f t="shared" si="44"/>
        <v>275.18739333988754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12.8</v>
      </c>
      <c r="EJ34" s="13">
        <f>IF('Données projet'!$A$192&gt;35,EJ33+EI34-ER33,IF(A34&lt;'Données projet'!$A$192,$EG$205^A34,IF(A34='Données projet'!$A$192,'Données projet'!$B$192,EJ33+EI34-ER33)))</f>
        <v>123.80000000000001</v>
      </c>
      <c r="EK34" s="18">
        <f>EJ34*VLOOKUP('Données projet'!$B$15,Paramètres!$A$1:$I$89,3,0)*VLOOKUP('Données projet'!$B$15,Paramètres!$A$1:$I$89,5,0)</f>
        <v>106.22040000000003</v>
      </c>
      <c r="EL34" s="14">
        <f t="shared" si="45"/>
        <v>28.438677354079406</v>
      </c>
      <c r="EM34" s="22">
        <f t="shared" si="19"/>
        <v>234.53122639168836</v>
      </c>
      <c r="EN34" s="62">
        <f t="shared" si="20"/>
        <v>527.86455972502165</v>
      </c>
      <c r="EO34" s="62">
        <f ca="1">AVERAGE(OFFSET($EN$3,0,0,'Données projet'!$E$15+1,1))-AVERAGE(OFFSET($H$3,0,0,'Données projet'!$E$15+1,1))</f>
        <v>394.11074988418096</v>
      </c>
      <c r="EP34" s="62">
        <f t="shared" si="46"/>
        <v>241.85593029696236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30.777777777777779</v>
      </c>
      <c r="N35" s="14">
        <f>IF('Données projet'!$A$36&gt;35,N34+M35-V34,IF(A35&lt;'Données projet'!$A$36,$K$205^A35,IF(A35='Données projet'!$A$36,'Données projet'!$B$36,N34+M35-V34)))</f>
        <v>487.55555555555571</v>
      </c>
      <c r="O35" s="14">
        <f>N35*VLOOKUP('Données projet'!$B$9,Paramètres!$A$1:$I$89,3,0)*VLOOKUP('Données projet'!$B$9,Paramètres!$A$1:$I$89,5,0)</f>
        <v>272.54355555555566</v>
      </c>
      <c r="P35" s="14">
        <f t="shared" si="33"/>
        <v>65.388781040308473</v>
      </c>
      <c r="Q35" s="22">
        <f t="shared" ref="Q35:Q66" si="53">(O35+P35)*0.475*44/12</f>
        <v>588.56548623779656</v>
      </c>
      <c r="R35" s="62">
        <f t="shared" si="0"/>
        <v>881.89881957112993</v>
      </c>
      <c r="S35" s="62">
        <f ca="1">AVERAGE(OFFSET($R$3,0,0,'Données projet'!$E$9+1,1))-AVERAGE(OFFSET($H$3,0,0,'Données projet'!$E$9+1,1))</f>
        <v>539.2446452106276</v>
      </c>
      <c r="T35" s="62">
        <f t="shared" si="34"/>
        <v>596.73830276071465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25.343330784777621</v>
      </c>
      <c r="AA35" s="23">
        <f>EXP(-LN(2)/25)*AA34+(1-EXP(-LN(2)/25))/(LN(2)/25)*Calculateur!V35*Calculateur!X35*VLOOKUP('Données projet'!$B$9,Paramètres!$A$1:$I$89,3,0)*0.475*44/12</f>
        <v>27.308419014758599</v>
      </c>
      <c r="AB35" s="23">
        <f>EXP(-LN(2)/2)*AB34+(1-EXP(-LN(2)/2))/(LN(2)/2)*V35*Y35*VLOOKUP('Données projet'!$B$9,Paramètres!$A$1:$I$89,3,0)*0.475*44/12</f>
        <v>8.4738711564068439</v>
      </c>
      <c r="AC35" s="24">
        <f t="shared" si="3"/>
        <v>61.125620955943063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15.4</v>
      </c>
      <c r="AI35" s="14">
        <f>IF('Données projet'!$A$62&gt;35,AI34+AH35-AQ34,IF(A35&lt;'Données projet'!$A$62,$AF$205^A35,IF(A35='Données projet'!$A$62,'Données projet'!$B$62,AI34+AH35-AQ34)))</f>
        <v>252.80000000000004</v>
      </c>
      <c r="AJ35" s="14">
        <f>AI35*VLOOKUP('Données projet'!$B$10,Paramètres!$A$1:$I$89,3,0)*VLOOKUP('Données projet'!$B$10,Paramètres!$A$1:$I$89,5,0)</f>
        <v>138.02880000000002</v>
      </c>
      <c r="AK35" s="14">
        <f t="shared" si="35"/>
        <v>35.845059256813073</v>
      </c>
      <c r="AL35" s="22">
        <f t="shared" si="4"/>
        <v>302.8303048722828</v>
      </c>
      <c r="AM35" s="62">
        <f t="shared" si="5"/>
        <v>596.16363820561605</v>
      </c>
      <c r="AN35" s="62">
        <f ca="1">AVERAGE(OFFSET($AM$3,0,0,'Données projet'!$E$10+1,1))-AVERAGE(OFFSET($H$3,0,0,'Données projet'!$E$10+1,1))</f>
        <v>262.6671000229498</v>
      </c>
      <c r="AO35" s="62">
        <f t="shared" si="36"/>
        <v>289.30432245776024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12.943552541237707</v>
      </c>
      <c r="AV35" s="23">
        <f>EXP(-LN(2)/25)*AV34+(1-EXP(-LN(2)/25))/(LN(2)/25)*Calculateur!AQ35*Calculateur!AS35*VLOOKUP('Données projet'!$B$10,Paramètres!$A$1:$I$89,3,0)*0.475*44/12</f>
        <v>28.933762572750663</v>
      </c>
      <c r="AW35" s="23">
        <f>EXP(-LN(2)/2)*AW34+(1-EXP(-LN(2)/2))/(LN(2)/2)*AQ35*AT35*VLOOKUP('Données projet'!$B$10,Paramètres!$A$1:$I$89,3,0)*0.475*44/12</f>
        <v>5.7262484952693553</v>
      </c>
      <c r="AX35" s="23">
        <f t="shared" si="6"/>
        <v>47.603563609257726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9.1999999999999993</v>
      </c>
      <c r="CT35" s="13">
        <f>IF('Données projet'!$A$140&gt;35,CT34+CS35-DB34,IF(A35&lt;'Données projet'!$A$140,$CQ$205^A35,IF(A35='Données projet'!$A$140,'Données projet'!$B$140,CT34+CS35-DB34)))</f>
        <v>140.4</v>
      </c>
      <c r="CU35" s="18">
        <f>CT35*VLOOKUP('Données projet'!$B$13,Paramètres!$A$1:$I$89,3,0)*VLOOKUP('Données projet'!$B$13,Paramètres!$A$1:$I$89,5,0)</f>
        <v>122.65344000000002</v>
      </c>
      <c r="CV35" s="14">
        <f t="shared" si="41"/>
        <v>32.293080640759037</v>
      </c>
      <c r="CW35" s="22">
        <f t="shared" si="13"/>
        <v>269.8651901159887</v>
      </c>
      <c r="CX35" s="62">
        <f t="shared" si="14"/>
        <v>563.19852344932201</v>
      </c>
      <c r="CY35" s="62">
        <f ca="1">AVERAGE(OFFSET($CX$3,0,0,'Données projet'!$E$13+1,1))-AVERAGE(OFFSET($H$3,0,0,'Données projet'!$E$13+1,1))</f>
        <v>268.27008134105046</v>
      </c>
      <c r="CZ35" s="62">
        <f t="shared" si="42"/>
        <v>252.36274686619709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2.1553620761000118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2.1553620761000118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12.8</v>
      </c>
      <c r="DO35" s="13">
        <f>IF('Données projet'!$A$166&gt;35,DO34+DN35-DW34,IF(A35&lt;'Données projet'!$A$166,$DL$205^A35,IF(A35='Données projet'!$A$166,'Données projet'!$B$166,DO34+DN35-DW34)))</f>
        <v>167.59999999999994</v>
      </c>
      <c r="DP35" s="18">
        <f>DO35*VLOOKUP('Données projet'!$B$14,Paramètres!$A$1:$I$89,3,0)*VLOOKUP('Données projet'!$B$14,Paramètres!$A$1:$I$89,5,0)</f>
        <v>133.34255999999996</v>
      </c>
      <c r="DQ35" s="14">
        <f t="shared" si="43"/>
        <v>34.767581918978188</v>
      </c>
      <c r="DR35" s="22">
        <f t="shared" si="16"/>
        <v>292.7918305088869</v>
      </c>
      <c r="DS35" s="62">
        <f t="shared" si="17"/>
        <v>586.12516384222022</v>
      </c>
      <c r="DT35" s="62">
        <f ca="1">AVERAGE(OFFSET($DS$3,0,0,'Données projet'!$E$14+1,1))-AVERAGE(OFFSET($H$3,0,0,'Données projet'!$E$14+1,1))</f>
        <v>279.49721661620544</v>
      </c>
      <c r="DU35" s="62">
        <f t="shared" si="44"/>
        <v>275.18739333988754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12.8</v>
      </c>
      <c r="EJ35" s="13">
        <f>IF('Données projet'!$A$192&gt;35,EJ34+EI35-ER34,IF(A35&lt;'Données projet'!$A$192,$EG$205^A35,IF(A35='Données projet'!$A$192,'Données projet'!$B$192,EJ34+EI35-ER34)))</f>
        <v>136.60000000000002</v>
      </c>
      <c r="EK35" s="18">
        <f>EJ35*VLOOKUP('Données projet'!$B$15,Paramètres!$A$1:$I$89,3,0)*VLOOKUP('Données projet'!$B$15,Paramètres!$A$1:$I$89,5,0)</f>
        <v>117.20280000000004</v>
      </c>
      <c r="EL35" s="14">
        <f t="shared" si="45"/>
        <v>31.021705481209352</v>
      </c>
      <c r="EM35" s="22">
        <f t="shared" si="19"/>
        <v>258.15768037977301</v>
      </c>
      <c r="EN35" s="62">
        <f t="shared" si="20"/>
        <v>551.49101371310633</v>
      </c>
      <c r="EO35" s="62">
        <f ca="1">AVERAGE(OFFSET($EN$3,0,0,'Données projet'!$E$15+1,1))-AVERAGE(OFFSET($H$3,0,0,'Données projet'!$E$15+1,1))</f>
        <v>394.11074988418096</v>
      </c>
      <c r="EP35" s="62">
        <f t="shared" si="46"/>
        <v>241.85593029696236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30.777777777777779</v>
      </c>
      <c r="N36" s="14">
        <f>IF('Données projet'!$A$36&gt;35,N35+M36-V35,IF(A36&lt;'Données projet'!$A$36,$K$205^A36,IF(A36='Données projet'!$A$36,'Données projet'!$B$36,N35+M36-V35)))</f>
        <v>518.33333333333348</v>
      </c>
      <c r="O36" s="14">
        <f>N36*VLOOKUP('Données projet'!$B$9,Paramètres!$A$1:$I$89,3,0)*VLOOKUP('Données projet'!$B$9,Paramètres!$A$1:$I$89,5,0)</f>
        <v>289.74833333333339</v>
      </c>
      <c r="P36" s="14">
        <f t="shared" si="33"/>
        <v>69.022990747125789</v>
      </c>
      <c r="Q36" s="22">
        <f t="shared" si="53"/>
        <v>624.86005610679979</v>
      </c>
      <c r="R36" s="62">
        <f t="shared" si="0"/>
        <v>918.19338944013316</v>
      </c>
      <c r="S36" s="62">
        <f ca="1">AVERAGE(OFFSET($R$3,0,0,'Données projet'!$E$9+1,1))-AVERAGE(OFFSET($H$3,0,0,'Données projet'!$E$9+1,1))</f>
        <v>539.2446452106276</v>
      </c>
      <c r="T36" s="62">
        <f t="shared" si="34"/>
        <v>596.73830276071465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24.846363525993567</v>
      </c>
      <c r="AA36" s="23">
        <f>EXP(-LN(2)/25)*AA35+(1-EXP(-LN(2)/25))/(LN(2)/25)*Calculateur!V36*Calculateur!X36*VLOOKUP('Données projet'!$B$9,Paramètres!$A$1:$I$89,3,0)*0.475*44/12</f>
        <v>26.561668860712683</v>
      </c>
      <c r="AB36" s="23">
        <f>EXP(-LN(2)/2)*AB35+(1-EXP(-LN(2)/2))/(LN(2)/2)*V36*Y36*VLOOKUP('Données projet'!$B$9,Paramètres!$A$1:$I$89,3,0)*0.475*44/12</f>
        <v>5.9919317575963706</v>
      </c>
      <c r="AC36" s="24">
        <f t="shared" si="3"/>
        <v>57.399964144302622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15.4</v>
      </c>
      <c r="AI36" s="14">
        <f>IF('Données projet'!$A$62&gt;35,AI35+AH36-AQ35,IF(A36&lt;'Données projet'!$A$62,$AF$205^A36,IF(A36='Données projet'!$A$62,'Données projet'!$B$62,AI35+AH36-AQ35)))</f>
        <v>268.20000000000005</v>
      </c>
      <c r="AJ36" s="14">
        <f>AI36*VLOOKUP('Données projet'!$B$10,Paramètres!$A$1:$I$89,3,0)*VLOOKUP('Données projet'!$B$10,Paramètres!$A$1:$I$89,5,0)</f>
        <v>146.43720000000002</v>
      </c>
      <c r="AK36" s="14">
        <f t="shared" si="35"/>
        <v>37.767797271608202</v>
      </c>
      <c r="AL36" s="22">
        <f t="shared" si="4"/>
        <v>320.82370358138428</v>
      </c>
      <c r="AM36" s="62">
        <f t="shared" si="5"/>
        <v>614.15703691471754</v>
      </c>
      <c r="AN36" s="62">
        <f ca="1">AVERAGE(OFFSET($AM$3,0,0,'Données projet'!$E$10+1,1))-AVERAGE(OFFSET($H$3,0,0,'Données projet'!$E$10+1,1))</f>
        <v>262.6671000229498</v>
      </c>
      <c r="AO36" s="62">
        <f t="shared" si="36"/>
        <v>289.30432245776024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12.689737370691541</v>
      </c>
      <c r="AV36" s="23">
        <f>EXP(-LN(2)/25)*AV35+(1-EXP(-LN(2)/25))/(LN(2)/25)*Calculateur!AQ36*Calculateur!AS36*VLOOKUP('Données projet'!$B$10,Paramètres!$A$1:$I$89,3,0)*0.475*44/12</f>
        <v>28.142567313638352</v>
      </c>
      <c r="AW36" s="23">
        <f>EXP(-LN(2)/2)*AW35+(1-EXP(-LN(2)/2))/(LN(2)/2)*AQ36*AT36*VLOOKUP('Données projet'!$B$10,Paramètres!$A$1:$I$89,3,0)*0.475*44/12</f>
        <v>4.0490691417642255</v>
      </c>
      <c r="AX36" s="23">
        <f t="shared" si="6"/>
        <v>44.881373826094119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9.1999999999999993</v>
      </c>
      <c r="CT36" s="13">
        <f>IF('Données projet'!$A$140&gt;35,CT35+CS36-DB35,IF(A36&lt;'Données projet'!$A$140,$CQ$205^A36,IF(A36='Données projet'!$A$140,'Données projet'!$B$140,CT35+CS36-DB35)))</f>
        <v>149.6</v>
      </c>
      <c r="CU36" s="18">
        <f>CT36*VLOOKUP('Données projet'!$B$13,Paramètres!$A$1:$I$89,3,0)*VLOOKUP('Données projet'!$B$13,Paramètres!$A$1:$I$89,5,0)</f>
        <v>130.69056000000003</v>
      </c>
      <c r="CV36" s="14">
        <f t="shared" si="41"/>
        <v>34.155878238422723</v>
      </c>
      <c r="CW36" s="22">
        <f t="shared" si="13"/>
        <v>287.10754659858628</v>
      </c>
      <c r="CX36" s="62">
        <f t="shared" si="14"/>
        <v>580.44087993191965</v>
      </c>
      <c r="CY36" s="62">
        <f ca="1">AVERAGE(OFFSET($CX$3,0,0,'Données projet'!$E$13+1,1))-AVERAGE(OFFSET($H$3,0,0,'Données projet'!$E$13+1,1))</f>
        <v>268.27008134105046</v>
      </c>
      <c r="CZ36" s="62">
        <f t="shared" si="42"/>
        <v>252.36274686619709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2.1130967404287468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2.1130967404287468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12.8</v>
      </c>
      <c r="DO36" s="13">
        <f>IF('Données projet'!$A$166&gt;35,DO35+DN36-DW35,IF(A36&lt;'Données projet'!$A$166,$DL$205^A36,IF(A36='Données projet'!$A$166,'Données projet'!$B$166,DO35+DN36-DW35)))</f>
        <v>180.39999999999995</v>
      </c>
      <c r="DP36" s="18">
        <f>DO36*VLOOKUP('Données projet'!$B$14,Paramètres!$A$1:$I$89,3,0)*VLOOKUP('Données projet'!$B$14,Paramètres!$A$1:$I$89,5,0)</f>
        <v>143.52623999999997</v>
      </c>
      <c r="DQ36" s="14">
        <f t="shared" si="43"/>
        <v>37.103644337236275</v>
      </c>
      <c r="DR36" s="22">
        <f t="shared" si="16"/>
        <v>314.59704855401981</v>
      </c>
      <c r="DS36" s="62">
        <f t="shared" si="17"/>
        <v>607.93038188735318</v>
      </c>
      <c r="DT36" s="62">
        <f ca="1">AVERAGE(OFFSET($DS$3,0,0,'Données projet'!$E$14+1,1))-AVERAGE(OFFSET($H$3,0,0,'Données projet'!$E$14+1,1))</f>
        <v>279.49721661620544</v>
      </c>
      <c r="DU36" s="62">
        <f t="shared" si="44"/>
        <v>275.18739333988754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12.8</v>
      </c>
      <c r="EJ36" s="13">
        <f>IF('Données projet'!$A$192&gt;35,EJ35+EI36-ER35,IF(A36&lt;'Données projet'!$A$192,$EG$205^A36,IF(A36='Données projet'!$A$192,'Données projet'!$B$192,EJ35+EI36-ER35)))</f>
        <v>149.40000000000003</v>
      </c>
      <c r="EK36" s="18">
        <f>EJ36*VLOOKUP('Données projet'!$B$15,Paramètres!$A$1:$I$89,3,0)*VLOOKUP('Données projet'!$B$15,Paramètres!$A$1:$I$89,5,0)</f>
        <v>128.18520000000004</v>
      </c>
      <c r="EL36" s="14">
        <f t="shared" si="45"/>
        <v>33.57666984533806</v>
      </c>
      <c r="EM36" s="22">
        <f t="shared" si="19"/>
        <v>281.73525664729715</v>
      </c>
      <c r="EN36" s="62">
        <f t="shared" si="20"/>
        <v>575.06858998063046</v>
      </c>
      <c r="EO36" s="62">
        <f ca="1">AVERAGE(OFFSET($EN$3,0,0,'Données projet'!$E$15+1,1))-AVERAGE(OFFSET($H$3,0,0,'Données projet'!$E$15+1,1))</f>
        <v>394.11074988418096</v>
      </c>
      <c r="EP36" s="62">
        <f t="shared" si="46"/>
        <v>241.85593029696236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30.777777777777779</v>
      </c>
      <c r="N37" s="14">
        <f>IF('Données projet'!$A$36&gt;35,N36+M37-V36,IF(A37&lt;'Données projet'!$A$36,$K$205^A37,IF(A37='Données projet'!$A$36,'Données projet'!$B$36,N36+M37-V36)))</f>
        <v>549.11111111111131</v>
      </c>
      <c r="O37" s="14">
        <f>N37*VLOOKUP('Données projet'!$B$9,Paramètres!$A$1:$I$89,3,0)*VLOOKUP('Données projet'!$B$9,Paramètres!$A$1:$I$89,5,0)</f>
        <v>306.95311111111124</v>
      </c>
      <c r="P37" s="14">
        <f t="shared" si="33"/>
        <v>72.632153175369226</v>
      </c>
      <c r="Q37" s="22">
        <f t="shared" si="53"/>
        <v>661.11100196562018</v>
      </c>
      <c r="R37" s="62">
        <f t="shared" si="0"/>
        <v>954.44433529895355</v>
      </c>
      <c r="S37" s="62">
        <f ca="1">AVERAGE(OFFSET($R$3,0,0,'Données projet'!$E$9+1,1))-AVERAGE(OFFSET($H$3,0,0,'Données projet'!$E$9+1,1))</f>
        <v>539.2446452106276</v>
      </c>
      <c r="T37" s="62">
        <f t="shared" si="34"/>
        <v>596.73830276071465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24.359141492034173</v>
      </c>
      <c r="AA37" s="23">
        <f>EXP(-LN(2)/25)*AA36+(1-EXP(-LN(2)/25))/(LN(2)/25)*Calculateur!V37*Calculateur!X37*VLOOKUP('Données projet'!$B$9,Paramètres!$A$1:$I$89,3,0)*0.475*44/12</f>
        <v>25.835338628899038</v>
      </c>
      <c r="AB37" s="23">
        <f>EXP(-LN(2)/2)*AB36+(1-EXP(-LN(2)/2))/(LN(2)/2)*V37*Y37*VLOOKUP('Données projet'!$B$9,Paramètres!$A$1:$I$89,3,0)*0.475*44/12</f>
        <v>4.2369355782034219</v>
      </c>
      <c r="AC37" s="24">
        <f t="shared" si="3"/>
        <v>54.431415699136629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15.4</v>
      </c>
      <c r="AI37" s="14">
        <f>IF('Données projet'!$A$62&gt;35,AI36+AH37-AQ36,IF(A37&lt;'Données projet'!$A$62,$AF$205^A37,IF(A37='Données projet'!$A$62,'Données projet'!$B$62,AI36+AH37-AQ36)))</f>
        <v>283.60000000000002</v>
      </c>
      <c r="AJ37" s="14">
        <f>AI37*VLOOKUP('Données projet'!$B$10,Paramètres!$A$1:$I$89,3,0)*VLOOKUP('Données projet'!$B$10,Paramètres!$A$1:$I$89,5,0)</f>
        <v>154.84560000000002</v>
      </c>
      <c r="AK37" s="14">
        <f t="shared" si="35"/>
        <v>39.677719759195298</v>
      </c>
      <c r="AL37" s="22">
        <f t="shared" si="4"/>
        <v>338.79478191393184</v>
      </c>
      <c r="AM37" s="62">
        <f t="shared" si="5"/>
        <v>632.12811524726521</v>
      </c>
      <c r="AN37" s="62">
        <f ca="1">AVERAGE(OFFSET($AM$3,0,0,'Données projet'!$E$10+1,1))-AVERAGE(OFFSET($H$3,0,0,'Données projet'!$E$10+1,1))</f>
        <v>262.6671000229498</v>
      </c>
      <c r="AO37" s="62">
        <f t="shared" si="36"/>
        <v>289.30432245776024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12.440899360827817</v>
      </c>
      <c r="AV37" s="23">
        <f>EXP(-LN(2)/25)*AV36+(1-EXP(-LN(2)/25))/(LN(2)/25)*Calculateur!AQ37*Calculateur!AS37*VLOOKUP('Données projet'!$B$10,Paramètres!$A$1:$I$89,3,0)*0.475*44/12</f>
        <v>27.373007330493618</v>
      </c>
      <c r="AW37" s="23">
        <f>EXP(-LN(2)/2)*AW36+(1-EXP(-LN(2)/2))/(LN(2)/2)*AQ37*AT37*VLOOKUP('Données projet'!$B$10,Paramètres!$A$1:$I$89,3,0)*0.475*44/12</f>
        <v>2.8631242476346781</v>
      </c>
      <c r="AX37" s="23">
        <f t="shared" si="6"/>
        <v>42.677030938956115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9.1999999999999993</v>
      </c>
      <c r="CT37" s="13">
        <f>IF('Données projet'!$A$140&gt;35,CT36+CS37-DB36,IF(A37&lt;'Données projet'!$A$140,$CQ$205^A37,IF(A37='Données projet'!$A$140,'Données projet'!$B$140,CT36+CS37-DB36)))</f>
        <v>158.79999999999998</v>
      </c>
      <c r="CU37" s="18">
        <f>CT37*VLOOKUP('Données projet'!$B$13,Paramètres!$A$1:$I$89,3,0)*VLOOKUP('Données projet'!$B$13,Paramètres!$A$1:$I$89,5,0)</f>
        <v>138.72767999999999</v>
      </c>
      <c r="CV37" s="14">
        <f t="shared" si="41"/>
        <v>36.005380160492741</v>
      </c>
      <c r="CW37" s="22">
        <f t="shared" si="13"/>
        <v>304.32674644619152</v>
      </c>
      <c r="CX37" s="62">
        <f t="shared" si="14"/>
        <v>597.66007977952484</v>
      </c>
      <c r="CY37" s="62">
        <f ca="1">AVERAGE(OFFSET($CX$3,0,0,'Données projet'!$E$13+1,1))-AVERAGE(OFFSET($H$3,0,0,'Données projet'!$E$13+1,1))</f>
        <v>268.27008134105046</v>
      </c>
      <c r="CZ37" s="62">
        <f t="shared" si="42"/>
        <v>252.36274686619709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2.0716602022106865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2.0716602022106865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12.8</v>
      </c>
      <c r="DO37" s="13">
        <f>IF('Données projet'!$A$166&gt;35,DO36+DN37-DW36,IF(A37&lt;'Données projet'!$A$166,$DL$205^A37,IF(A37='Données projet'!$A$166,'Données projet'!$B$166,DO36+DN37-DW36)))</f>
        <v>193.19999999999996</v>
      </c>
      <c r="DP37" s="18">
        <f>DO37*VLOOKUP('Données projet'!$B$14,Paramètres!$A$1:$I$89,3,0)*VLOOKUP('Données projet'!$B$14,Paramètres!$A$1:$I$89,5,0)</f>
        <v>153.70991999999998</v>
      </c>
      <c r="DQ37" s="14">
        <f t="shared" si="43"/>
        <v>39.420475690379831</v>
      </c>
      <c r="DR37" s="22">
        <f t="shared" si="16"/>
        <v>336.3687724940782</v>
      </c>
      <c r="DS37" s="62">
        <f t="shared" si="17"/>
        <v>629.70210582741151</v>
      </c>
      <c r="DT37" s="62">
        <f ca="1">AVERAGE(OFFSET($DS$3,0,0,'Données projet'!$E$14+1,1))-AVERAGE(OFFSET($H$3,0,0,'Données projet'!$E$14+1,1))</f>
        <v>279.49721661620544</v>
      </c>
      <c r="DU37" s="62">
        <f t="shared" si="44"/>
        <v>275.18739333988754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12.8</v>
      </c>
      <c r="EJ37" s="13">
        <f>IF('Données projet'!$A$192&gt;35,EJ36+EI37-ER36,IF(A37&lt;'Données projet'!$A$192,$EG$205^A37,IF(A37='Données projet'!$A$192,'Données projet'!$B$192,EJ36+EI37-ER36)))</f>
        <v>162.20000000000005</v>
      </c>
      <c r="EK37" s="18">
        <f>EJ37*VLOOKUP('Données projet'!$B$15,Paramètres!$A$1:$I$89,3,0)*VLOOKUP('Données projet'!$B$15,Paramètres!$A$1:$I$89,5,0)</f>
        <v>139.16760000000005</v>
      </c>
      <c r="EL37" s="14">
        <f t="shared" si="45"/>
        <v>36.106248210614609</v>
      </c>
      <c r="EM37" s="22">
        <f t="shared" si="19"/>
        <v>305.2686189668205</v>
      </c>
      <c r="EN37" s="62">
        <f t="shared" si="20"/>
        <v>598.60195230015381</v>
      </c>
      <c r="EO37" s="62">
        <f ca="1">AVERAGE(OFFSET($EN$3,0,0,'Données projet'!$E$15+1,1))-AVERAGE(OFFSET($H$3,0,0,'Données projet'!$E$15+1,1))</f>
        <v>394.11074988418096</v>
      </c>
      <c r="EP37" s="62">
        <f t="shared" si="46"/>
        <v>241.85593029696236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30.777777777777779</v>
      </c>
      <c r="N38" s="14">
        <f>IF('Données projet'!$A$36&gt;35,N37+M38-V37,IF(A38&lt;'Données projet'!$A$36,$K$205^A38,IF(A38='Données projet'!$A$36,'Données projet'!$B$36,N37+M38-V37)))</f>
        <v>579.88888888888914</v>
      </c>
      <c r="O38" s="14">
        <f>N38*VLOOKUP('Données projet'!$B$9,Paramètres!$A$1:$I$89,3,0)*VLOOKUP('Données projet'!$B$9,Paramètres!$A$1:$I$89,5,0)</f>
        <v>324.15788888888903</v>
      </c>
      <c r="P38" s="14">
        <f t="shared" si="33"/>
        <v>76.217832224831028</v>
      </c>
      <c r="Q38" s="22">
        <f t="shared" si="53"/>
        <v>697.32104760639561</v>
      </c>
      <c r="R38" s="62">
        <f t="shared" si="0"/>
        <v>990.65438093972898</v>
      </c>
      <c r="S38" s="62">
        <f ca="1">AVERAGE(OFFSET($R$3,0,0,'Données projet'!$E$9+1,1))-AVERAGE(OFFSET($H$3,0,0,'Données projet'!$E$9+1,1))</f>
        <v>539.2446452106276</v>
      </c>
      <c r="T38" s="62">
        <f t="shared" si="34"/>
        <v>596.73830276071465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23.881473584984626</v>
      </c>
      <c r="AA38" s="23">
        <f>EXP(-LN(2)/25)*AA37+(1-EXP(-LN(2)/25))/(LN(2)/25)*Calculateur!V38*Calculateur!X38*VLOOKUP('Données projet'!$B$9,Paramètres!$A$1:$I$89,3,0)*0.475*44/12</f>
        <v>25.128869935470384</v>
      </c>
      <c r="AB38" s="23">
        <f>EXP(-LN(2)/2)*AB37+(1-EXP(-LN(2)/2))/(LN(2)/2)*V38*Y38*VLOOKUP('Données projet'!$B$9,Paramètres!$A$1:$I$89,3,0)*0.475*44/12</f>
        <v>2.9959658787981853</v>
      </c>
      <c r="AC38" s="24">
        <f t="shared" si="3"/>
        <v>52.006309399253198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299</v>
      </c>
      <c r="AG38" s="13">
        <f>VLOOKUP(A38,'Données projet'!$A$61:$I$81,9,0)</f>
        <v>15.4</v>
      </c>
      <c r="AH38" s="13">
        <f t="array" ref="AH38">INDEX(AG:AG,MIN(IF(ISNUMBER(AG38:AG234),ROW(AG38:AG234),"")))</f>
        <v>15.4</v>
      </c>
      <c r="AI38" s="14">
        <f>IF('Données projet'!$A$62&gt;35,AI37+AH38-AQ37,IF(A38&lt;'Données projet'!$A$62,$AF$205^A38,IF(A38='Données projet'!$A$62,'Données projet'!$B$62,AI37+AH38-AQ37)))</f>
        <v>299</v>
      </c>
      <c r="AJ38" s="14">
        <f>AI38*VLOOKUP('Données projet'!$B$10,Paramètres!$A$1:$I$89,3,0)*VLOOKUP('Données projet'!$B$10,Paramètres!$A$1:$I$89,5,0)</f>
        <v>163.25399999999999</v>
      </c>
      <c r="AK38" s="14">
        <f t="shared" si="35"/>
        <v>41.575601961656915</v>
      </c>
      <c r="AL38" s="22">
        <f t="shared" si="4"/>
        <v>356.7448900832191</v>
      </c>
      <c r="AM38" s="62">
        <f t="shared" si="5"/>
        <v>650.07822341655242</v>
      </c>
      <c r="AN38" s="62">
        <f ca="1">AVERAGE(OFFSET($AM$3,0,0,'Données projet'!$E$10+1,1))-AVERAGE(OFFSET($H$3,0,0,'Données projet'!$E$10+1,1))</f>
        <v>262.6671000229498</v>
      </c>
      <c r="AO38" s="62">
        <f t="shared" si="36"/>
        <v>289.30432245776024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45</v>
      </c>
      <c r="AR38" s="17">
        <f>IF(ISNA(VLOOKUP(A38,'Données projet'!$A$61:$I$81,5,0)),0%,VLOOKUP(A38,'Données projet'!$A$61:$I$81,5,0)*VLOOKUP('Données projet'!$B$10,Paramètres!$A$1:$I$89,7,0))</f>
        <v>0.24</v>
      </c>
      <c r="AS38" s="17">
        <f>IF(ISNA(VLOOKUP(A38,'Données projet'!$A$61:$I$81,6,0)),0%,VLOOKUP(A38,'Données projet'!$A$61:$I$81,6,0)*VLOOKUP('Données projet'!$B$10,Paramètres!$A$1:$I$89,7,0))</f>
        <v>0.20400000000000001</v>
      </c>
      <c r="AT38" s="17">
        <f>IF(ISNA(VLOOKUP(A38,'Données projet'!$A$61:$I$81,7,0)),0%,VLOOKUP(A38,'Données projet'!$A$61:$I$81,7,0))</f>
        <v>0.26</v>
      </c>
      <c r="AU38" s="23">
        <f>EXP(-LN(2)/35)*AU37+(1-EXP(-LN(2)/35))/(LN(2)/35)*AQ38*AR38*VLOOKUP('Données projet'!$B$10,Paramètres!$A$1:$I$89,3,0)*0.475*44/12</f>
        <v>20.019426193397202</v>
      </c>
      <c r="AV38" s="23">
        <f>EXP(-LN(2)/25)*AV37+(1-EXP(-LN(2)/25))/(LN(2)/25)*Calculateur!AQ38*Calculateur!AS38*VLOOKUP('Données projet'!$B$10,Paramètres!$A$1:$I$89,3,0)*0.475*44/12</f>
        <v>33.247423404889339</v>
      </c>
      <c r="AW38" s="23">
        <f>EXP(-LN(2)/2)*AW37+(1-EXP(-LN(2)/2))/(LN(2)/2)*AQ38*AT38*VLOOKUP('Données projet'!$B$10,Paramètres!$A$1:$I$89,3,0)*0.475*44/12</f>
        <v>9.257460933940683</v>
      </c>
      <c r="AX38" s="23">
        <f t="shared" si="6"/>
        <v>62.524310532227226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168</v>
      </c>
      <c r="CR38" s="13">
        <f>VLOOKUP(A38,'Données projet'!$A$139:$I$159,9,0)</f>
        <v>9.1999999999999993</v>
      </c>
      <c r="CS38" s="13">
        <f t="array" ref="CS38">INDEX(CR:CR,MIN(IF(ISNUMBER(CR38:CR234),ROW(CR38:CR234),"")))</f>
        <v>9.1999999999999993</v>
      </c>
      <c r="CT38" s="13">
        <f>IF('Données projet'!$A$140&gt;35,CT37+CS38-DB37,IF(A38&lt;'Données projet'!$A$140,$CQ$205^A38,IF(A38='Données projet'!$A$140,'Données projet'!$B$140,CT37+CS38-DB37)))</f>
        <v>167.99999999999997</v>
      </c>
      <c r="CU38" s="18">
        <f>CT38*VLOOKUP('Données projet'!$B$13,Paramètres!$A$1:$I$89,3,0)*VLOOKUP('Données projet'!$B$13,Paramètres!$A$1:$I$89,5,0)</f>
        <v>146.76480000000001</v>
      </c>
      <c r="CV38" s="14">
        <f t="shared" si="41"/>
        <v>37.842444439956665</v>
      </c>
      <c r="CW38" s="22">
        <f t="shared" si="13"/>
        <v>321.52428406625785</v>
      </c>
      <c r="CX38" s="62">
        <f t="shared" si="14"/>
        <v>614.85761739959116</v>
      </c>
      <c r="CY38" s="62">
        <f ca="1">AVERAGE(OFFSET($CX$3,0,0,'Données projet'!$E$13+1,1))-AVERAGE(OFFSET($H$3,0,0,'Données projet'!$E$13+1,1))</f>
        <v>268.27008134105046</v>
      </c>
      <c r="CZ38" s="62">
        <f t="shared" si="42"/>
        <v>252.36274686619709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27</v>
      </c>
      <c r="DC38" s="17">
        <f>IF(ISNA(VLOOKUP(A38,'Données projet'!$A$139:$I$159,5,0)),0%,VLOOKUP(A38,'Données projet'!$A$139:$I$159,5,0)*VLOOKUP('Données projet'!$B$13,Paramètres!$A$1:$I$89,7,0))</f>
        <v>8.6000000000000007E-2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4.2734819897395759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4.2734819897395759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206</v>
      </c>
      <c r="DM38" s="13">
        <f>VLOOKUP(A38,'Données projet'!$A$165:$I$185,9,0)</f>
        <v>12.8</v>
      </c>
      <c r="DN38" s="13">
        <f t="array" ref="DN38">INDEX(DM:DM,MIN(IF(ISNUMBER(DM38:DM234),ROW(DM38:DM234),"")))</f>
        <v>12.8</v>
      </c>
      <c r="DO38" s="13">
        <f>IF('Données projet'!$A$166&gt;35,DO37+DN38-DW37,IF(A38&lt;'Données projet'!$A$166,$DL$205^A38,IF(A38='Données projet'!$A$166,'Données projet'!$B$166,DO37+DN38-DW37)))</f>
        <v>205.99999999999997</v>
      </c>
      <c r="DP38" s="18">
        <f>DO38*VLOOKUP('Données projet'!$B$14,Paramètres!$A$1:$I$89,3,0)*VLOOKUP('Données projet'!$B$14,Paramètres!$A$1:$I$89,5,0)</f>
        <v>163.89359999999999</v>
      </c>
      <c r="DQ38" s="14">
        <f t="shared" si="43"/>
        <v>41.71949506642347</v>
      </c>
      <c r="DR38" s="22">
        <f t="shared" si="16"/>
        <v>358.10947390735419</v>
      </c>
      <c r="DS38" s="62">
        <f t="shared" si="17"/>
        <v>651.44280724068744</v>
      </c>
      <c r="DT38" s="62">
        <f ca="1">AVERAGE(OFFSET($DS$3,0,0,'Données projet'!$E$14+1,1))-AVERAGE(OFFSET($H$3,0,0,'Données projet'!$E$14+1,1))</f>
        <v>279.49721661620544</v>
      </c>
      <c r="DU38" s="62">
        <f t="shared" si="44"/>
        <v>275.18739333988754</v>
      </c>
      <c r="DV38" s="16">
        <f>IF(ISNA(VLOOKUP(A38,'Données projet'!$A$165:$I$185,3,0)),0,VLOOKUP(A38,'Données projet'!$A$165:$I$185,3,0))</f>
        <v>6</v>
      </c>
      <c r="DW38" s="16">
        <f>IF(ISNA(VLOOKUP(A38,'Données projet'!$A$165:$I$185,4,0)),0,VLOOKUP(A38,'Données projet'!$A$165:$I$185,4,0))</f>
        <v>35</v>
      </c>
      <c r="DX38" s="17">
        <f>IF(ISNA(VLOOKUP(A38,'Données projet'!$A$165:$I$185,5,0)),0%,VLOOKUP(A38,'Données projet'!$A$165:$I$185,5,0)*VLOOKUP('Données projet'!$B$14,Paramètres!$A$1:$I$89,7,0))</f>
        <v>0.10600000000000001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3.2629903879783009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3.2629903879783009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175</v>
      </c>
      <c r="EH38" s="13">
        <f>VLOOKUP(A38,'Données projet'!$A$191:$I$211,9,0)</f>
        <v>12.8</v>
      </c>
      <c r="EI38" s="13">
        <f t="array" ref="EI38">INDEX(EH:EH,MIN(IF(ISNUMBER(EH38:EH234),ROW(EH38:EH234),"")))</f>
        <v>12.8</v>
      </c>
      <c r="EJ38" s="13">
        <f>IF('Données projet'!$A$192&gt;35,EJ37+EI38-ER37,IF(A38&lt;'Données projet'!$A$192,$EG$205^A38,IF(A38='Données projet'!$A$192,'Données projet'!$B$192,EJ37+EI38-ER37)))</f>
        <v>175.00000000000006</v>
      </c>
      <c r="EK38" s="18">
        <f>EJ38*VLOOKUP('Données projet'!$B$15,Paramètres!$A$1:$I$89,3,0)*VLOOKUP('Données projet'!$B$15,Paramètres!$A$1:$I$89,5,0)</f>
        <v>150.15000000000006</v>
      </c>
      <c r="EL38" s="14">
        <f t="shared" si="45"/>
        <v>38.612671675922371</v>
      </c>
      <c r="EM38" s="22">
        <f t="shared" si="19"/>
        <v>328.76165316889825</v>
      </c>
      <c r="EN38" s="62">
        <f t="shared" si="20"/>
        <v>622.09498650223156</v>
      </c>
      <c r="EO38" s="62">
        <f ca="1">AVERAGE(OFFSET($EN$3,0,0,'Données projet'!$E$15+1,1))-AVERAGE(OFFSET($H$3,0,0,'Données projet'!$E$15+1,1))</f>
        <v>394.11074988418096</v>
      </c>
      <c r="EP38" s="62">
        <f t="shared" si="46"/>
        <v>241.85593029696236</v>
      </c>
      <c r="EQ38" s="16">
        <f>IF(ISNA(VLOOKUP(A38,'Données projet'!$A$191:$I$211,3,0)),0,VLOOKUP(A38,'Données projet'!$A$191:$I$211,3,0))</f>
        <v>4</v>
      </c>
      <c r="ER38" s="16">
        <f>IF(ISNA(VLOOKUP(A38,'Données projet'!$A$191:$I$211,4,0)),0,VLOOKUP(A38,'Données projet'!$A$191:$I$211,4,0))</f>
        <v>35</v>
      </c>
      <c r="ES38" s="17">
        <f>IF(ISNA(VLOOKUP(A38,'Données projet'!$A$191:$I$211,5,0)),0%,VLOOKUP(A38,'Données projet'!$A$191:$I$211,5,0)*VLOOKUP('Données projet'!$B$15,Paramètres!$A$1:$I$89,7,0))</f>
        <v>0.10600000000000001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3.5189112027216969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3.5189112027216969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30.777777777777779</v>
      </c>
      <c r="N39" s="14">
        <f>IF('Données projet'!$A$36&gt;35,N38+M39-V38,IF(A39&lt;'Données projet'!$A$36,$K$205^A39,IF(A39='Données projet'!$A$36,'Données projet'!$B$36,N38+M39-V38)))</f>
        <v>610.66666666666697</v>
      </c>
      <c r="O39" s="14">
        <f>N39*VLOOKUP('Données projet'!$B$9,Paramètres!$A$1:$I$89,3,0)*VLOOKUP('Données projet'!$B$9,Paramètres!$A$1:$I$89,5,0)</f>
        <v>341.36266666666688</v>
      </c>
      <c r="P39" s="14">
        <f t="shared" si="33"/>
        <v>79.781416410390818</v>
      </c>
      <c r="Q39" s="22">
        <f t="shared" si="53"/>
        <v>733.49261135920869</v>
      </c>
      <c r="R39" s="62">
        <f t="shared" si="0"/>
        <v>1026.825944692542</v>
      </c>
      <c r="S39" s="62">
        <f ca="1">AVERAGE(OFFSET($R$3,0,0,'Données projet'!$E$9+1,1))-AVERAGE(OFFSET($H$3,0,0,'Données projet'!$E$9+1,1))</f>
        <v>539.2446452106276</v>
      </c>
      <c r="T39" s="62">
        <f t="shared" si="34"/>
        <v>596.73830276071465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23.413172454243664</v>
      </c>
      <c r="AA39" s="23">
        <f>EXP(-LN(2)/25)*AA38+(1-EXP(-LN(2)/25))/(LN(2)/25)*Calculateur!V39*Calculateur!X39*VLOOKUP('Données projet'!$B$9,Paramètres!$A$1:$I$89,3,0)*0.475*44/12</f>
        <v>24.441719665615111</v>
      </c>
      <c r="AB39" s="23">
        <f>EXP(-LN(2)/2)*AB38+(1-EXP(-LN(2)/2))/(LN(2)/2)*V39*Y39*VLOOKUP('Données projet'!$B$9,Paramètres!$A$1:$I$89,3,0)*0.475*44/12</f>
        <v>2.118467789101711</v>
      </c>
      <c r="AC39" s="24">
        <f t="shared" si="3"/>
        <v>49.973359908960489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13.8</v>
      </c>
      <c r="AI39" s="14">
        <f>IF('Données projet'!$A$62&gt;35,AI38+AH39-AQ38,IF(A39&lt;'Données projet'!$A$62,$AF$205^A39,IF(A39='Données projet'!$A$62,'Données projet'!$B$62,AI38+AH39-AQ38)))</f>
        <v>267.8</v>
      </c>
      <c r="AJ39" s="14">
        <f>AI39*VLOOKUP('Données projet'!$B$10,Paramètres!$A$1:$I$89,3,0)*VLOOKUP('Données projet'!$B$10,Paramètres!$A$1:$I$89,5,0)</f>
        <v>146.21880000000002</v>
      </c>
      <c r="AK39" s="14">
        <f t="shared" si="35"/>
        <v>37.718021695224742</v>
      </c>
      <c r="AL39" s="22">
        <f t="shared" si="4"/>
        <v>320.35663111918308</v>
      </c>
      <c r="AM39" s="62">
        <f t="shared" si="5"/>
        <v>613.68996445251639</v>
      </c>
      <c r="AN39" s="62">
        <f ca="1">AVERAGE(OFFSET($AM$3,0,0,'Données projet'!$E$10+1,1))-AVERAGE(OFFSET($H$3,0,0,'Données projet'!$E$10+1,1))</f>
        <v>262.6671000229498</v>
      </c>
      <c r="AO39" s="62">
        <f t="shared" si="36"/>
        <v>289.30432245776024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19.626857456388958</v>
      </c>
      <c r="AV39" s="23">
        <f>EXP(-LN(2)/25)*AV38+(1-EXP(-LN(2)/25))/(LN(2)/25)*Calculateur!AQ39*Calculateur!AS39*VLOOKUP('Données projet'!$B$10,Paramètres!$A$1:$I$89,3,0)*0.475*44/12</f>
        <v>32.33827086347663</v>
      </c>
      <c r="AW39" s="23">
        <f>EXP(-LN(2)/2)*AW38+(1-EXP(-LN(2)/2))/(LN(2)/2)*AQ39*AT39*VLOOKUP('Données projet'!$B$10,Paramètres!$A$1:$I$89,3,0)*0.475*44/12</f>
        <v>6.5460134029590069</v>
      </c>
      <c r="AX39" s="23">
        <f t="shared" si="6"/>
        <v>58.51114172282459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8.8000000000000007</v>
      </c>
      <c r="CT39" s="13">
        <f>IF('Données projet'!$A$140&gt;35,CT38+CS39-DB38,IF(A39&lt;'Données projet'!$A$140,$CQ$205^A39,IF(A39='Données projet'!$A$140,'Données projet'!$B$140,CT38+CS39-DB38)))</f>
        <v>149.79999999999998</v>
      </c>
      <c r="CU39" s="18">
        <f>CT39*VLOOKUP('Données projet'!$B$13,Paramètres!$A$1:$I$89,3,0)*VLOOKUP('Données projet'!$B$13,Paramètres!$A$1:$I$89,5,0)</f>
        <v>130.86528000000001</v>
      </c>
      <c r="CV39" s="14">
        <f t="shared" si="41"/>
        <v>34.19622287336729</v>
      </c>
      <c r="CW39" s="22">
        <f t="shared" si="13"/>
        <v>287.48211750444801</v>
      </c>
      <c r="CX39" s="62">
        <f t="shared" si="14"/>
        <v>580.81545083778133</v>
      </c>
      <c r="CY39" s="62">
        <f ca="1">AVERAGE(OFFSET($CX$3,0,0,'Données projet'!$E$13+1,1))-AVERAGE(OFFSET($H$3,0,0,'Données projet'!$E$13+1,1))</f>
        <v>268.27008134105046</v>
      </c>
      <c r="CZ39" s="62">
        <f t="shared" si="42"/>
        <v>252.36274686619709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4.1896816144874194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4.1896816144874194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11.4</v>
      </c>
      <c r="DO39" s="13">
        <f>IF('Données projet'!$A$166&gt;35,DO38+DN39-DW38,IF(A39&lt;'Données projet'!$A$166,$DL$205^A39,IF(A39='Données projet'!$A$166,'Données projet'!$B$166,DO38+DN39-DW38)))</f>
        <v>182.39999999999998</v>
      </c>
      <c r="DP39" s="18">
        <f>DO39*VLOOKUP('Données projet'!$B$14,Paramètres!$A$1:$I$89,3,0)*VLOOKUP('Données projet'!$B$14,Paramètres!$A$1:$I$89,5,0)</f>
        <v>145.11743999999999</v>
      </c>
      <c r="DQ39" s="14">
        <f t="shared" si="43"/>
        <v>37.466878406916173</v>
      </c>
      <c r="DR39" s="22">
        <f t="shared" si="16"/>
        <v>318.00102122537896</v>
      </c>
      <c r="DS39" s="62">
        <f t="shared" si="17"/>
        <v>611.33435455871222</v>
      </c>
      <c r="DT39" s="62">
        <f ca="1">AVERAGE(OFFSET($DS$3,0,0,'Données projet'!$E$14+1,1))-AVERAGE(OFFSET($H$3,0,0,'Données projet'!$E$14+1,1))</f>
        <v>279.49721661620544</v>
      </c>
      <c r="DU39" s="62">
        <f t="shared" si="44"/>
        <v>275.18739333988754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3.1990051366976644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3.1990051366976644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13.4</v>
      </c>
      <c r="EJ39" s="13">
        <f>IF('Données projet'!$A$192&gt;35,EJ38+EI39-ER38,IF(A39&lt;'Données projet'!$A$192,$EG$205^A39,IF(A39='Données projet'!$A$192,'Données projet'!$B$192,EJ38+EI39-ER38)))</f>
        <v>153.40000000000006</v>
      </c>
      <c r="EK39" s="18">
        <f>EJ39*VLOOKUP('Données projet'!$B$15,Paramètres!$A$1:$I$89,3,0)*VLOOKUP('Données projet'!$B$15,Paramètres!$A$1:$I$89,5,0)</f>
        <v>131.61720000000008</v>
      </c>
      <c r="EL39" s="14">
        <f t="shared" si="45"/>
        <v>34.369777461794328</v>
      </c>
      <c r="EM39" s="22">
        <f t="shared" si="19"/>
        <v>289.09398574595861</v>
      </c>
      <c r="EN39" s="62">
        <f t="shared" si="20"/>
        <v>582.42731907929192</v>
      </c>
      <c r="EO39" s="62">
        <f ca="1">AVERAGE(OFFSET($EN$3,0,0,'Données projet'!$E$15+1,1))-AVERAGE(OFFSET($H$3,0,0,'Données projet'!$E$15+1,1))</f>
        <v>394.11074988418096</v>
      </c>
      <c r="EP39" s="62">
        <f t="shared" si="46"/>
        <v>241.85593029696236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3.4499075003602262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3.4499075003602262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30.777777777777779</v>
      </c>
      <c r="N40" s="14">
        <f>IF('Données projet'!$A$36&gt;35,N39+M40-V39,IF(A40&lt;'Données projet'!$A$36,$K$205^A40,IF(A40='Données projet'!$A$36,'Données projet'!$B$36,N39+M40-V39)))</f>
        <v>641.4444444444448</v>
      </c>
      <c r="O40" s="14">
        <f>N40*VLOOKUP('Données projet'!$B$9,Paramètres!$A$1:$I$89,3,0)*VLOOKUP('Données projet'!$B$9,Paramètres!$A$1:$I$89,5,0)</f>
        <v>358.56744444444462</v>
      </c>
      <c r="P40" s="14">
        <f t="shared" si="33"/>
        <v>83.324146377658991</v>
      </c>
      <c r="Q40" s="22">
        <f t="shared" si="53"/>
        <v>769.62785401516373</v>
      </c>
      <c r="R40" s="62">
        <f t="shared" si="0"/>
        <v>1062.9611873484971</v>
      </c>
      <c r="S40" s="62">
        <f ca="1">AVERAGE(OFFSET($R$3,0,0,'Données projet'!$E$9+1,1))-AVERAGE(OFFSET($H$3,0,0,'Données projet'!$E$9+1,1))</f>
        <v>539.2446452106276</v>
      </c>
      <c r="T40" s="62">
        <f t="shared" si="34"/>
        <v>596.73830276071465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22.954054423041047</v>
      </c>
      <c r="AA40" s="23">
        <f>EXP(-LN(2)/25)*AA39+(1-EXP(-LN(2)/25))/(LN(2)/25)*Calculateur!V40*Calculateur!X40*VLOOKUP('Données projet'!$B$9,Paramètres!$A$1:$I$89,3,0)*0.475*44/12</f>
        <v>23.77335955602469</v>
      </c>
      <c r="AB40" s="23">
        <f>EXP(-LN(2)/2)*AB39+(1-EXP(-LN(2)/2))/(LN(2)/2)*V40*Y40*VLOOKUP('Données projet'!$B$9,Paramètres!$A$1:$I$89,3,0)*0.475*44/12</f>
        <v>1.4979829393990927</v>
      </c>
      <c r="AC40" s="24">
        <f t="shared" si="3"/>
        <v>48.225396918464831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13.8</v>
      </c>
      <c r="AI40" s="14">
        <f>IF('Données projet'!$A$62&gt;35,AI39+AH40-AQ39,IF(A40&lt;'Données projet'!$A$62,$AF$205^A40,IF(A40='Données projet'!$A$62,'Données projet'!$B$62,AI39+AH40-AQ39)))</f>
        <v>281.60000000000002</v>
      </c>
      <c r="AJ40" s="14">
        <f>AI40*VLOOKUP('Données projet'!$B$10,Paramètres!$A$1:$I$89,3,0)*VLOOKUP('Données projet'!$B$10,Paramètres!$A$1:$I$89,5,0)</f>
        <v>153.75360000000001</v>
      </c>
      <c r="AK40" s="14">
        <f t="shared" si="35"/>
        <v>39.430373774012359</v>
      </c>
      <c r="AL40" s="22">
        <f t="shared" si="4"/>
        <v>336.46208765640489</v>
      </c>
      <c r="AM40" s="62">
        <f t="shared" si="5"/>
        <v>629.7954209897382</v>
      </c>
      <c r="AN40" s="62">
        <f ca="1">AVERAGE(OFFSET($AM$3,0,0,'Données projet'!$E$10+1,1))-AVERAGE(OFFSET($H$3,0,0,'Données projet'!$E$10+1,1))</f>
        <v>262.6671000229498</v>
      </c>
      <c r="AO40" s="62">
        <f t="shared" si="36"/>
        <v>289.30432245776024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19.241986752870162</v>
      </c>
      <c r="AV40" s="23">
        <f>EXP(-LN(2)/25)*AV39+(1-EXP(-LN(2)/25))/(LN(2)/25)*Calculateur!AQ40*Calculateur!AS40*VLOOKUP('Données projet'!$B$10,Paramètres!$A$1:$I$89,3,0)*0.475*44/12</f>
        <v>31.453979146119107</v>
      </c>
      <c r="AW40" s="23">
        <f>EXP(-LN(2)/2)*AW39+(1-EXP(-LN(2)/2))/(LN(2)/2)*AQ40*AT40*VLOOKUP('Données projet'!$B$10,Paramètres!$A$1:$I$89,3,0)*0.475*44/12</f>
        <v>4.6287304669703424</v>
      </c>
      <c r="AX40" s="23">
        <f t="shared" si="6"/>
        <v>55.32469636595961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8.8000000000000007</v>
      </c>
      <c r="CT40" s="13">
        <f>IF('Données projet'!$A$140&gt;35,CT39+CS40-DB39,IF(A40&lt;'Données projet'!$A$140,$CQ$205^A40,IF(A40='Données projet'!$A$140,'Données projet'!$B$140,CT39+CS40-DB39)))</f>
        <v>158.6</v>
      </c>
      <c r="CU40" s="18">
        <f>CT40*VLOOKUP('Données projet'!$B$13,Paramètres!$A$1:$I$89,3,0)*VLOOKUP('Données projet'!$B$13,Paramètres!$A$1:$I$89,5,0)</f>
        <v>138.55296000000001</v>
      </c>
      <c r="CV40" s="14">
        <f t="shared" si="41"/>
        <v>35.965308766301796</v>
      </c>
      <c r="CW40" s="22">
        <f t="shared" si="13"/>
        <v>303.95265143464229</v>
      </c>
      <c r="CX40" s="62">
        <f t="shared" si="14"/>
        <v>597.28598476797561</v>
      </c>
      <c r="CY40" s="62">
        <f ca="1">AVERAGE(OFFSET($CX$3,0,0,'Données projet'!$E$13+1,1))-AVERAGE(OFFSET($H$3,0,0,'Données projet'!$E$13+1,1))</f>
        <v>268.27008134105046</v>
      </c>
      <c r="CZ40" s="62">
        <f t="shared" si="42"/>
        <v>252.36274686619709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4.1075245134807759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4.1075245134807759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11.4</v>
      </c>
      <c r="DO40" s="13">
        <f>IF('Données projet'!$A$166&gt;35,DO39+DN40-DW39,IF(A40&lt;'Données projet'!$A$166,$DL$205^A40,IF(A40='Données projet'!$A$166,'Données projet'!$B$166,DO39+DN40-DW39)))</f>
        <v>193.79999999999998</v>
      </c>
      <c r="DP40" s="18">
        <f>DO40*VLOOKUP('Données projet'!$B$14,Paramètres!$A$1:$I$89,3,0)*VLOOKUP('Données projet'!$B$14,Paramètres!$A$1:$I$89,5,0)</f>
        <v>154.18727999999999</v>
      </c>
      <c r="DQ40" s="14">
        <f t="shared" si="43"/>
        <v>39.528629863903078</v>
      </c>
      <c r="DR40" s="22">
        <f t="shared" si="16"/>
        <v>337.38854301296448</v>
      </c>
      <c r="DS40" s="62">
        <f t="shared" si="17"/>
        <v>630.72187634629779</v>
      </c>
      <c r="DT40" s="62">
        <f ca="1">AVERAGE(OFFSET($DS$3,0,0,'Données projet'!$E$14+1,1))-AVERAGE(OFFSET($H$3,0,0,'Données projet'!$E$14+1,1))</f>
        <v>279.49721661620544</v>
      </c>
      <c r="DU40" s="62">
        <f t="shared" si="44"/>
        <v>275.18739333988754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3.1362745971674917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3.1362745971674917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13.4</v>
      </c>
      <c r="EJ40" s="13">
        <f>IF('Données projet'!$A$192&gt;35,EJ39+EI40-ER39,IF(A40&lt;'Données projet'!$A$192,$EG$205^A40,IF(A40='Données projet'!$A$192,'Données projet'!$B$192,EJ39+EI40-ER39)))</f>
        <v>166.80000000000007</v>
      </c>
      <c r="EK40" s="18">
        <f>EJ40*VLOOKUP('Données projet'!$B$15,Paramètres!$A$1:$I$89,3,0)*VLOOKUP('Données projet'!$B$15,Paramètres!$A$1:$I$89,5,0)</f>
        <v>143.11440000000007</v>
      </c>
      <c r="EL40" s="14">
        <f t="shared" si="45"/>
        <v>37.009554635379814</v>
      </c>
      <c r="EM40" s="22">
        <f t="shared" si="19"/>
        <v>313.71588765662</v>
      </c>
      <c r="EN40" s="62">
        <f t="shared" si="20"/>
        <v>607.04922098995326</v>
      </c>
      <c r="EO40" s="62">
        <f ca="1">AVERAGE(OFFSET($EN$3,0,0,'Données projet'!$E$15+1,1))-AVERAGE(OFFSET($H$3,0,0,'Données projet'!$E$15+1,1))</f>
        <v>394.11074988418096</v>
      </c>
      <c r="EP40" s="62">
        <f t="shared" si="46"/>
        <v>241.85593029696236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3.3822569185139613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3.3822569185139613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30.777777777777779</v>
      </c>
      <c r="N41" s="14">
        <f>IF('Données projet'!$A$36&gt;35,N40+M41-V40,IF(A41&lt;'Données projet'!$A$36,$K$205^A41,IF(A41='Données projet'!$A$36,'Données projet'!$B$36,N40+M41-V40)))</f>
        <v>672.22222222222263</v>
      </c>
      <c r="O41" s="14">
        <f>N41*VLOOKUP('Données projet'!$B$9,Paramètres!$A$1:$I$89,3,0)*VLOOKUP('Données projet'!$B$9,Paramètres!$A$1:$I$89,5,0)</f>
        <v>375.77222222222247</v>
      </c>
      <c r="P41" s="14">
        <f t="shared" si="33"/>
        <v>86.847136987907206</v>
      </c>
      <c r="Q41" s="22">
        <f t="shared" si="53"/>
        <v>805.72871729097585</v>
      </c>
      <c r="R41" s="62">
        <f t="shared" si="0"/>
        <v>1099.0620506243092</v>
      </c>
      <c r="S41" s="62">
        <f ca="1">AVERAGE(OFFSET($R$3,0,0,'Données projet'!$E$9+1,1))-AVERAGE(OFFSET($H$3,0,0,'Données projet'!$E$9+1,1))</f>
        <v>539.2446452106276</v>
      </c>
      <c r="T41" s="62">
        <f t="shared" si="34"/>
        <v>596.73830276071465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22.503939416395966</v>
      </c>
      <c r="AA41" s="23">
        <f>EXP(-LN(2)/25)*AA40+(1-EXP(-LN(2)/25))/(LN(2)/25)*Calculateur!V41*Calculateur!X41*VLOOKUP('Données projet'!$B$9,Paramètres!$A$1:$I$89,3,0)*0.475*44/12</f>
        <v>23.12327578877855</v>
      </c>
      <c r="AB41" s="23">
        <f>EXP(-LN(2)/2)*AB40+(1-EXP(-LN(2)/2))/(LN(2)/2)*V41*Y41*VLOOKUP('Données projet'!$B$9,Paramètres!$A$1:$I$89,3,0)*0.475*44/12</f>
        <v>1.0592338945508555</v>
      </c>
      <c r="AC41" s="24">
        <f t="shared" si="3"/>
        <v>46.686449099725372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13.8</v>
      </c>
      <c r="AI41" s="14">
        <f>IF('Données projet'!$A$62&gt;35,AI40+AH41-AQ40,IF(A41&lt;'Données projet'!$A$62,$AF$205^A41,IF(A41='Données projet'!$A$62,'Données projet'!$B$62,AI40+AH41-AQ40)))</f>
        <v>295.40000000000003</v>
      </c>
      <c r="AJ41" s="14">
        <f>AI41*VLOOKUP('Données projet'!$B$10,Paramètres!$A$1:$I$89,3,0)*VLOOKUP('Données projet'!$B$10,Paramètres!$A$1:$I$89,5,0)</f>
        <v>161.28840000000002</v>
      </c>
      <c r="AK41" s="14">
        <f t="shared" si="35"/>
        <v>41.132981837107195</v>
      </c>
      <c r="AL41" s="22">
        <f t="shared" si="4"/>
        <v>352.55057336629505</v>
      </c>
      <c r="AM41" s="62">
        <f t="shared" si="5"/>
        <v>645.88390669962837</v>
      </c>
      <c r="AN41" s="62">
        <f ca="1">AVERAGE(OFFSET($AM$3,0,0,'Données projet'!$E$10+1,1))-AVERAGE(OFFSET($H$3,0,0,'Données projet'!$E$10+1,1))</f>
        <v>262.6671000229498</v>
      </c>
      <c r="AO41" s="62">
        <f t="shared" si="36"/>
        <v>289.30432245776024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18.864663129099419</v>
      </c>
      <c r="AV41" s="23">
        <f>EXP(-LN(2)/25)*AV40+(1-EXP(-LN(2)/25))/(LN(2)/25)*Calculateur!AQ41*Calculateur!AS41*VLOOKUP('Données projet'!$B$10,Paramètres!$A$1:$I$89,3,0)*0.475*44/12</f>
        <v>30.593868432275606</v>
      </c>
      <c r="AW41" s="23">
        <f>EXP(-LN(2)/2)*AW40+(1-EXP(-LN(2)/2))/(LN(2)/2)*AQ41*AT41*VLOOKUP('Données projet'!$B$10,Paramètres!$A$1:$I$89,3,0)*0.475*44/12</f>
        <v>3.2730067014795039</v>
      </c>
      <c r="AX41" s="23">
        <f t="shared" si="6"/>
        <v>52.731538262854528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8.8000000000000007</v>
      </c>
      <c r="CT41" s="13">
        <f>IF('Données projet'!$A$140&gt;35,CT40+CS41-DB40,IF(A41&lt;'Données projet'!$A$140,$CQ$205^A41,IF(A41='Données projet'!$A$140,'Données projet'!$B$140,CT40+CS41-DB40)))</f>
        <v>167.4</v>
      </c>
      <c r="CU41" s="18">
        <f>CT41*VLOOKUP('Données projet'!$B$13,Paramètres!$A$1:$I$89,3,0)*VLOOKUP('Données projet'!$B$13,Paramètres!$A$1:$I$89,5,0)</f>
        <v>146.24064000000001</v>
      </c>
      <c r="CV41" s="14">
        <f t="shared" si="41"/>
        <v>37.722999642090628</v>
      </c>
      <c r="CW41" s="22">
        <f t="shared" si="13"/>
        <v>320.40333904330788</v>
      </c>
      <c r="CX41" s="62">
        <f t="shared" si="14"/>
        <v>613.7366723766412</v>
      </c>
      <c r="CY41" s="62">
        <f ca="1">AVERAGE(OFFSET($CX$3,0,0,'Données projet'!$E$13+1,1))-AVERAGE(OFFSET($H$3,0,0,'Données projet'!$E$13+1,1))</f>
        <v>268.27008134105046</v>
      </c>
      <c r="CZ41" s="62">
        <f t="shared" si="42"/>
        <v>252.36274686619709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4.0269784631139887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4.0269784631139887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11.4</v>
      </c>
      <c r="DO41" s="13">
        <f>IF('Données projet'!$A$166&gt;35,DO40+DN41-DW40,IF(A41&lt;'Données projet'!$A$166,$DL$205^A41,IF(A41='Données projet'!$A$166,'Données projet'!$B$166,DO40+DN41-DW40)))</f>
        <v>205.2</v>
      </c>
      <c r="DP41" s="18">
        <f>DO41*VLOOKUP('Données projet'!$B$14,Paramètres!$A$1:$I$89,3,0)*VLOOKUP('Données projet'!$B$14,Paramètres!$A$1:$I$89,5,0)</f>
        <v>163.25712000000001</v>
      </c>
      <c r="DQ41" s="14">
        <f t="shared" si="43"/>
        <v>41.576304038313076</v>
      </c>
      <c r="DR41" s="22">
        <f t="shared" si="16"/>
        <v>356.75154686672863</v>
      </c>
      <c r="DS41" s="62">
        <f t="shared" si="17"/>
        <v>650.08488020006189</v>
      </c>
      <c r="DT41" s="62">
        <f ca="1">AVERAGE(OFFSET($DS$3,0,0,'Données projet'!$E$14+1,1))-AVERAGE(OFFSET($H$3,0,0,'Données projet'!$E$14+1,1))</f>
        <v>279.49721661620544</v>
      </c>
      <c r="DU41" s="62">
        <f t="shared" si="44"/>
        <v>275.18739333988754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3.0747741652556546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3.0747741652556546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13.4</v>
      </c>
      <c r="EJ41" s="13">
        <f>IF('Données projet'!$A$192&gt;35,EJ40+EI41-ER40,IF(A41&lt;'Données projet'!$A$192,$EG$205^A41,IF(A41='Données projet'!$A$192,'Données projet'!$B$192,EJ40+EI41-ER40)))</f>
        <v>180.20000000000007</v>
      </c>
      <c r="EK41" s="18">
        <f>EJ41*VLOOKUP('Données projet'!$B$15,Paramètres!$A$1:$I$89,3,0)*VLOOKUP('Données projet'!$B$15,Paramètres!$A$1:$I$89,5,0)</f>
        <v>154.61160000000007</v>
      </c>
      <c r="EL41" s="14">
        <f t="shared" si="45"/>
        <v>39.624734188365885</v>
      </c>
      <c r="EM41" s="22">
        <f t="shared" si="19"/>
        <v>338.294948711404</v>
      </c>
      <c r="EN41" s="62">
        <f t="shared" si="20"/>
        <v>631.62828204473726</v>
      </c>
      <c r="EO41" s="62">
        <f ca="1">AVERAGE(OFFSET($EN$3,0,0,'Données projet'!$E$15+1,1))-AVERAGE(OFFSET($H$3,0,0,'Données projet'!$E$15+1,1))</f>
        <v>394.11074988418096</v>
      </c>
      <c r="EP41" s="62">
        <f t="shared" si="46"/>
        <v>241.85593029696236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3.3159329233149211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3.3159329233149211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>
        <f>VLOOKUP(A42,'Données projet'!$A$35:$I$55,2,0)</f>
        <v>703</v>
      </c>
      <c r="L42" s="13">
        <f>VLOOKUP(A42,'Données projet'!$A$35:$I$55,9,0)</f>
        <v>30.777777777777779</v>
      </c>
      <c r="M42" s="13">
        <f t="array" ref="M42">INDEX(L:L,MIN(IF(ISNUMBER(L42:L238),ROW(L42:L238),"")))</f>
        <v>30.777777777777779</v>
      </c>
      <c r="N42" s="14">
        <f>IF('Données projet'!$A$36&gt;35,N41+M42-V41,IF(A42&lt;'Données projet'!$A$36,$K$205^A42,IF(A42='Données projet'!$A$36,'Données projet'!$B$36,N41+M42-V41)))</f>
        <v>703.00000000000045</v>
      </c>
      <c r="O42" s="14">
        <f>N42*VLOOKUP('Données projet'!$B$9,Paramètres!$A$1:$I$89,3,0)*VLOOKUP('Données projet'!$B$9,Paramètres!$A$1:$I$89,5,0)</f>
        <v>392.97700000000026</v>
      </c>
      <c r="P42" s="14">
        <f t="shared" si="33"/>
        <v>90.351395243981599</v>
      </c>
      <c r="Q42" s="22">
        <f t="shared" si="53"/>
        <v>841.79695504993504</v>
      </c>
      <c r="R42" s="62">
        <f t="shared" si="0"/>
        <v>1135.1302883832684</v>
      </c>
      <c r="S42" s="62">
        <f ca="1">AVERAGE(OFFSET($R$3,0,0,'Données projet'!$E$9+1,1))-AVERAGE(OFFSET($H$3,0,0,'Données projet'!$E$9+1,1))</f>
        <v>539.2446452106276</v>
      </c>
      <c r="T42" s="62">
        <f t="shared" si="34"/>
        <v>596.73830276071465</v>
      </c>
      <c r="U42" s="16">
        <f>IF(ISNA(VLOOKUP(A42,'Données projet'!$A$35:$I$55,3,0)),0,VLOOKUP(A42,'Données projet'!$A$35:$I$55,3,0))</f>
        <v>5</v>
      </c>
      <c r="V42" s="16">
        <f>IF(ISNA(VLOOKUP(A42,'Données projet'!$A$35:$I$55,4,0)),0,VLOOKUP(A42,'Données projet'!$A$35:$I$55,4,0))</f>
        <v>101</v>
      </c>
      <c r="W42" s="17">
        <f>IF(ISNA(VLOOKUP(A42,'Données projet'!$A$35:$I$55,5,0)),0%,VLOOKUP(A42,'Données projet'!$A$35:$I$55,5,0)*VLOOKUP('Données projet'!$B$9,Paramètres!$A$1:$I$89,7,0))</f>
        <v>0.27500000000000002</v>
      </c>
      <c r="X42" s="17">
        <f>IF(ISNA(VLOOKUP(A42,'Données projet'!$A$35:$I$55,6,0)),0%,VLOOKUP(A42,'Données projet'!$A$35:$I$55,6,0)*VLOOKUP('Données projet'!$B$9,Paramètres!$A$1:$I$89,7,0))</f>
        <v>0.15400000000000003</v>
      </c>
      <c r="Y42" s="17">
        <f>IF(ISNA(VLOOKUP(A42,'Données projet'!$A$35:$I$55,7,0)),0%,VLOOKUP(A42,'Données projet'!$A$35:$I$55,7,0))</f>
        <v>0.22</v>
      </c>
      <c r="Z42" s="23">
        <f>EXP(-LN(2)/35)*Z41+(1-EXP(-LN(2)/35))/(LN(2)/35)*V42*W42*VLOOKUP('Données projet'!$B$9,Paramètres!$A$1:$I$89,3,0)*0.475*44/12</f>
        <v>42.65918910264493</v>
      </c>
      <c r="AA42" s="23">
        <f>EXP(-LN(2)/25)*AA41+(1-EXP(-LN(2)/25))/(LN(2)/25)*Calculateur!V42*Calculateur!X42*VLOOKUP('Données projet'!$B$9,Paramètres!$A$1:$I$89,3,0)*0.475*44/12</f>
        <v>33.979616000592927</v>
      </c>
      <c r="AB42" s="23">
        <f>EXP(-LN(2)/2)*AB41+(1-EXP(-LN(2)/2))/(LN(2)/2)*V42*Y42*VLOOKUP('Données projet'!$B$9,Paramètres!$A$1:$I$89,3,0)*0.475*44/12</f>
        <v>14.812426192629831</v>
      </c>
      <c r="AC42" s="24">
        <f t="shared" si="3"/>
        <v>91.451231295867686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13.8</v>
      </c>
      <c r="AI42" s="14">
        <f>IF('Données projet'!$A$62&gt;35,AI41+AH42-AQ41,IF(A42&lt;'Données projet'!$A$62,$AF$205^A42,IF(A42='Données projet'!$A$62,'Données projet'!$B$62,AI41+AH42-AQ41)))</f>
        <v>309.20000000000005</v>
      </c>
      <c r="AJ42" s="14">
        <f>AI42*VLOOKUP('Données projet'!$B$10,Paramètres!$A$1:$I$89,3,0)*VLOOKUP('Données projet'!$B$10,Paramètres!$A$1:$I$89,5,0)</f>
        <v>168.82320000000001</v>
      </c>
      <c r="AK42" s="14">
        <f t="shared" si="35"/>
        <v>42.826353072849329</v>
      </c>
      <c r="AL42" s="22">
        <f t="shared" si="4"/>
        <v>368.62297160187927</v>
      </c>
      <c r="AM42" s="62">
        <f t="shared" si="5"/>
        <v>661.95630493521253</v>
      </c>
      <c r="AN42" s="62">
        <f ca="1">AVERAGE(OFFSET($AM$3,0,0,'Données projet'!$E$10+1,1))-AVERAGE(OFFSET($H$3,0,0,'Données projet'!$E$10+1,1))</f>
        <v>262.6671000229498</v>
      </c>
      <c r="AO42" s="62">
        <f t="shared" si="36"/>
        <v>289.30432245776024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18.494738591446136</v>
      </c>
      <c r="AV42" s="23">
        <f>EXP(-LN(2)/25)*AV41+(1-EXP(-LN(2)/25))/(LN(2)/25)*Calculateur!AQ42*Calculateur!AS42*VLOOKUP('Données projet'!$B$10,Paramètres!$A$1:$I$89,3,0)*0.475*44/12</f>
        <v>29.757277491133411</v>
      </c>
      <c r="AW42" s="23">
        <f>EXP(-LN(2)/2)*AW41+(1-EXP(-LN(2)/2))/(LN(2)/2)*AQ42*AT42*VLOOKUP('Données projet'!$B$10,Paramètres!$A$1:$I$89,3,0)*0.475*44/12</f>
        <v>2.3143652334851712</v>
      </c>
      <c r="AX42" s="23">
        <f t="shared" si="6"/>
        <v>50.566381316064714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8.8000000000000007</v>
      </c>
      <c r="CT42" s="13">
        <f>IF('Données projet'!$A$140&gt;35,CT41+CS42-DB41,IF(A42&lt;'Données projet'!$A$140,$CQ$205^A42,IF(A42='Données projet'!$A$140,'Données projet'!$B$140,CT41+CS42-DB41)))</f>
        <v>176.20000000000002</v>
      </c>
      <c r="CU42" s="18">
        <f>CT42*VLOOKUP('Données projet'!$B$13,Paramètres!$A$1:$I$89,3,0)*VLOOKUP('Données projet'!$B$13,Paramètres!$A$1:$I$89,5,0)</f>
        <v>153.92832000000004</v>
      </c>
      <c r="CV42" s="14">
        <f t="shared" si="41"/>
        <v>39.469962836517794</v>
      </c>
      <c r="CW42" s="22">
        <f t="shared" si="13"/>
        <v>336.83534260693523</v>
      </c>
      <c r="CX42" s="62">
        <f t="shared" si="14"/>
        <v>630.16867594026849</v>
      </c>
      <c r="CY42" s="62">
        <f ca="1">AVERAGE(OFFSET($CX$3,0,0,'Données projet'!$E$13+1,1))-AVERAGE(OFFSET($H$3,0,0,'Données projet'!$E$13+1,1))</f>
        <v>268.27008134105046</v>
      </c>
      <c r="CZ42" s="62">
        <f t="shared" si="42"/>
        <v>252.36274686619709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3.948011871666655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3.948011871666655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11.4</v>
      </c>
      <c r="DO42" s="13">
        <f>IF('Données projet'!$A$166&gt;35,DO41+DN42-DW41,IF(A42&lt;'Données projet'!$A$166,$DL$205^A42,IF(A42='Données projet'!$A$166,'Données projet'!$B$166,DO41+DN42-DW41)))</f>
        <v>216.6</v>
      </c>
      <c r="DP42" s="18">
        <f>DO42*VLOOKUP('Données projet'!$B$14,Paramètres!$A$1:$I$89,3,0)*VLOOKUP('Données projet'!$B$14,Paramètres!$A$1:$I$89,5,0)</f>
        <v>172.32695999999999</v>
      </c>
      <c r="DQ42" s="14">
        <f t="shared" si="43"/>
        <v>43.61077213808133</v>
      </c>
      <c r="DR42" s="22">
        <f t="shared" si="16"/>
        <v>376.09155014049156</v>
      </c>
      <c r="DS42" s="62">
        <f t="shared" si="17"/>
        <v>669.42488347382482</v>
      </c>
      <c r="DT42" s="62">
        <f ca="1">AVERAGE(OFFSET($DS$3,0,0,'Données projet'!$E$14+1,1))-AVERAGE(OFFSET($H$3,0,0,'Données projet'!$E$14+1,1))</f>
        <v>279.49721661620544</v>
      </c>
      <c r="DU42" s="62">
        <f t="shared" si="44"/>
        <v>275.18739333988754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3.0144797193020492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3.0144797193020492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13.4</v>
      </c>
      <c r="EJ42" s="13">
        <f>IF('Données projet'!$A$192&gt;35,EJ41+EI42-ER41,IF(A42&lt;'Données projet'!$A$192,$EG$205^A42,IF(A42='Données projet'!$A$192,'Données projet'!$B$192,EJ41+EI42-ER41)))</f>
        <v>193.60000000000008</v>
      </c>
      <c r="EK42" s="18">
        <f>EJ42*VLOOKUP('Données projet'!$B$15,Paramètres!$A$1:$I$89,3,0)*VLOOKUP('Données projet'!$B$15,Paramètres!$A$1:$I$89,5,0)</f>
        <v>166.10880000000009</v>
      </c>
      <c r="EL42" s="14">
        <f t="shared" si="45"/>
        <v>42.217353238107833</v>
      </c>
      <c r="EM42" s="22">
        <f t="shared" si="19"/>
        <v>362.83471688970462</v>
      </c>
      <c r="EN42" s="62">
        <f t="shared" si="20"/>
        <v>656.16805022303788</v>
      </c>
      <c r="EO42" s="62">
        <f ca="1">AVERAGE(OFFSET($EN$3,0,0,'Données projet'!$E$15+1,1))-AVERAGE(OFFSET($H$3,0,0,'Données projet'!$E$15+1,1))</f>
        <v>394.11074988418096</v>
      </c>
      <c r="EP42" s="62">
        <f t="shared" si="46"/>
        <v>241.85593029696236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3.2509095012080915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3.2509095012080915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30</v>
      </c>
      <c r="N43" s="14">
        <f>IF('Données projet'!$A$36&gt;35,N42+M43-V42,IF(A43&lt;'Données projet'!$A$36,$K$205^A43,IF(A43='Données projet'!$A$36,'Données projet'!$B$36,N42+M43-V42)))</f>
        <v>632.00000000000045</v>
      </c>
      <c r="O43" s="14">
        <f>N43*VLOOKUP('Données projet'!$B$9,Paramètres!$A$1:$I$89,3,0)*VLOOKUP('Données projet'!$B$9,Paramètres!$A$1:$I$89,5,0)</f>
        <v>353.2880000000003</v>
      </c>
      <c r="P43" s="14">
        <f t="shared" si="33"/>
        <v>82.239175707062913</v>
      </c>
      <c r="Q43" s="22">
        <f t="shared" si="53"/>
        <v>758.54316435646831</v>
      </c>
      <c r="R43" s="62">
        <f t="shared" si="0"/>
        <v>1051.8764976898017</v>
      </c>
      <c r="S43" s="62">
        <f ca="1">AVERAGE(OFFSET($R$3,0,0,'Données projet'!$E$9+1,1))-AVERAGE(OFFSET($H$3,0,0,'Données projet'!$E$9+1,1))</f>
        <v>539.2446452106276</v>
      </c>
      <c r="T43" s="62">
        <f t="shared" si="34"/>
        <v>596.73830276071465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41.822668423878198</v>
      </c>
      <c r="AA43" s="23">
        <f>EXP(-LN(2)/25)*AA42+(1-EXP(-LN(2)/25))/(LN(2)/25)*Calculateur!V43*Calculateur!X43*VLOOKUP('Données projet'!$B$9,Paramètres!$A$1:$I$89,3,0)*0.475*44/12</f>
        <v>33.050441614146372</v>
      </c>
      <c r="AB43" s="23">
        <f>EXP(-LN(2)/2)*AB42+(1-EXP(-LN(2)/2))/(LN(2)/2)*V43*Y43*VLOOKUP('Données projet'!$B$9,Paramètres!$A$1:$I$89,3,0)*0.475*44/12</f>
        <v>10.473967006633787</v>
      </c>
      <c r="AC43" s="24">
        <f t="shared" si="3"/>
        <v>85.347077044658363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323</v>
      </c>
      <c r="AG43" s="13">
        <f>VLOOKUP(A43,'Données projet'!$A$61:$I$81,9,0)</f>
        <v>13.8</v>
      </c>
      <c r="AH43" s="13">
        <f t="array" ref="AH43">INDEX(AG:AG,MIN(IF(ISNUMBER(AG43:AG239),ROW(AG43:AG239),"")))</f>
        <v>13.8</v>
      </c>
      <c r="AI43" s="14">
        <f>IF('Données projet'!$A$62&gt;35,AI42+AH43-AQ42,IF(A43&lt;'Données projet'!$A$62,$AF$205^A43,IF(A43='Données projet'!$A$62,'Données projet'!$B$62,AI42+AH43-AQ42)))</f>
        <v>323.00000000000006</v>
      </c>
      <c r="AJ43" s="14">
        <f>AI43*VLOOKUP('Données projet'!$B$10,Paramètres!$A$1:$I$89,3,0)*VLOOKUP('Données projet'!$B$10,Paramètres!$A$1:$I$89,5,0)</f>
        <v>176.35800000000003</v>
      </c>
      <c r="AK43" s="14">
        <f t="shared" si="35"/>
        <v>44.510946837088412</v>
      </c>
      <c r="AL43" s="22">
        <f t="shared" si="4"/>
        <v>384.68008240792909</v>
      </c>
      <c r="AM43" s="62">
        <f t="shared" si="5"/>
        <v>678.01341574126241</v>
      </c>
      <c r="AN43" s="62">
        <f ca="1">AVERAGE(OFFSET($AM$3,0,0,'Données projet'!$E$10+1,1))-AVERAGE(OFFSET($H$3,0,0,'Données projet'!$E$10+1,1))</f>
        <v>262.6671000229498</v>
      </c>
      <c r="AO43" s="62">
        <f t="shared" si="36"/>
        <v>289.30432245776024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0.24</v>
      </c>
      <c r="AS43" s="17">
        <f>IF(ISNA(VLOOKUP(A43,'Données projet'!$A$61:$I$81,6,0)),0%,VLOOKUP(A43,'Données projet'!$A$61:$I$81,6,0)*VLOOKUP('Données projet'!$B$10,Paramètres!$A$1:$I$89,7,0))</f>
        <v>0.20400000000000001</v>
      </c>
      <c r="AT43" s="17">
        <f>IF(ISNA(VLOOKUP(A43,'Données projet'!$A$61:$I$81,7,0)),0%,VLOOKUP(A43,'Données projet'!$A$61:$I$81,7,0))</f>
        <v>0.26</v>
      </c>
      <c r="AU43" s="23">
        <f>EXP(-LN(2)/35)*AU42+(1-EXP(-LN(2)/35))/(LN(2)/35)*AQ43*AR43*VLOOKUP('Données projet'!$B$10,Paramètres!$A$1:$I$89,3,0)*0.475*44/12</f>
        <v>25.259221304217235</v>
      </c>
      <c r="AV43" s="23">
        <f>EXP(-LN(2)/25)*AV42+(1-EXP(-LN(2)/25))/(LN(2)/25)*Calculateur!AQ43*Calculateur!AS43*VLOOKUP('Données projet'!$B$10,Paramètres!$A$1:$I$89,3,0)*0.475*44/12</f>
        <v>34.977790470440276</v>
      </c>
      <c r="AW43" s="23">
        <f>EXP(-LN(2)/2)*AW42+(1-EXP(-LN(2)/2))/(LN(2)/2)*AQ43*AT43*VLOOKUP('Données projet'!$B$10,Paramètres!$A$1:$I$89,3,0)*0.475*44/12</f>
        <v>8.2265029259708911</v>
      </c>
      <c r="AX43" s="23">
        <f t="shared" si="6"/>
        <v>68.463514700628394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185</v>
      </c>
      <c r="CR43" s="13">
        <f>VLOOKUP(A43,'Données projet'!$A$139:$I$159,9,0)</f>
        <v>8.8000000000000007</v>
      </c>
      <c r="CS43" s="13">
        <f t="array" ref="CS43">INDEX(CR:CR,MIN(IF(ISNUMBER(CR43:CR239),ROW(CR43:CR239),"")))</f>
        <v>8.8000000000000007</v>
      </c>
      <c r="CT43" s="13">
        <f>IF('Données projet'!$A$140&gt;35,CT42+CS43-DB42,IF(A43&lt;'Données projet'!$A$140,$CQ$205^A43,IF(A43='Données projet'!$A$140,'Données projet'!$B$140,CT42+CS43-DB42)))</f>
        <v>185.00000000000003</v>
      </c>
      <c r="CU43" s="18">
        <f>CT43*VLOOKUP('Données projet'!$B$13,Paramètres!$A$1:$I$89,3,0)*VLOOKUP('Données projet'!$B$13,Paramètres!$A$1:$I$89,5,0)</f>
        <v>161.61600000000004</v>
      </c>
      <c r="CV43" s="14">
        <f t="shared" si="41"/>
        <v>41.20679526204917</v>
      </c>
      <c r="CW43" s="22">
        <f t="shared" si="13"/>
        <v>353.24970174806907</v>
      </c>
      <c r="CX43" s="62">
        <f t="shared" si="14"/>
        <v>646.58303508140239</v>
      </c>
      <c r="CY43" s="62">
        <f ca="1">AVERAGE(OFFSET($CX$3,0,0,'Données projet'!$E$13+1,1))-AVERAGE(OFFSET($H$3,0,0,'Données projet'!$E$13+1,1))</f>
        <v>268.27008134105046</v>
      </c>
      <c r="CZ43" s="62">
        <f t="shared" si="42"/>
        <v>252.36274686619709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27</v>
      </c>
      <c r="DC43" s="17">
        <f>IF(ISNA(VLOOKUP(A43,'Données projet'!$A$139:$I$159,5,0)),0%,VLOOKUP(A43,'Données projet'!$A$139:$I$159,5,0)*VLOOKUP('Données projet'!$B$13,Paramètres!$A$1:$I$89,7,0))</f>
        <v>0.129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7.234262437672168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7.234262437672168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228</v>
      </c>
      <c r="DM43" s="13">
        <f>VLOOKUP(A43,'Données projet'!$A$165:$I$185,9,0)</f>
        <v>11.4</v>
      </c>
      <c r="DN43" s="13">
        <f t="array" ref="DN43">INDEX(DM:DM,MIN(IF(ISNUMBER(DM43:DM239),ROW(DM43:DM239),"")))</f>
        <v>11.4</v>
      </c>
      <c r="DO43" s="13">
        <f>IF('Données projet'!$A$166&gt;35,DO42+DN43-DW42,IF(A43&lt;'Données projet'!$A$166,$DL$205^A43,IF(A43='Données projet'!$A$166,'Données projet'!$B$166,DO42+DN43-DW42)))</f>
        <v>228</v>
      </c>
      <c r="DP43" s="18">
        <f>DO43*VLOOKUP('Données projet'!$B$14,Paramètres!$A$1:$I$89,3,0)*VLOOKUP('Données projet'!$B$14,Paramètres!$A$1:$I$89,5,0)</f>
        <v>181.39680000000001</v>
      </c>
      <c r="DQ43" s="14">
        <f t="shared" si="43"/>
        <v>45.63280848550832</v>
      </c>
      <c r="DR43" s="22">
        <f t="shared" si="16"/>
        <v>395.40990144559368</v>
      </c>
      <c r="DS43" s="62">
        <f t="shared" si="17"/>
        <v>688.74323477892699</v>
      </c>
      <c r="DT43" s="62">
        <f ca="1">AVERAGE(OFFSET($DS$3,0,0,'Données projet'!$E$14+1,1))-AVERAGE(OFFSET($H$3,0,0,'Données projet'!$E$14+1,1))</f>
        <v>279.49721661620544</v>
      </c>
      <c r="DU43" s="62">
        <f t="shared" si="44"/>
        <v>275.18739333988754</v>
      </c>
      <c r="DV43" s="16">
        <f>IF(ISNA(VLOOKUP(A43,'Données projet'!$A$165:$I$185,3,0)),0,VLOOKUP(A43,'Données projet'!$A$165:$I$185,3,0))</f>
        <v>7</v>
      </c>
      <c r="DW43" s="16">
        <f>IF(ISNA(VLOOKUP(A43,'Données projet'!$A$165:$I$185,4,0)),0,VLOOKUP(A43,'Données projet'!$A$165:$I$185,4,0))</f>
        <v>35</v>
      </c>
      <c r="DX43" s="17">
        <f>IF(ISNA(VLOOKUP(A43,'Données projet'!$A$165:$I$185,5,0)),0%,VLOOKUP(A43,'Données projet'!$A$165:$I$185,5,0)*VLOOKUP('Données projet'!$B$14,Paramètres!$A$1:$I$89,7,0))</f>
        <v>0.159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7.8498531926250648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7.8498531926250648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207</v>
      </c>
      <c r="EH43" s="13">
        <f>VLOOKUP(A43,'Données projet'!$A$191:$I$211,9,0)</f>
        <v>13.4</v>
      </c>
      <c r="EI43" s="13">
        <f t="array" ref="EI43">INDEX(EH:EH,MIN(IF(ISNUMBER(EH43:EH239),ROW(EH43:EH239),"")))</f>
        <v>13.4</v>
      </c>
      <c r="EJ43" s="13">
        <f>IF('Données projet'!$A$192&gt;35,EJ42+EI43-ER42,IF(A43&lt;'Données projet'!$A$192,$EG$205^A43,IF(A43='Données projet'!$A$192,'Données projet'!$B$192,EJ42+EI43-ER42)))</f>
        <v>207.00000000000009</v>
      </c>
      <c r="EK43" s="18">
        <f>EJ43*VLOOKUP('Données projet'!$B$15,Paramètres!$A$1:$I$89,3,0)*VLOOKUP('Données projet'!$B$15,Paramètres!$A$1:$I$89,5,0)</f>
        <v>177.60600000000008</v>
      </c>
      <c r="EL43" s="14">
        <f t="shared" si="45"/>
        <v>44.789150937858665</v>
      </c>
      <c r="EM43" s="22">
        <f t="shared" si="19"/>
        <v>387.33822121677059</v>
      </c>
      <c r="EN43" s="62">
        <f t="shared" si="20"/>
        <v>680.67155455010391</v>
      </c>
      <c r="EO43" s="62">
        <f ca="1">AVERAGE(OFFSET($EN$3,0,0,'Données projet'!$E$15+1,1))-AVERAGE(OFFSET($H$3,0,0,'Données projet'!$E$15+1,1))</f>
        <v>394.11074988418096</v>
      </c>
      <c r="EP43" s="62">
        <f t="shared" si="46"/>
        <v>241.85593029696236</v>
      </c>
      <c r="EQ43" s="16">
        <f>IF(ISNA(VLOOKUP(A43,'Données projet'!$A$191:$I$211,3,0)),0,VLOOKUP(A43,'Données projet'!$A$191:$I$211,3,0))</f>
        <v>5</v>
      </c>
      <c r="ER43" s="16">
        <f>IF(ISNA(VLOOKUP(A43,'Données projet'!$A$191:$I$211,4,0)),0,VLOOKUP(A43,'Données projet'!$A$191:$I$211,4,0))</f>
        <v>35</v>
      </c>
      <c r="ES43" s="17">
        <f>IF(ISNA(VLOOKUP(A43,'Données projet'!$A$191:$I$211,5,0)),0%,VLOOKUP(A43,'Données projet'!$A$191:$I$211,5,0)*VLOOKUP('Données projet'!$B$15,Paramètres!$A$1:$I$89,7,0))</f>
        <v>0.10600000000000001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6.7060723514701026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6.7060723514701026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30</v>
      </c>
      <c r="N44" s="14">
        <f>IF('Données projet'!$A$36&gt;35,N43+M44-V43,IF(A44&lt;'Données projet'!$A$36,$K$205^A44,IF(A44='Données projet'!$A$36,'Données projet'!$B$36,N43+M44-V43)))</f>
        <v>662.00000000000045</v>
      </c>
      <c r="O44" s="14">
        <f>N44*VLOOKUP('Données projet'!$B$9,Paramètres!$A$1:$I$89,3,0)*VLOOKUP('Données projet'!$B$9,Paramètres!$A$1:$I$89,5,0)</f>
        <v>370.05800000000028</v>
      </c>
      <c r="P44" s="14">
        <f t="shared" si="33"/>
        <v>85.679171397668483</v>
      </c>
      <c r="Q44" s="22">
        <f t="shared" si="53"/>
        <v>793.7422401842731</v>
      </c>
      <c r="R44" s="62">
        <f t="shared" si="0"/>
        <v>1087.0755735176065</v>
      </c>
      <c r="S44" s="62">
        <f ca="1">AVERAGE(OFFSET($R$3,0,0,'Données projet'!$E$9+1,1))-AVERAGE(OFFSET($H$3,0,0,'Données projet'!$E$9+1,1))</f>
        <v>539.2446452106276</v>
      </c>
      <c r="T44" s="62">
        <f t="shared" si="34"/>
        <v>596.73830276071465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41.002551405394847</v>
      </c>
      <c r="AA44" s="23">
        <f>EXP(-LN(2)/25)*AA43+(1-EXP(-LN(2)/25))/(LN(2)/25)*Calculateur!V44*Calculateur!X44*VLOOKUP('Données projet'!$B$9,Paramètres!$A$1:$I$89,3,0)*0.475*44/12</f>
        <v>32.146675550160353</v>
      </c>
      <c r="AB44" s="23">
        <f>EXP(-LN(2)/2)*AB43+(1-EXP(-LN(2)/2))/(LN(2)/2)*V44*Y44*VLOOKUP('Données projet'!$B$9,Paramètres!$A$1:$I$89,3,0)*0.475*44/12</f>
        <v>7.4062130963149162</v>
      </c>
      <c r="AC44" s="24">
        <f t="shared" si="3"/>
        <v>80.555440051870121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11.6</v>
      </c>
      <c r="AI44" s="14">
        <f>IF('Données projet'!$A$62&gt;35,AI43+AH44-AQ43,IF(A44&lt;'Données projet'!$A$62,$AF$205^A44,IF(A44='Données projet'!$A$62,'Données projet'!$B$62,AI43+AH44-AQ43)))</f>
        <v>293.60000000000008</v>
      </c>
      <c r="AJ44" s="14">
        <f>AI44*VLOOKUP('Données projet'!$B$10,Paramètres!$A$1:$I$89,3,0)*VLOOKUP('Données projet'!$B$10,Paramètres!$A$1:$I$89,5,0)</f>
        <v>160.30560000000003</v>
      </c>
      <c r="AK44" s="14">
        <f t="shared" si="35"/>
        <v>40.911436682889935</v>
      </c>
      <c r="AL44" s="22">
        <f t="shared" si="4"/>
        <v>350.4530055560333</v>
      </c>
      <c r="AM44" s="62">
        <f t="shared" si="5"/>
        <v>643.78633888936656</v>
      </c>
      <c r="AN44" s="62">
        <f ca="1">AVERAGE(OFFSET($AM$3,0,0,'Données projet'!$E$10+1,1))-AVERAGE(OFFSET($H$3,0,0,'Données projet'!$E$10+1,1))</f>
        <v>262.6671000229498</v>
      </c>
      <c r="AO44" s="62">
        <f t="shared" si="36"/>
        <v>289.30432245776024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24.763903381045253</v>
      </c>
      <c r="AV44" s="23">
        <f>EXP(-LN(2)/25)*AV43+(1-EXP(-LN(2)/25))/(LN(2)/25)*Calculateur!AQ44*Calculateur!AS44*VLOOKUP('Données projet'!$B$10,Paramètres!$A$1:$I$89,3,0)*0.475*44/12</f>
        <v>34.02132095062403</v>
      </c>
      <c r="AW44" s="23">
        <f>EXP(-LN(2)/2)*AW43+(1-EXP(-LN(2)/2))/(LN(2)/2)*AQ44*AT44*VLOOKUP('Données projet'!$B$10,Paramètres!$A$1:$I$89,3,0)*0.475*44/12</f>
        <v>5.8170160044049926</v>
      </c>
      <c r="AX44" s="23">
        <f t="shared" si="6"/>
        <v>64.602240336074274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</v>
      </c>
      <c r="CT44" s="13">
        <f>IF('Données projet'!$A$140&gt;35,CT43+CS44-DB43,IF(A44&lt;'Données projet'!$A$140,$CQ$205^A44,IF(A44='Données projet'!$A$140,'Données projet'!$B$140,CT43+CS44-DB43)))</f>
        <v>166.00000000000003</v>
      </c>
      <c r="CU44" s="18">
        <f>CT44*VLOOKUP('Données projet'!$B$13,Paramètres!$A$1:$I$89,3,0)*VLOOKUP('Données projet'!$B$13,Paramètres!$A$1:$I$89,5,0)</f>
        <v>145.01760000000004</v>
      </c>
      <c r="CV44" s="14">
        <f t="shared" si="41"/>
        <v>37.444100932065233</v>
      </c>
      <c r="CW44" s="22">
        <f t="shared" si="13"/>
        <v>317.78746245668032</v>
      </c>
      <c r="CX44" s="62">
        <f t="shared" si="14"/>
        <v>611.12079579001363</v>
      </c>
      <c r="CY44" s="62">
        <f ca="1">AVERAGE(OFFSET($CX$3,0,0,'Données projet'!$E$13+1,1))-AVERAGE(OFFSET($H$3,0,0,'Données projet'!$E$13+1,1))</f>
        <v>268.27008134105046</v>
      </c>
      <c r="CZ44" s="62">
        <f t="shared" si="42"/>
        <v>252.36274686619709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7.0924029637338091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7.0924029637338091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9.8000000000000007</v>
      </c>
      <c r="DO44" s="13">
        <f>IF('Données projet'!$A$166&gt;35,DO43+DN44-DW43,IF(A44&lt;'Données projet'!$A$166,$DL$205^A44,IF(A44='Données projet'!$A$166,'Données projet'!$B$166,DO43+DN44-DW43)))</f>
        <v>202.8</v>
      </c>
      <c r="DP44" s="18">
        <f>DO44*VLOOKUP('Données projet'!$B$14,Paramètres!$A$1:$I$89,3,0)*VLOOKUP('Données projet'!$B$14,Paramètres!$A$1:$I$89,5,0)</f>
        <v>161.34768000000003</v>
      </c>
      <c r="DQ44" s="14">
        <f t="shared" si="43"/>
        <v>41.146339844316657</v>
      </c>
      <c r="DR44" s="22">
        <f t="shared" si="16"/>
        <v>352.6770845621848</v>
      </c>
      <c r="DS44" s="62">
        <f t="shared" si="17"/>
        <v>646.01041789551812</v>
      </c>
      <c r="DT44" s="62">
        <f ca="1">AVERAGE(OFFSET($DS$3,0,0,'Données projet'!$E$14+1,1))-AVERAGE(OFFSET($H$3,0,0,'Données projet'!$E$14+1,1))</f>
        <v>279.49721661620544</v>
      </c>
      <c r="DU44" s="62">
        <f t="shared" si="44"/>
        <v>275.18739333988754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7.6959223594553654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7.6959223594553654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13.8</v>
      </c>
      <c r="EJ44" s="13">
        <f>IF('Données projet'!$A$192&gt;35,EJ43+EI44-ER43,IF(A44&lt;'Données projet'!$A$192,$EG$205^A44,IF(A44='Données projet'!$A$192,'Données projet'!$B$192,EJ43+EI44-ER43)))</f>
        <v>185.8000000000001</v>
      </c>
      <c r="EK44" s="18">
        <f>EJ44*VLOOKUP('Données projet'!$B$15,Paramètres!$A$1:$I$89,3,0)*VLOOKUP('Données projet'!$B$15,Paramètres!$A$1:$I$89,5,0)</f>
        <v>159.4164000000001</v>
      </c>
      <c r="EL44" s="14">
        <f t="shared" si="45"/>
        <v>40.710854816108295</v>
      </c>
      <c r="EM44" s="22">
        <f t="shared" si="19"/>
        <v>348.55496880472214</v>
      </c>
      <c r="EN44" s="62">
        <f t="shared" si="20"/>
        <v>641.88830213805545</v>
      </c>
      <c r="EO44" s="62">
        <f ca="1">AVERAGE(OFFSET($EN$3,0,0,'Données projet'!$E$15+1,1))-AVERAGE(OFFSET($H$3,0,0,'Données projet'!$E$15+1,1))</f>
        <v>394.11074988418096</v>
      </c>
      <c r="EP44" s="62">
        <f t="shared" si="46"/>
        <v>241.85593029696236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6.574570362958025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6.574570362958025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30</v>
      </c>
      <c r="N45" s="14">
        <f>IF('Données projet'!$A$36&gt;35,N44+M45-V44,IF(A45&lt;'Données projet'!$A$36,$K$205^A45,IF(A45='Données projet'!$A$36,'Données projet'!$B$36,N44+M45-V44)))</f>
        <v>692.00000000000045</v>
      </c>
      <c r="O45" s="14">
        <f>N45*VLOOKUP('Données projet'!$B$9,Paramètres!$A$1:$I$89,3,0)*VLOOKUP('Données projet'!$B$9,Paramètres!$A$1:$I$89,5,0)</f>
        <v>386.82800000000026</v>
      </c>
      <c r="P45" s="14">
        <f t="shared" si="33"/>
        <v>89.10106260208731</v>
      </c>
      <c r="Q45" s="22">
        <f t="shared" si="53"/>
        <v>828.90978403196914</v>
      </c>
      <c r="R45" s="62">
        <f t="shared" si="0"/>
        <v>1122.2431173653024</v>
      </c>
      <c r="S45" s="62">
        <f ca="1">AVERAGE(OFFSET($R$3,0,0,'Données projet'!$E$9+1,1))-AVERAGE(OFFSET($H$3,0,0,'Données projet'!$E$9+1,1))</f>
        <v>539.2446452106276</v>
      </c>
      <c r="T45" s="62">
        <f t="shared" si="34"/>
        <v>596.73830276071465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40.198516381421967</v>
      </c>
      <c r="AA45" s="23">
        <f>EXP(-LN(2)/25)*AA44+(1-EXP(-LN(2)/25))/(LN(2)/25)*Calculateur!V45*Calculateur!X45*VLOOKUP('Données projet'!$B$9,Paramètres!$A$1:$I$89,3,0)*0.475*44/12</f>
        <v>31.267623016721021</v>
      </c>
      <c r="AB45" s="23">
        <f>EXP(-LN(2)/2)*AB44+(1-EXP(-LN(2)/2))/(LN(2)/2)*V45*Y45*VLOOKUP('Données projet'!$B$9,Paramètres!$A$1:$I$89,3,0)*0.475*44/12</f>
        <v>5.2369835033168943</v>
      </c>
      <c r="AC45" s="24">
        <f t="shared" si="3"/>
        <v>76.703122901459878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11.6</v>
      </c>
      <c r="AI45" s="14">
        <f>IF('Données projet'!$A$62&gt;35,AI44+AH45-AQ44,IF(A45&lt;'Données projet'!$A$62,$AF$205^A45,IF(A45='Données projet'!$A$62,'Données projet'!$B$62,AI44+AH45-AQ44)))</f>
        <v>305.2000000000001</v>
      </c>
      <c r="AJ45" s="14">
        <f>AI45*VLOOKUP('Données projet'!$B$10,Paramètres!$A$1:$I$89,3,0)*VLOOKUP('Données projet'!$B$10,Paramètres!$A$1:$I$89,5,0)</f>
        <v>166.63920000000005</v>
      </c>
      <c r="AK45" s="14">
        <f t="shared" si="35"/>
        <v>42.336443695712262</v>
      </c>
      <c r="AL45" s="22">
        <f t="shared" si="4"/>
        <v>363.96591277003228</v>
      </c>
      <c r="AM45" s="62">
        <f t="shared" si="5"/>
        <v>657.29924610336559</v>
      </c>
      <c r="AN45" s="62">
        <f ca="1">AVERAGE(OFFSET($AM$3,0,0,'Données projet'!$E$10+1,1))-AVERAGE(OFFSET($H$3,0,0,'Données projet'!$E$10+1,1))</f>
        <v>262.6671000229498</v>
      </c>
      <c r="AO45" s="62">
        <f t="shared" si="36"/>
        <v>289.30432245776024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24.278298340232574</v>
      </c>
      <c r="AV45" s="23">
        <f>EXP(-LN(2)/25)*AV44+(1-EXP(-LN(2)/25))/(LN(2)/25)*Calculateur!AQ45*Calculateur!AS45*VLOOKUP('Données projet'!$B$10,Paramètres!$A$1:$I$89,3,0)*0.475*44/12</f>
        <v>33.091006140125707</v>
      </c>
      <c r="AW45" s="23">
        <f>EXP(-LN(2)/2)*AW44+(1-EXP(-LN(2)/2))/(LN(2)/2)*AQ45*AT45*VLOOKUP('Données projet'!$B$10,Paramètres!$A$1:$I$89,3,0)*0.475*44/12</f>
        <v>4.1132514629854464</v>
      </c>
      <c r="AX45" s="23">
        <f t="shared" si="6"/>
        <v>61.482555943343726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</v>
      </c>
      <c r="CT45" s="13">
        <f>IF('Données projet'!$A$140&gt;35,CT44+CS45-DB44,IF(A45&lt;'Données projet'!$A$140,$CQ$205^A45,IF(A45='Données projet'!$A$140,'Données projet'!$B$140,CT44+CS45-DB44)))</f>
        <v>174.00000000000003</v>
      </c>
      <c r="CU45" s="18">
        <f>CT45*VLOOKUP('Données projet'!$B$13,Paramètres!$A$1:$I$89,3,0)*VLOOKUP('Données projet'!$B$13,Paramètres!$A$1:$I$89,5,0)</f>
        <v>152.00640000000004</v>
      </c>
      <c r="CV45" s="14">
        <f t="shared" si="41"/>
        <v>39.034194016561486</v>
      </c>
      <c r="CW45" s="22">
        <f t="shared" si="13"/>
        <v>332.72903457884462</v>
      </c>
      <c r="CX45" s="62">
        <f t="shared" si="14"/>
        <v>626.06236791217793</v>
      </c>
      <c r="CY45" s="62">
        <f ca="1">AVERAGE(OFFSET($CX$3,0,0,'Données projet'!$E$13+1,1))-AVERAGE(OFFSET($H$3,0,0,'Données projet'!$E$13+1,1))</f>
        <v>268.27008134105046</v>
      </c>
      <c r="CZ45" s="62">
        <f t="shared" si="42"/>
        <v>252.36274686619709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6.9533252675536463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6.9533252675536463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9.8000000000000007</v>
      </c>
      <c r="DO45" s="13">
        <f>IF('Données projet'!$A$166&gt;35,DO44+DN45-DW44,IF(A45&lt;'Données projet'!$A$166,$DL$205^A45,IF(A45='Données projet'!$A$166,'Données projet'!$B$166,DO44+DN45-DW44)))</f>
        <v>212.60000000000002</v>
      </c>
      <c r="DP45" s="18">
        <f>DO45*VLOOKUP('Données projet'!$B$14,Paramètres!$A$1:$I$89,3,0)*VLOOKUP('Données projet'!$B$14,Paramètres!$A$1:$I$89,5,0)</f>
        <v>169.14456000000004</v>
      </c>
      <c r="DQ45" s="14">
        <f t="shared" si="43"/>
        <v>42.898377267189964</v>
      </c>
      <c r="DR45" s="22">
        <f t="shared" si="16"/>
        <v>369.30811574035596</v>
      </c>
      <c r="DS45" s="62">
        <f t="shared" si="17"/>
        <v>662.64144907368927</v>
      </c>
      <c r="DT45" s="62">
        <f ca="1">AVERAGE(OFFSET($DS$3,0,0,'Données projet'!$E$14+1,1))-AVERAGE(OFFSET($H$3,0,0,'Données projet'!$E$14+1,1))</f>
        <v>279.49721661620544</v>
      </c>
      <c r="DU45" s="62">
        <f t="shared" si="44"/>
        <v>275.18739333988754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7.5450100160355857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7.5450100160355857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13.8</v>
      </c>
      <c r="EJ45" s="13">
        <f>IF('Données projet'!$A$192&gt;35,EJ44+EI45-ER44,IF(A45&lt;'Données projet'!$A$192,$EG$205^A45,IF(A45='Données projet'!$A$192,'Données projet'!$B$192,EJ44+EI45-ER44)))</f>
        <v>199.60000000000011</v>
      </c>
      <c r="EK45" s="18">
        <f>EJ45*VLOOKUP('Données projet'!$B$15,Paramètres!$A$1:$I$89,3,0)*VLOOKUP('Données projet'!$B$15,Paramètres!$A$1:$I$89,5,0)</f>
        <v>171.25680000000011</v>
      </c>
      <c r="EL45" s="14">
        <f t="shared" si="45"/>
        <v>43.371384196183378</v>
      </c>
      <c r="EM45" s="22">
        <f t="shared" si="19"/>
        <v>373.81075414168623</v>
      </c>
      <c r="EN45" s="62">
        <f t="shared" si="20"/>
        <v>667.14408747501955</v>
      </c>
      <c r="EO45" s="62">
        <f ca="1">AVERAGE(OFFSET($EN$3,0,0,'Données projet'!$E$15+1,1))-AVERAGE(OFFSET($H$3,0,0,'Données projet'!$E$15+1,1))</f>
        <v>394.11074988418096</v>
      </c>
      <c r="EP45" s="62">
        <f t="shared" si="46"/>
        <v>241.85593029696236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6.4456470482323756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6.4456470482323756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30</v>
      </c>
      <c r="N46" s="14">
        <f>IF('Données projet'!$A$36&gt;35,N45+M46-V45,IF(A46&lt;'Données projet'!$A$36,$K$205^A46,IF(A46='Données projet'!$A$36,'Données projet'!$B$36,N45+M46-V45)))</f>
        <v>722.00000000000045</v>
      </c>
      <c r="O46" s="14">
        <f>N46*VLOOKUP('Données projet'!$B$9,Paramètres!$A$1:$I$89,3,0)*VLOOKUP('Données projet'!$B$9,Paramètres!$A$1:$I$89,5,0)</f>
        <v>403.5980000000003</v>
      </c>
      <c r="P46" s="14">
        <f t="shared" si="33"/>
        <v>92.505723908606768</v>
      </c>
      <c r="Q46" s="22">
        <f t="shared" si="53"/>
        <v>864.04731914082402</v>
      </c>
      <c r="R46" s="62">
        <f t="shared" si="0"/>
        <v>1157.3806524741574</v>
      </c>
      <c r="S46" s="62">
        <f ca="1">AVERAGE(OFFSET($R$3,0,0,'Données projet'!$E$9+1,1))-AVERAGE(OFFSET($H$3,0,0,'Données projet'!$E$9+1,1))</f>
        <v>539.2446452106276</v>
      </c>
      <c r="T46" s="62">
        <f t="shared" si="34"/>
        <v>596.73830276071465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39.41024799385626</v>
      </c>
      <c r="AA46" s="23">
        <f>EXP(-LN(2)/25)*AA45+(1-EXP(-LN(2)/25))/(LN(2)/25)*Calculateur!V46*Calculateur!X46*VLOOKUP('Données projet'!$B$9,Paramètres!$A$1:$I$89,3,0)*0.475*44/12</f>
        <v>30.412608221035953</v>
      </c>
      <c r="AB46" s="23">
        <f>EXP(-LN(2)/2)*AB45+(1-EXP(-LN(2)/2))/(LN(2)/2)*V46*Y46*VLOOKUP('Données projet'!$B$9,Paramètres!$A$1:$I$89,3,0)*0.475*44/12</f>
        <v>3.7031065481574585</v>
      </c>
      <c r="AC46" s="24">
        <f t="shared" si="3"/>
        <v>73.525962763049677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11.6</v>
      </c>
      <c r="AI46" s="14">
        <f>IF('Données projet'!$A$62&gt;35,AI45+AH46-AQ45,IF(A46&lt;'Données projet'!$A$62,$AF$205^A46,IF(A46='Données projet'!$A$62,'Données projet'!$B$62,AI45+AH46-AQ45)))</f>
        <v>316.80000000000013</v>
      </c>
      <c r="AJ46" s="14">
        <f>AI46*VLOOKUP('Données projet'!$B$10,Paramètres!$A$1:$I$89,3,0)*VLOOKUP('Données projet'!$B$10,Paramètres!$A$1:$I$89,5,0)</f>
        <v>172.97280000000006</v>
      </c>
      <c r="AK46" s="14">
        <f t="shared" si="35"/>
        <v>43.75515863819728</v>
      </c>
      <c r="AL46" s="22">
        <f t="shared" si="4"/>
        <v>377.46786129486037</v>
      </c>
      <c r="AM46" s="62">
        <f t="shared" si="5"/>
        <v>670.80119462819368</v>
      </c>
      <c r="AN46" s="62">
        <f ca="1">AVERAGE(OFFSET($AM$3,0,0,'Données projet'!$E$10+1,1))-AVERAGE(OFFSET($H$3,0,0,'Données projet'!$E$10+1,1))</f>
        <v>262.6671000229498</v>
      </c>
      <c r="AO46" s="62">
        <f t="shared" si="36"/>
        <v>289.30432245776024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23.802215718080404</v>
      </c>
      <c r="AV46" s="23">
        <f>EXP(-LN(2)/25)*AV45+(1-EXP(-LN(2)/25))/(LN(2)/25)*Calculateur!AQ46*Calculateur!AS46*VLOOKUP('Données projet'!$B$10,Paramètres!$A$1:$I$89,3,0)*0.475*44/12</f>
        <v>32.186130837043585</v>
      </c>
      <c r="AW46" s="23">
        <f>EXP(-LN(2)/2)*AW45+(1-EXP(-LN(2)/2))/(LN(2)/2)*AQ46*AT46*VLOOKUP('Données projet'!$B$10,Paramètres!$A$1:$I$89,3,0)*0.475*44/12</f>
        <v>2.9085080022024967</v>
      </c>
      <c r="AX46" s="23">
        <f t="shared" si="6"/>
        <v>58.896854557326485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</v>
      </c>
      <c r="CT46" s="13">
        <f>IF('Données projet'!$A$140&gt;35,CT45+CS46-DB45,IF(A46&lt;'Données projet'!$A$140,$CQ$205^A46,IF(A46='Données projet'!$A$140,'Données projet'!$B$140,CT45+CS46-DB45)))</f>
        <v>182.00000000000003</v>
      </c>
      <c r="CU46" s="18">
        <f>CT46*VLOOKUP('Données projet'!$B$13,Paramètres!$A$1:$I$89,3,0)*VLOOKUP('Données projet'!$B$13,Paramètres!$A$1:$I$89,5,0)</f>
        <v>158.99520000000004</v>
      </c>
      <c r="CV46" s="14">
        <f t="shared" si="41"/>
        <v>40.615796933386044</v>
      </c>
      <c r="CW46" s="22">
        <f t="shared" si="13"/>
        <v>347.65581965898076</v>
      </c>
      <c r="CX46" s="62">
        <f t="shared" si="14"/>
        <v>640.98915299231408</v>
      </c>
      <c r="CY46" s="62">
        <f ca="1">AVERAGE(OFFSET($CX$3,0,0,'Données projet'!$E$13+1,1))-AVERAGE(OFFSET($H$3,0,0,'Données projet'!$E$13+1,1))</f>
        <v>268.27008134105046</v>
      </c>
      <c r="CZ46" s="62">
        <f t="shared" si="42"/>
        <v>252.36274686619709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6.816974800166558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6.816974800166558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9.8000000000000007</v>
      </c>
      <c r="DO46" s="13">
        <f>IF('Données projet'!$A$166&gt;35,DO45+DN46-DW45,IF(A46&lt;'Données projet'!$A$166,$DL$205^A46,IF(A46='Données projet'!$A$166,'Données projet'!$B$166,DO45+DN46-DW45)))</f>
        <v>222.40000000000003</v>
      </c>
      <c r="DP46" s="18">
        <f>DO46*VLOOKUP('Données projet'!$B$14,Paramètres!$A$1:$I$89,3,0)*VLOOKUP('Données projet'!$B$14,Paramètres!$A$1:$I$89,5,0)</f>
        <v>176.94144000000003</v>
      </c>
      <c r="DQ46" s="14">
        <f t="shared" si="43"/>
        <v>44.641035679901449</v>
      </c>
      <c r="DR46" s="22">
        <f t="shared" si="16"/>
        <v>385.92281180916171</v>
      </c>
      <c r="DS46" s="62">
        <f t="shared" si="17"/>
        <v>679.25614514249503</v>
      </c>
      <c r="DT46" s="62">
        <f ca="1">AVERAGE(OFFSET($DS$3,0,0,'Données projet'!$E$14+1,1))-AVERAGE(OFFSET($H$3,0,0,'Données projet'!$E$14+1,1))</f>
        <v>279.49721661620544</v>
      </c>
      <c r="DU46" s="62">
        <f t="shared" si="44"/>
        <v>275.18739333988754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7.3970569716228276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7.3970569716228276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13.8</v>
      </c>
      <c r="EJ46" s="13">
        <f>IF('Données projet'!$A$192&gt;35,EJ45+EI46-ER45,IF(A46&lt;'Données projet'!$A$192,$EG$205^A46,IF(A46='Données projet'!$A$192,'Données projet'!$B$192,EJ45+EI46-ER45)))</f>
        <v>213.40000000000012</v>
      </c>
      <c r="EK46" s="18">
        <f>EJ46*VLOOKUP('Données projet'!$B$15,Paramètres!$A$1:$I$89,3,0)*VLOOKUP('Données projet'!$B$15,Paramètres!$A$1:$I$89,5,0)</f>
        <v>183.09720000000013</v>
      </c>
      <c r="EL46" s="14">
        <f t="shared" si="45"/>
        <v>46.010570428845895</v>
      </c>
      <c r="EM46" s="22">
        <f t="shared" si="19"/>
        <v>399.02936683024018</v>
      </c>
      <c r="EN46" s="62">
        <f t="shared" si="20"/>
        <v>692.36270016357344</v>
      </c>
      <c r="EO46" s="62">
        <f ca="1">AVERAGE(OFFSET($EN$3,0,0,'Données projet'!$E$15+1,1))-AVERAGE(OFFSET($H$3,0,0,'Données projet'!$E$15+1,1))</f>
        <v>394.11074988418096</v>
      </c>
      <c r="EP46" s="62">
        <f t="shared" si="46"/>
        <v>241.85593029696236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6.3192518410730392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6.3192518410730392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30</v>
      </c>
      <c r="N47" s="14">
        <f>IF('Données projet'!$A$36&gt;35,N46+M47-V46,IF(A47&lt;'Données projet'!$A$36,$K$205^A47,IF(A47='Données projet'!$A$36,'Données projet'!$B$36,N46+M47-V46)))</f>
        <v>752.00000000000045</v>
      </c>
      <c r="O47" s="14">
        <f>N47*VLOOKUP('Données projet'!$B$9,Paramètres!$A$1:$I$89,3,0)*VLOOKUP('Données projet'!$B$9,Paramètres!$A$1:$I$89,5,0)</f>
        <v>420.36800000000028</v>
      </c>
      <c r="P47" s="14">
        <f t="shared" si="33"/>
        <v>95.893953112952033</v>
      </c>
      <c r="Q47" s="22">
        <f t="shared" si="53"/>
        <v>899.15623500505865</v>
      </c>
      <c r="R47" s="62">
        <f t="shared" si="0"/>
        <v>1192.489568338392</v>
      </c>
      <c r="S47" s="62">
        <f ca="1">AVERAGE(OFFSET($R$3,0,0,'Données projet'!$E$9+1,1))-AVERAGE(OFFSET($H$3,0,0,'Données projet'!$E$9+1,1))</f>
        <v>539.2446452106276</v>
      </c>
      <c r="T47" s="62">
        <f t="shared" si="34"/>
        <v>596.73830276071465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38.637437068574471</v>
      </c>
      <c r="AA47" s="23">
        <f>EXP(-LN(2)/25)*AA46+(1-EXP(-LN(2)/25))/(LN(2)/25)*Calculateur!V47*Calculateur!X47*VLOOKUP('Données projet'!$B$9,Paramètres!$A$1:$I$89,3,0)*0.475*44/12</f>
        <v>29.580973849902168</v>
      </c>
      <c r="AB47" s="23">
        <f>EXP(-LN(2)/2)*AB46+(1-EXP(-LN(2)/2))/(LN(2)/2)*V47*Y47*VLOOKUP('Données projet'!$B$9,Paramètres!$A$1:$I$89,3,0)*0.475*44/12</f>
        <v>2.6184917516584476</v>
      </c>
      <c r="AC47" s="24">
        <f t="shared" si="3"/>
        <v>70.836902670135089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11.6</v>
      </c>
      <c r="AI47" s="14">
        <f>IF('Données projet'!$A$62&gt;35,AI46+AH47-AQ46,IF(A47&lt;'Données projet'!$A$62,$AF$205^A47,IF(A47='Données projet'!$A$62,'Données projet'!$B$62,AI46+AH47-AQ46)))</f>
        <v>328.40000000000015</v>
      </c>
      <c r="AJ47" s="14">
        <f>AI47*VLOOKUP('Données projet'!$B$10,Paramètres!$A$1:$I$89,3,0)*VLOOKUP('Données projet'!$B$10,Paramètres!$A$1:$I$89,5,0)</f>
        <v>179.30640000000008</v>
      </c>
      <c r="AK47" s="14">
        <f t="shared" si="35"/>
        <v>45.167838288759476</v>
      </c>
      <c r="AL47" s="22">
        <f t="shared" si="4"/>
        <v>390.95929835292287</v>
      </c>
      <c r="AM47" s="62">
        <f t="shared" si="5"/>
        <v>684.29263168625619</v>
      </c>
      <c r="AN47" s="62">
        <f ca="1">AVERAGE(OFFSET($AM$3,0,0,'Données projet'!$E$10+1,1))-AVERAGE(OFFSET($H$3,0,0,'Données projet'!$E$10+1,1))</f>
        <v>262.6671000229498</v>
      </c>
      <c r="AO47" s="62">
        <f t="shared" si="36"/>
        <v>289.30432245776024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23.33546878576691</v>
      </c>
      <c r="AV47" s="23">
        <f>EXP(-LN(2)/25)*AV46+(1-EXP(-LN(2)/25))/(LN(2)/25)*Calculateur!AQ47*Calculateur!AS47*VLOOKUP('Données projet'!$B$10,Paramètres!$A$1:$I$89,3,0)*0.475*44/12</f>
        <v>31.30599939670957</v>
      </c>
      <c r="AW47" s="23">
        <f>EXP(-LN(2)/2)*AW46+(1-EXP(-LN(2)/2))/(LN(2)/2)*AQ47*AT47*VLOOKUP('Données projet'!$B$10,Paramètres!$A$1:$I$89,3,0)*0.475*44/12</f>
        <v>2.0566257314927237</v>
      </c>
      <c r="AX47" s="23">
        <f t="shared" si="6"/>
        <v>56.698093913969203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</v>
      </c>
      <c r="CT47" s="13">
        <f>IF('Données projet'!$A$140&gt;35,CT46+CS47-DB46,IF(A47&lt;'Données projet'!$A$140,$CQ$205^A47,IF(A47='Données projet'!$A$140,'Données projet'!$B$140,CT46+CS47-DB46)))</f>
        <v>190.00000000000003</v>
      </c>
      <c r="CU47" s="18">
        <f>CT47*VLOOKUP('Données projet'!$B$13,Paramètres!$A$1:$I$89,3,0)*VLOOKUP('Données projet'!$B$13,Paramètres!$A$1:$I$89,5,0)</f>
        <v>165.98400000000004</v>
      </c>
      <c r="CV47" s="14">
        <f t="shared" si="41"/>
        <v>42.189325525922285</v>
      </c>
      <c r="CW47" s="22">
        <f t="shared" si="13"/>
        <v>362.56854195764805</v>
      </c>
      <c r="CX47" s="62">
        <f t="shared" si="14"/>
        <v>655.90187529098137</v>
      </c>
      <c r="CY47" s="62">
        <f ca="1">AVERAGE(OFFSET($CX$3,0,0,'Données projet'!$E$13+1,1))-AVERAGE(OFFSET($H$3,0,0,'Données projet'!$E$13+1,1))</f>
        <v>268.27008134105046</v>
      </c>
      <c r="CZ47" s="62">
        <f t="shared" si="42"/>
        <v>252.36274686619709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6.6832980822793573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6.6832980822793573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9.8000000000000007</v>
      </c>
      <c r="DO47" s="13">
        <f>IF('Données projet'!$A$166&gt;35,DO46+DN47-DW46,IF(A47&lt;'Données projet'!$A$166,$DL$205^A47,IF(A47='Données projet'!$A$166,'Données projet'!$B$166,DO46+DN47-DW46)))</f>
        <v>232.20000000000005</v>
      </c>
      <c r="DP47" s="18">
        <f>DO47*VLOOKUP('Données projet'!$B$14,Paramètres!$A$1:$I$89,3,0)*VLOOKUP('Données projet'!$B$14,Paramètres!$A$1:$I$89,5,0)</f>
        <v>184.73832000000004</v>
      </c>
      <c r="DQ47" s="14">
        <f t="shared" si="43"/>
        <v>46.374775595471988</v>
      </c>
      <c r="DR47" s="22">
        <f t="shared" si="16"/>
        <v>402.52197482878046</v>
      </c>
      <c r="DS47" s="62">
        <f t="shared" si="17"/>
        <v>695.85530816211372</v>
      </c>
      <c r="DT47" s="62">
        <f ca="1">AVERAGE(OFFSET($DS$3,0,0,'Données projet'!$E$14+1,1))-AVERAGE(OFFSET($H$3,0,0,'Données projet'!$E$14+1,1))</f>
        <v>279.49721661620544</v>
      </c>
      <c r="DU47" s="62">
        <f t="shared" si="44"/>
        <v>275.18739333988754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7.2520051961685574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7.2520051961685574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13.8</v>
      </c>
      <c r="EJ47" s="13">
        <f>IF('Données projet'!$A$192&gt;35,EJ46+EI47-ER46,IF(A47&lt;'Données projet'!$A$192,$EG$205^A47,IF(A47='Données projet'!$A$192,'Données projet'!$B$192,EJ46+EI47-ER46)))</f>
        <v>227.20000000000013</v>
      </c>
      <c r="EK47" s="18">
        <f>EJ47*VLOOKUP('Données projet'!$B$15,Paramètres!$A$1:$I$89,3,0)*VLOOKUP('Données projet'!$B$15,Paramètres!$A$1:$I$89,5,0)</f>
        <v>194.93760000000012</v>
      </c>
      <c r="EL47" s="14">
        <f t="shared" si="45"/>
        <v>48.629950800142524</v>
      </c>
      <c r="EM47" s="22">
        <f t="shared" si="19"/>
        <v>424.21348431024836</v>
      </c>
      <c r="EN47" s="62">
        <f t="shared" si="20"/>
        <v>717.54681764358168</v>
      </c>
      <c r="EO47" s="62">
        <f ca="1">AVERAGE(OFFSET($EN$3,0,0,'Données projet'!$E$15+1,1))-AVERAGE(OFFSET($H$3,0,0,'Données projet'!$E$15+1,1))</f>
        <v>394.11074988418096</v>
      </c>
      <c r="EP47" s="62">
        <f t="shared" si="46"/>
        <v>241.85593029696236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6.1953351668326331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6.1953351668326331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30</v>
      </c>
      <c r="N48" s="14">
        <f>IF('Données projet'!$A$36&gt;35,N47+M48-V47,IF(A48&lt;'Données projet'!$A$36,$K$205^A48,IF(A48='Données projet'!$A$36,'Données projet'!$B$36,N47+M48-V47)))</f>
        <v>782.00000000000045</v>
      </c>
      <c r="O48" s="14">
        <f>N48*VLOOKUP('Données projet'!$B$9,Paramètres!$A$1:$I$89,3,0)*VLOOKUP('Données projet'!$B$9,Paramètres!$A$1:$I$89,5,0)</f>
        <v>437.13800000000032</v>
      </c>
      <c r="P48" s="14">
        <f t="shared" si="33"/>
        <v>99.266480753801716</v>
      </c>
      <c r="Q48" s="22">
        <f t="shared" si="53"/>
        <v>934.23780397953851</v>
      </c>
      <c r="R48" s="62">
        <f t="shared" si="0"/>
        <v>1227.5711373128718</v>
      </c>
      <c r="S48" s="62">
        <f ca="1">AVERAGE(OFFSET($R$3,0,0,'Données projet'!$E$9+1,1))-AVERAGE(OFFSET($H$3,0,0,'Données projet'!$E$9+1,1))</f>
        <v>539.2446452106276</v>
      </c>
      <c r="T48" s="62">
        <f t="shared" si="34"/>
        <v>596.73830276071465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37.879780494169339</v>
      </c>
      <c r="AA48" s="23">
        <f>EXP(-LN(2)/25)*AA47+(1-EXP(-LN(2)/25))/(LN(2)/25)*Calculateur!V48*Calculateur!X48*VLOOKUP('Données projet'!$B$9,Paramètres!$A$1:$I$89,3,0)*0.475*44/12</f>
        <v>28.772080564380786</v>
      </c>
      <c r="AB48" s="23">
        <f>EXP(-LN(2)/2)*AB47+(1-EXP(-LN(2)/2))/(LN(2)/2)*V48*Y48*VLOOKUP('Données projet'!$B$9,Paramètres!$A$1:$I$89,3,0)*0.475*44/12</f>
        <v>1.8515532740787295</v>
      </c>
      <c r="AC48" s="24">
        <f t="shared" si="3"/>
        <v>68.50341433262885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340</v>
      </c>
      <c r="AG48" s="13">
        <f>VLOOKUP(A48,'Données projet'!$A$61:$I$81,9,0)</f>
        <v>11.6</v>
      </c>
      <c r="AH48" s="13">
        <f t="array" ref="AH48">INDEX(AG:AG,MIN(IF(ISNUMBER(AG48:AG244),ROW(AG48:AG244),"")))</f>
        <v>11.6</v>
      </c>
      <c r="AI48" s="14">
        <f>IF('Données projet'!$A$62&gt;35,AI47+AH48-AQ47,IF(A48&lt;'Données projet'!$A$62,$AF$205^A48,IF(A48='Données projet'!$A$62,'Données projet'!$B$62,AI47+AH48-AQ47)))</f>
        <v>340.00000000000017</v>
      </c>
      <c r="AJ48" s="14">
        <f>AI48*VLOOKUP('Données projet'!$B$10,Paramètres!$A$1:$I$89,3,0)*VLOOKUP('Données projet'!$B$10,Paramètres!$A$1:$I$89,5,0)</f>
        <v>185.6400000000001</v>
      </c>
      <c r="AK48" s="14">
        <f t="shared" si="35"/>
        <v>46.574720257059433</v>
      </c>
      <c r="AL48" s="22">
        <f t="shared" si="4"/>
        <v>404.44063778104533</v>
      </c>
      <c r="AM48" s="62">
        <f t="shared" si="5"/>
        <v>697.77397111437858</v>
      </c>
      <c r="AN48" s="62">
        <f ca="1">AVERAGE(OFFSET($AM$3,0,0,'Données projet'!$E$10+1,1))-AVERAGE(OFFSET($H$3,0,0,'Données projet'!$E$10+1,1))</f>
        <v>262.6671000229498</v>
      </c>
      <c r="AO48" s="62">
        <f t="shared" si="36"/>
        <v>289.30432245776024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36</v>
      </c>
      <c r="AR48" s="17">
        <f>IF(ISNA(VLOOKUP(A48,'Données projet'!$A$61:$I$81,5,0)),0%,VLOOKUP(A48,'Données projet'!$A$61:$I$81,5,0)*VLOOKUP('Données projet'!$B$10,Paramètres!$A$1:$I$89,7,0))</f>
        <v>0.3</v>
      </c>
      <c r="AS48" s="17">
        <f>IF(ISNA(VLOOKUP(A48,'Données projet'!$A$61:$I$81,6,0)),0%,VLOOKUP(A48,'Données projet'!$A$61:$I$81,6,0)*VLOOKUP('Données projet'!$B$10,Paramètres!$A$1:$I$89,7,0))</f>
        <v>0.16800000000000001</v>
      </c>
      <c r="AT48" s="17">
        <f>IF(ISNA(VLOOKUP(A48,'Données projet'!$A$61:$I$81,7,0)),0%,VLOOKUP(A48,'Données projet'!$A$61:$I$81,7,0))</f>
        <v>0.22</v>
      </c>
      <c r="AU48" s="23">
        <f>EXP(-LN(2)/35)*AU47+(1-EXP(-LN(2)/35))/(LN(2)/35)*AQ48*AR48*VLOOKUP('Données projet'!$B$10,Paramètres!$A$1:$I$89,3,0)*0.475*44/12</f>
        <v>30.700359756944447</v>
      </c>
      <c r="AV48" s="23">
        <f>EXP(-LN(2)/25)*AV47+(1-EXP(-LN(2)/25))/(LN(2)/25)*Calculateur!AQ48*Calculateur!AS48*VLOOKUP('Données projet'!$B$10,Paramètres!$A$1:$I$89,3,0)*0.475*44/12</f>
        <v>34.813278895278998</v>
      </c>
      <c r="AW48" s="23">
        <f>EXP(-LN(2)/2)*AW47+(1-EXP(-LN(2)/2))/(LN(2)/2)*AQ48*AT48*VLOOKUP('Données projet'!$B$10,Paramètres!$A$1:$I$89,3,0)*0.475*44/12</f>
        <v>6.3503887699408956</v>
      </c>
      <c r="AX48" s="23">
        <f t="shared" si="6"/>
        <v>71.864027422164341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198</v>
      </c>
      <c r="CR48" s="13">
        <f>VLOOKUP(A48,'Données projet'!$A$139:$I$159,9,0)</f>
        <v>8</v>
      </c>
      <c r="CS48" s="13">
        <f t="array" ref="CS48">INDEX(CR:CR,MIN(IF(ISNUMBER(CR48:CR244),ROW(CR48:CR244),"")))</f>
        <v>8</v>
      </c>
      <c r="CT48" s="13">
        <f>IF('Données projet'!$A$140&gt;35,CT47+CS48-DB47,IF(A48&lt;'Données projet'!$A$140,$CQ$205^A48,IF(A48='Données projet'!$A$140,'Données projet'!$B$140,CT47+CS48-DB47)))</f>
        <v>198.00000000000003</v>
      </c>
      <c r="CU48" s="18">
        <f>CT48*VLOOKUP('Données projet'!$B$13,Paramètres!$A$1:$I$89,3,0)*VLOOKUP('Données projet'!$B$13,Paramètres!$A$1:$I$89,5,0)</f>
        <v>172.97280000000003</v>
      </c>
      <c r="CV48" s="14">
        <f t="shared" si="41"/>
        <v>43.75515863819728</v>
      </c>
      <c r="CW48" s="22">
        <f t="shared" si="13"/>
        <v>377.46786129486031</v>
      </c>
      <c r="CX48" s="62">
        <f t="shared" si="14"/>
        <v>670.80119462819357</v>
      </c>
      <c r="CY48" s="62">
        <f ca="1">AVERAGE(OFFSET($CX$3,0,0,'Données projet'!$E$13+1,1))-AVERAGE(OFFSET($H$3,0,0,'Données projet'!$E$13+1,1))</f>
        <v>268.27008134105046</v>
      </c>
      <c r="CZ48" s="62">
        <f t="shared" si="42"/>
        <v>252.36274686619709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26</v>
      </c>
      <c r="DC48" s="17">
        <f>IF(ISNA(VLOOKUP(A48,'Données projet'!$A$139:$I$159,5,0)),0%,VLOOKUP(A48,'Données projet'!$A$139:$I$159,5,0)*VLOOKUP('Données projet'!$B$13,Paramètres!$A$1:$I$89,7,0))</f>
        <v>0.129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9.7913310329153678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9.7913310329153678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242</v>
      </c>
      <c r="DM48" s="13">
        <f>VLOOKUP(A48,'Données projet'!$A$165:$I$185,9,0)</f>
        <v>9.8000000000000007</v>
      </c>
      <c r="DN48" s="13">
        <f t="array" ref="DN48">INDEX(DM:DM,MIN(IF(ISNUMBER(DM48:DM244),ROW(DM48:DM244),"")))</f>
        <v>9.8000000000000007</v>
      </c>
      <c r="DO48" s="13">
        <f>IF('Données projet'!$A$166&gt;35,DO47+DN48-DW47,IF(A48&lt;'Données projet'!$A$166,$DL$205^A48,IF(A48='Données projet'!$A$166,'Données projet'!$B$166,DO47+DN48-DW47)))</f>
        <v>242.00000000000006</v>
      </c>
      <c r="DP48" s="18">
        <f>DO48*VLOOKUP('Données projet'!$B$14,Paramètres!$A$1:$I$89,3,0)*VLOOKUP('Données projet'!$B$14,Paramètres!$A$1:$I$89,5,0)</f>
        <v>192.53520000000006</v>
      </c>
      <c r="DQ48" s="14">
        <f t="shared" si="43"/>
        <v>48.100016456123079</v>
      </c>
      <c r="DR48" s="22">
        <f t="shared" si="16"/>
        <v>419.10633532774779</v>
      </c>
      <c r="DS48" s="62">
        <f t="shared" si="17"/>
        <v>712.4396686610811</v>
      </c>
      <c r="DT48" s="62">
        <f ca="1">AVERAGE(OFFSET($DS$3,0,0,'Données projet'!$E$14+1,1))-AVERAGE(OFFSET($H$3,0,0,'Données projet'!$E$14+1,1))</f>
        <v>279.49721661620544</v>
      </c>
      <c r="DU48" s="62">
        <f t="shared" si="44"/>
        <v>275.18739333988754</v>
      </c>
      <c r="DV48" s="16">
        <f>IF(ISNA(VLOOKUP(A48,'Données projet'!$A$165:$I$185,3,0)),0,VLOOKUP(A48,'Données projet'!$A$165:$I$185,3,0))</f>
        <v>8</v>
      </c>
      <c r="DW48" s="16">
        <f>IF(ISNA(VLOOKUP(A48,'Données projet'!$A$165:$I$185,4,0)),0,VLOOKUP(A48,'Données projet'!$A$165:$I$185,4,0))</f>
        <v>24</v>
      </c>
      <c r="DX48" s="17">
        <f>IF(ISNA(VLOOKUP(A48,'Données projet'!$A$165:$I$185,5,0)),0%,VLOOKUP(A48,'Données projet'!$A$165:$I$185,5,0)*VLOOKUP('Données projet'!$B$14,Paramètres!$A$1:$I$89,7,0))</f>
        <v>0.21200000000000002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11.584756043928341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11.584756043928341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241</v>
      </c>
      <c r="EH48" s="13">
        <f>VLOOKUP(A48,'Données projet'!$A$191:$I$211,9,0)</f>
        <v>13.8</v>
      </c>
      <c r="EI48" s="13">
        <f t="array" ref="EI48">INDEX(EH:EH,MIN(IF(ISNUMBER(EH48:EH244),ROW(EH48:EH244),"")))</f>
        <v>13.8</v>
      </c>
      <c r="EJ48" s="13">
        <f>IF('Données projet'!$A$192&gt;35,EJ47+EI48-ER47,IF(A48&lt;'Données projet'!$A$192,$EG$205^A48,IF(A48='Données projet'!$A$192,'Données projet'!$B$192,EJ47+EI48-ER47)))</f>
        <v>241.00000000000014</v>
      </c>
      <c r="EK48" s="18">
        <f>EJ48*VLOOKUP('Données projet'!$B$15,Paramètres!$A$1:$I$89,3,0)*VLOOKUP('Données projet'!$B$15,Paramètres!$A$1:$I$89,5,0)</f>
        <v>206.77800000000016</v>
      </c>
      <c r="EL48" s="14">
        <f t="shared" si="45"/>
        <v>51.230865296361145</v>
      </c>
      <c r="EM48" s="22">
        <f t="shared" si="19"/>
        <v>449.36544039116256</v>
      </c>
      <c r="EN48" s="62">
        <f t="shared" si="20"/>
        <v>742.69877372449582</v>
      </c>
      <c r="EO48" s="62">
        <f ca="1">AVERAGE(OFFSET($EN$3,0,0,'Données projet'!$E$15+1,1))-AVERAGE(OFFSET($H$3,0,0,'Données projet'!$E$15+1,1))</f>
        <v>394.11074988418096</v>
      </c>
      <c r="EP48" s="62">
        <f t="shared" si="46"/>
        <v>241.85593029696236</v>
      </c>
      <c r="EQ48" s="16">
        <f>IF(ISNA(VLOOKUP(A48,'Données projet'!$A$191:$I$211,3,0)),0,VLOOKUP(A48,'Données projet'!$A$191:$I$211,3,0))</f>
        <v>6</v>
      </c>
      <c r="ER48" s="16">
        <f>IF(ISNA(VLOOKUP(A48,'Données projet'!$A$191:$I$211,4,0)),0,VLOOKUP(A48,'Données projet'!$A$191:$I$211,4,0))</f>
        <v>35</v>
      </c>
      <c r="ES48" s="17">
        <f>IF(ISNA(VLOOKUP(A48,'Données projet'!$A$191:$I$211,5,0)),0%,VLOOKUP(A48,'Données projet'!$A$191:$I$211,5,0)*VLOOKUP('Données projet'!$B$15,Paramètres!$A$1:$I$89,7,0))</f>
        <v>0.159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11.352215227074918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11.352215227074918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30</v>
      </c>
      <c r="N49" s="14">
        <f>IF('Données projet'!$A$36&gt;35,N48+M49-V48,IF(A49&lt;'Données projet'!$A$36,$K$205^A49,IF(A49='Données projet'!$A$36,'Données projet'!$B$36,N48+M49-V48)))</f>
        <v>812.00000000000045</v>
      </c>
      <c r="O49" s="14">
        <f>N49*VLOOKUP('Données projet'!$B$9,Paramètres!$A$1:$I$89,3,0)*VLOOKUP('Données projet'!$B$9,Paramètres!$A$1:$I$89,5,0)</f>
        <v>453.90800000000024</v>
      </c>
      <c r="P49" s="14">
        <f t="shared" si="33"/>
        <v>102.62397814389644</v>
      </c>
      <c r="Q49" s="22">
        <f t="shared" si="53"/>
        <v>969.29319526728671</v>
      </c>
      <c r="R49" s="62">
        <f t="shared" si="0"/>
        <v>1262.6265286006201</v>
      </c>
      <c r="S49" s="62">
        <f ca="1">AVERAGE(OFFSET($R$3,0,0,'Données projet'!$E$9+1,1))-AVERAGE(OFFSET($H$3,0,0,'Données projet'!$E$9+1,1))</f>
        <v>539.2446452106276</v>
      </c>
      <c r="T49" s="62">
        <f t="shared" si="34"/>
        <v>596.73830276071465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37.136981103063412</v>
      </c>
      <c r="AA49" s="23">
        <f>EXP(-LN(2)/25)*AA48+(1-EXP(-LN(2)/25))/(LN(2)/25)*Calculateur!V49*Calculateur!X49*VLOOKUP('Données projet'!$B$9,Paramètres!$A$1:$I$89,3,0)*0.475*44/12</f>
        <v>27.985306508289835</v>
      </c>
      <c r="AB49" s="23">
        <f>EXP(-LN(2)/2)*AB48+(1-EXP(-LN(2)/2))/(LN(2)/2)*V49*Y49*VLOOKUP('Données projet'!$B$9,Paramètres!$A$1:$I$89,3,0)*0.475*44/12</f>
        <v>1.309245875829224</v>
      </c>
      <c r="AC49" s="24">
        <f t="shared" si="3"/>
        <v>66.431533487182463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</v>
      </c>
      <c r="AI49" s="14">
        <f>IF('Données projet'!$A$62&gt;35,AI48+AH49-AQ48,IF(A49&lt;'Données projet'!$A$62,$AF$205^A49,IF(A49='Données projet'!$A$62,'Données projet'!$B$62,AI48+AH49-AQ48)))</f>
        <v>314.00000000000017</v>
      </c>
      <c r="AJ49" s="14">
        <f>AI49*VLOOKUP('Données projet'!$B$10,Paramètres!$A$1:$I$89,3,0)*VLOOKUP('Données projet'!$B$10,Paramètres!$A$1:$I$89,5,0)</f>
        <v>171.4440000000001</v>
      </c>
      <c r="AK49" s="14">
        <f t="shared" si="35"/>
        <v>43.413272173627284</v>
      </c>
      <c r="AL49" s="22">
        <f t="shared" si="4"/>
        <v>374.20974903573438</v>
      </c>
      <c r="AM49" s="62">
        <f t="shared" si="5"/>
        <v>667.54308236906763</v>
      </c>
      <c r="AN49" s="62">
        <f ca="1">AVERAGE(OFFSET($AM$3,0,0,'Données projet'!$E$10+1,1))-AVERAGE(OFFSET($H$3,0,0,'Données projet'!$E$10+1,1))</f>
        <v>262.6671000229498</v>
      </c>
      <c r="AO49" s="62">
        <f t="shared" si="36"/>
        <v>289.30432245776024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30.098344427481241</v>
      </c>
      <c r="AV49" s="23">
        <f>EXP(-LN(2)/25)*AV48+(1-EXP(-LN(2)/25))/(LN(2)/25)*Calculateur!AQ49*Calculateur!AS49*VLOOKUP('Données projet'!$B$10,Paramètres!$A$1:$I$89,3,0)*0.475*44/12</f>
        <v>33.861307953136823</v>
      </c>
      <c r="AW49" s="23">
        <f>EXP(-LN(2)/2)*AW48+(1-EXP(-LN(2)/2))/(LN(2)/2)*AQ49*AT49*VLOOKUP('Données projet'!$B$10,Paramètres!$A$1:$I$89,3,0)*0.475*44/12</f>
        <v>4.4904029623961055</v>
      </c>
      <c r="AX49" s="23">
        <f t="shared" si="6"/>
        <v>68.450055343014171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7.4</v>
      </c>
      <c r="CT49" s="13">
        <f>IF('Données projet'!$A$140&gt;35,CT48+CS49-DB48,IF(A49&lt;'Données projet'!$A$140,$CQ$205^A49,IF(A49='Données projet'!$A$140,'Données projet'!$B$140,CT48+CS49-DB48)))</f>
        <v>179.40000000000003</v>
      </c>
      <c r="CU49" s="18">
        <f>CT49*VLOOKUP('Données projet'!$B$13,Paramètres!$A$1:$I$89,3,0)*VLOOKUP('Données projet'!$B$13,Paramètres!$A$1:$I$89,5,0)</f>
        <v>156.72384000000005</v>
      </c>
      <c r="CV49" s="14">
        <f t="shared" si="41"/>
        <v>40.102680984620484</v>
      </c>
      <c r="CW49" s="22">
        <f t="shared" si="13"/>
        <v>342.80619071488076</v>
      </c>
      <c r="CX49" s="62">
        <f t="shared" si="14"/>
        <v>636.13952404821407</v>
      </c>
      <c r="CY49" s="62">
        <f ca="1">AVERAGE(OFFSET($CX$3,0,0,'Données projet'!$E$13+1,1))-AVERAGE(OFFSET($H$3,0,0,'Données projet'!$E$13+1,1))</f>
        <v>268.27008134105046</v>
      </c>
      <c r="CZ49" s="62">
        <f t="shared" si="42"/>
        <v>252.36274686619709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9.5993290034821293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9.5993290034821293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8.6</v>
      </c>
      <c r="DO49" s="13">
        <f>IF('Données projet'!$A$166&gt;35,DO48+DN49-DW48,IF(A49&lt;'Données projet'!$A$166,$DL$205^A49,IF(A49='Données projet'!$A$166,'Données projet'!$B$166,DO48+DN49-DW48)))</f>
        <v>226.60000000000005</v>
      </c>
      <c r="DP49" s="18">
        <f>DO49*VLOOKUP('Données projet'!$B$14,Paramètres!$A$1:$I$89,3,0)*VLOOKUP('Données projet'!$B$14,Paramètres!$A$1:$I$89,5,0)</f>
        <v>180.28296000000006</v>
      </c>
      <c r="DQ49" s="14">
        <f t="shared" si="43"/>
        <v>45.385133797071397</v>
      </c>
      <c r="DR49" s="22">
        <f t="shared" si="16"/>
        <v>393.03859669656612</v>
      </c>
      <c r="DS49" s="62">
        <f t="shared" si="17"/>
        <v>686.37193002989943</v>
      </c>
      <c r="DT49" s="62">
        <f ca="1">AVERAGE(OFFSET($DS$3,0,0,'Données projet'!$E$14+1,1))-AVERAGE(OFFSET($H$3,0,0,'Données projet'!$E$14+1,1))</f>
        <v>279.49721661620544</v>
      </c>
      <c r="DU49" s="62">
        <f t="shared" si="44"/>
        <v>275.18739333988754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11.357586043910382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11.357586043910382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13.6</v>
      </c>
      <c r="EJ49" s="13">
        <f>IF('Données projet'!$A$192&gt;35,EJ48+EI49-ER48,IF(A49&lt;'Données projet'!$A$192,$EG$205^A49,IF(A49='Données projet'!$A$192,'Données projet'!$B$192,EJ48+EI49-ER48)))</f>
        <v>219.60000000000014</v>
      </c>
      <c r="EK49" s="18">
        <f>EJ49*VLOOKUP('Données projet'!$B$15,Paramètres!$A$1:$I$89,3,0)*VLOOKUP('Données projet'!$B$15,Paramètres!$A$1:$I$89,5,0)</f>
        <v>188.41680000000014</v>
      </c>
      <c r="EL49" s="14">
        <f t="shared" si="45"/>
        <v>47.189759534268717</v>
      </c>
      <c r="EM49" s="22">
        <f t="shared" si="19"/>
        <v>410.34809118885158</v>
      </c>
      <c r="EN49" s="62">
        <f t="shared" si="20"/>
        <v>703.6814245221849</v>
      </c>
      <c r="EO49" s="62">
        <f ca="1">AVERAGE(OFFSET($EN$3,0,0,'Données projet'!$E$15+1,1))-AVERAGE(OFFSET($H$3,0,0,'Données projet'!$E$15+1,1))</f>
        <v>394.11074988418096</v>
      </c>
      <c r="EP49" s="62">
        <f t="shared" si="46"/>
        <v>241.85593029696236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11.129605210639562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11.129605210639562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30</v>
      </c>
      <c r="N50" s="14">
        <f>IF('Données projet'!$A$36&gt;35,N49+M50-V49,IF(A50&lt;'Données projet'!$A$36,$K$205^A50,IF(A50='Données projet'!$A$36,'Données projet'!$B$36,N49+M50-V49)))</f>
        <v>842.00000000000045</v>
      </c>
      <c r="O50" s="14">
        <f>N50*VLOOKUP('Données projet'!$B$9,Paramètres!$A$1:$I$89,3,0)*VLOOKUP('Données projet'!$B$9,Paramètres!$A$1:$I$89,5,0)</f>
        <v>470.67800000000022</v>
      </c>
      <c r="P50" s="14">
        <f t="shared" si="33"/>
        <v>105.96706418092161</v>
      </c>
      <c r="Q50" s="22">
        <f t="shared" si="53"/>
        <v>1004.3234867817722</v>
      </c>
      <c r="R50" s="62">
        <f t="shared" si="0"/>
        <v>1297.6568201151056</v>
      </c>
      <c r="S50" s="62">
        <f ca="1">AVERAGE(OFFSET($R$3,0,0,'Données projet'!$E$9+1,1))-AVERAGE(OFFSET($H$3,0,0,'Données projet'!$E$9+1,1))</f>
        <v>539.2446452106276</v>
      </c>
      <c r="T50" s="62">
        <f t="shared" si="34"/>
        <v>596.73830276071465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36.408747554954182</v>
      </c>
      <c r="AA50" s="23">
        <f>EXP(-LN(2)/25)*AA49+(1-EXP(-LN(2)/25))/(LN(2)/25)*Calculateur!V50*Calculateur!X50*VLOOKUP('Données projet'!$B$9,Paramètres!$A$1:$I$89,3,0)*0.475*44/12</f>
        <v>27.220046830137342</v>
      </c>
      <c r="AB50" s="23">
        <f>EXP(-LN(2)/2)*AB49+(1-EXP(-LN(2)/2))/(LN(2)/2)*V50*Y50*VLOOKUP('Données projet'!$B$9,Paramètres!$A$1:$I$89,3,0)*0.475*44/12</f>
        <v>0.92577663703936497</v>
      </c>
      <c r="AC50" s="24">
        <f t="shared" si="3"/>
        <v>64.554571022130887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</v>
      </c>
      <c r="AI50" s="14">
        <f>IF('Données projet'!$A$62&gt;35,AI49+AH50-AQ49,IF(A50&lt;'Données projet'!$A$62,$AF$205^A50,IF(A50='Données projet'!$A$62,'Données projet'!$B$62,AI49+AH50-AQ49)))</f>
        <v>324.00000000000017</v>
      </c>
      <c r="AJ50" s="14">
        <f>AI50*VLOOKUP('Données projet'!$B$10,Paramètres!$A$1:$I$89,3,0)*VLOOKUP('Données projet'!$B$10,Paramètres!$A$1:$I$89,5,0)</f>
        <v>176.90400000000011</v>
      </c>
      <c r="AK50" s="14">
        <f t="shared" si="35"/>
        <v>44.6326892336632</v>
      </c>
      <c r="AL50" s="22">
        <f t="shared" si="4"/>
        <v>385.84306708196362</v>
      </c>
      <c r="AM50" s="62">
        <f t="shared" si="5"/>
        <v>679.17640041529694</v>
      </c>
      <c r="AN50" s="62">
        <f ca="1">AVERAGE(OFFSET($AM$3,0,0,'Données projet'!$E$10+1,1))-AVERAGE(OFFSET($H$3,0,0,'Données projet'!$E$10+1,1))</f>
        <v>262.6671000229498</v>
      </c>
      <c r="AO50" s="62">
        <f t="shared" si="36"/>
        <v>289.30432245776024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29.508134251435713</v>
      </c>
      <c r="AV50" s="23">
        <f>EXP(-LN(2)/25)*AV49+(1-EXP(-LN(2)/25))/(LN(2)/25)*Calculateur!AQ50*Calculateur!AS50*VLOOKUP('Données projet'!$B$10,Paramètres!$A$1:$I$89,3,0)*0.475*44/12</f>
        <v>32.935368706469504</v>
      </c>
      <c r="AW50" s="23">
        <f>EXP(-LN(2)/2)*AW49+(1-EXP(-LN(2)/2))/(LN(2)/2)*AQ50*AT50*VLOOKUP('Données projet'!$B$10,Paramètres!$A$1:$I$89,3,0)*0.475*44/12</f>
        <v>3.1751943849704478</v>
      </c>
      <c r="AX50" s="23">
        <f t="shared" si="6"/>
        <v>65.618697342875663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7.4</v>
      </c>
      <c r="CT50" s="13">
        <f>IF('Données projet'!$A$140&gt;35,CT49+CS50-DB49,IF(A50&lt;'Données projet'!$A$140,$CQ$205^A50,IF(A50='Données projet'!$A$140,'Données projet'!$B$140,CT49+CS50-DB49)))</f>
        <v>186.80000000000004</v>
      </c>
      <c r="CU50" s="18">
        <f>CT50*VLOOKUP('Données projet'!$B$13,Paramètres!$A$1:$I$89,3,0)*VLOOKUP('Données projet'!$B$13,Paramètres!$A$1:$I$89,5,0)</f>
        <v>163.18848000000006</v>
      </c>
      <c r="CV50" s="14">
        <f t="shared" si="41"/>
        <v>41.560857991048017</v>
      </c>
      <c r="CW50" s="22">
        <f t="shared" si="13"/>
        <v>356.60509700107536</v>
      </c>
      <c r="CX50" s="62">
        <f t="shared" si="14"/>
        <v>649.93843033440862</v>
      </c>
      <c r="CY50" s="62">
        <f ca="1">AVERAGE(OFFSET($CX$3,0,0,'Données projet'!$E$13+1,1))-AVERAGE(OFFSET($H$3,0,0,'Données projet'!$E$13+1,1))</f>
        <v>268.27008134105046</v>
      </c>
      <c r="CZ50" s="62">
        <f t="shared" si="42"/>
        <v>252.36274686619709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9.4110920167364025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9.4110920167364025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8.6</v>
      </c>
      <c r="DO50" s="13">
        <f>IF('Données projet'!$A$166&gt;35,DO49+DN50-DW49,IF(A50&lt;'Données projet'!$A$166,$DL$205^A50,IF(A50='Données projet'!$A$166,'Données projet'!$B$166,DO49+DN50-DW49)))</f>
        <v>235.20000000000005</v>
      </c>
      <c r="DP50" s="18">
        <f>DO50*VLOOKUP('Données projet'!$B$14,Paramètres!$A$1:$I$89,3,0)*VLOOKUP('Données projet'!$B$14,Paramètres!$A$1:$I$89,5,0)</f>
        <v>187.12512000000004</v>
      </c>
      <c r="DQ50" s="14">
        <f t="shared" si="43"/>
        <v>46.903794805770545</v>
      </c>
      <c r="DR50" s="22">
        <f t="shared" si="16"/>
        <v>407.60035995338376</v>
      </c>
      <c r="DS50" s="62">
        <f t="shared" si="17"/>
        <v>700.93369328671702</v>
      </c>
      <c r="DT50" s="62">
        <f ca="1">AVERAGE(OFFSET($DS$3,0,0,'Données projet'!$E$14+1,1))-AVERAGE(OFFSET($H$3,0,0,'Données projet'!$E$14+1,1))</f>
        <v>279.49721661620544</v>
      </c>
      <c r="DU50" s="62">
        <f t="shared" si="44"/>
        <v>275.18739333988754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11.134870709032759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11.134870709032759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13.6</v>
      </c>
      <c r="EJ50" s="13">
        <f>IF('Données projet'!$A$192&gt;35,EJ49+EI50-ER49,IF(A50&lt;'Données projet'!$A$192,$EG$205^A50,IF(A50='Données projet'!$A$192,'Données projet'!$B$192,EJ49+EI50-ER49)))</f>
        <v>233.20000000000013</v>
      </c>
      <c r="EK50" s="18">
        <f>EJ50*VLOOKUP('Données projet'!$B$15,Paramètres!$A$1:$I$89,3,0)*VLOOKUP('Données projet'!$B$15,Paramètres!$A$1:$I$89,5,0)</f>
        <v>200.08560000000011</v>
      </c>
      <c r="EL50" s="14">
        <f t="shared" si="45"/>
        <v>49.762979545996977</v>
      </c>
      <c r="EM50" s="22">
        <f t="shared" si="19"/>
        <v>435.15294270927825</v>
      </c>
      <c r="EN50" s="62">
        <f t="shared" si="20"/>
        <v>728.48627604261151</v>
      </c>
      <c r="EO50" s="62">
        <f ca="1">AVERAGE(OFFSET($EN$3,0,0,'Données projet'!$E$15+1,1))-AVERAGE(OFFSET($H$3,0,0,'Données projet'!$E$15+1,1))</f>
        <v>394.11074988418096</v>
      </c>
      <c r="EP50" s="62">
        <f t="shared" si="46"/>
        <v>241.85593029696236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10.911360440847801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10.911360440847801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30</v>
      </c>
      <c r="N51" s="14">
        <f>IF('Données projet'!$A$36&gt;35,N50+M51-V50,IF(A51&lt;'Données projet'!$A$36,$K$205^A51,IF(A51='Données projet'!$A$36,'Données projet'!$B$36,N50+M51-V50)))</f>
        <v>872.00000000000045</v>
      </c>
      <c r="O51" s="14">
        <f>N51*VLOOKUP('Données projet'!$B$9,Paramètres!$A$1:$I$89,3,0)*VLOOKUP('Données projet'!$B$9,Paramètres!$A$1:$I$89,5,0)</f>
        <v>487.44800000000026</v>
      </c>
      <c r="P51" s="14">
        <f t="shared" si="33"/>
        <v>109.29631116043987</v>
      </c>
      <c r="Q51" s="22">
        <f t="shared" si="53"/>
        <v>1039.3296752710996</v>
      </c>
      <c r="R51" s="62">
        <f t="shared" si="0"/>
        <v>1332.6630086044329</v>
      </c>
      <c r="S51" s="62">
        <f ca="1">AVERAGE(OFFSET($R$3,0,0,'Données projet'!$E$9+1,1))-AVERAGE(OFFSET($H$3,0,0,'Données projet'!$E$9+1,1))</f>
        <v>539.2446452106276</v>
      </c>
      <c r="T51" s="62">
        <f t="shared" si="34"/>
        <v>596.73830276071465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35.694794222544765</v>
      </c>
      <c r="AA51" s="23">
        <f>EXP(-LN(2)/25)*AA50+(1-EXP(-LN(2)/25))/(LN(2)/25)*Calculateur!V51*Calculateur!X51*VLOOKUP('Données projet'!$B$9,Paramètres!$A$1:$I$89,3,0)*0.475*44/12</f>
        <v>26.475713218127186</v>
      </c>
      <c r="AB51" s="23">
        <f>EXP(-LN(2)/2)*AB50+(1-EXP(-LN(2)/2))/(LN(2)/2)*V51*Y51*VLOOKUP('Données projet'!$B$9,Paramètres!$A$1:$I$89,3,0)*0.475*44/12</f>
        <v>0.65462293791461212</v>
      </c>
      <c r="AC51" s="24">
        <f t="shared" si="3"/>
        <v>62.825130378586564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</v>
      </c>
      <c r="AI51" s="14">
        <f>IF('Données projet'!$A$62&gt;35,AI50+AH51-AQ50,IF(A51&lt;'Données projet'!$A$62,$AF$205^A51,IF(A51='Données projet'!$A$62,'Données projet'!$B$62,AI50+AH51-AQ50)))</f>
        <v>334.00000000000017</v>
      </c>
      <c r="AJ51" s="14">
        <f>AI51*VLOOKUP('Données projet'!$B$10,Paramètres!$A$1:$I$89,3,0)*VLOOKUP('Données projet'!$B$10,Paramètres!$A$1:$I$89,5,0)</f>
        <v>182.36400000000009</v>
      </c>
      <c r="AK51" s="14">
        <f t="shared" si="35"/>
        <v>45.847732551256698</v>
      </c>
      <c r="AL51" s="22">
        <f t="shared" si="4"/>
        <v>397.46876752677218</v>
      </c>
      <c r="AM51" s="62">
        <f t="shared" si="5"/>
        <v>690.8021008601055</v>
      </c>
      <c r="AN51" s="62">
        <f ca="1">AVERAGE(OFFSET($AM$3,0,0,'Données projet'!$E$10+1,1))-AVERAGE(OFFSET($H$3,0,0,'Données projet'!$E$10+1,1))</f>
        <v>262.6671000229498</v>
      </c>
      <c r="AO51" s="62">
        <f t="shared" si="36"/>
        <v>289.30432245776024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28.929497736949781</v>
      </c>
      <c r="AV51" s="23">
        <f>EXP(-LN(2)/25)*AV50+(1-EXP(-LN(2)/25))/(LN(2)/25)*Calculateur!AQ51*Calculateur!AS51*VLOOKUP('Données projet'!$B$10,Paramètres!$A$1:$I$89,3,0)*0.475*44/12</f>
        <v>32.034749317195327</v>
      </c>
      <c r="AW51" s="23">
        <f>EXP(-LN(2)/2)*AW50+(1-EXP(-LN(2)/2))/(LN(2)/2)*AQ51*AT51*VLOOKUP('Données projet'!$B$10,Paramètres!$A$1:$I$89,3,0)*0.475*44/12</f>
        <v>2.2452014811980527</v>
      </c>
      <c r="AX51" s="23">
        <f t="shared" si="6"/>
        <v>63.209448535343157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7.4</v>
      </c>
      <c r="CT51" s="13">
        <f>IF('Données projet'!$A$140&gt;35,CT50+CS51-DB50,IF(A51&lt;'Données projet'!$A$140,$CQ$205^A51,IF(A51='Données projet'!$A$140,'Données projet'!$B$140,CT50+CS51-DB50)))</f>
        <v>194.20000000000005</v>
      </c>
      <c r="CU51" s="18">
        <f>CT51*VLOOKUP('Données projet'!$B$13,Paramètres!$A$1:$I$89,3,0)*VLOOKUP('Données projet'!$B$13,Paramètres!$A$1:$I$89,5,0)</f>
        <v>169.65312000000006</v>
      </c>
      <c r="CV51" s="14">
        <f t="shared" si="41"/>
        <v>43.012324771430336</v>
      </c>
      <c r="CW51" s="22">
        <f t="shared" si="13"/>
        <v>370.39231631024131</v>
      </c>
      <c r="CX51" s="62">
        <f t="shared" si="14"/>
        <v>663.72564964357457</v>
      </c>
      <c r="CY51" s="62">
        <f ca="1">AVERAGE(OFFSET($CX$3,0,0,'Données projet'!$E$13+1,1))-AVERAGE(OFFSET($H$3,0,0,'Données projet'!$E$13+1,1))</f>
        <v>268.27008134105046</v>
      </c>
      <c r="CZ51" s="62">
        <f t="shared" si="42"/>
        <v>252.36274686619709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9.2265462424875349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9.2265462424875349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8.6</v>
      </c>
      <c r="DO51" s="13">
        <f>IF('Données projet'!$A$166&gt;35,DO50+DN51-DW50,IF(A51&lt;'Données projet'!$A$166,$DL$205^A51,IF(A51='Données projet'!$A$166,'Données projet'!$B$166,DO50+DN51-DW50)))</f>
        <v>243.80000000000004</v>
      </c>
      <c r="DP51" s="18">
        <f>DO51*VLOOKUP('Données projet'!$B$14,Paramètres!$A$1:$I$89,3,0)*VLOOKUP('Données projet'!$B$14,Paramètres!$A$1:$I$89,5,0)</f>
        <v>193.96728000000004</v>
      </c>
      <c r="DQ51" s="14">
        <f t="shared" si="43"/>
        <v>48.41600442423902</v>
      </c>
      <c r="DR51" s="22">
        <f t="shared" si="16"/>
        <v>422.15088703888301</v>
      </c>
      <c r="DS51" s="62">
        <f t="shared" si="17"/>
        <v>715.48422037221633</v>
      </c>
      <c r="DT51" s="62">
        <f ca="1">AVERAGE(OFFSET($DS$3,0,0,'Données projet'!$E$14+1,1))-AVERAGE(OFFSET($H$3,0,0,'Données projet'!$E$14+1,1))</f>
        <v>279.49721661620544</v>
      </c>
      <c r="DU51" s="62">
        <f t="shared" si="44"/>
        <v>275.18739333988754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10.916522686029145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10.916522686029145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13.6</v>
      </c>
      <c r="EJ51" s="13">
        <f>IF('Données projet'!$A$192&gt;35,EJ50+EI51-ER50,IF(A51&lt;'Données projet'!$A$192,$EG$205^A51,IF(A51='Données projet'!$A$192,'Données projet'!$B$192,EJ50+EI51-ER50)))</f>
        <v>246.80000000000013</v>
      </c>
      <c r="EK51" s="18">
        <f>EJ51*VLOOKUP('Données projet'!$B$15,Paramètres!$A$1:$I$89,3,0)*VLOOKUP('Données projet'!$B$15,Paramètres!$A$1:$I$89,5,0)</f>
        <v>211.75440000000012</v>
      </c>
      <c r="EL51" s="14">
        <f t="shared" si="45"/>
        <v>52.318780408268793</v>
      </c>
      <c r="EM51" s="22">
        <f t="shared" si="19"/>
        <v>459.92745587773499</v>
      </c>
      <c r="EN51" s="62">
        <f t="shared" si="20"/>
        <v>753.2607892110683</v>
      </c>
      <c r="EO51" s="62">
        <f ca="1">AVERAGE(OFFSET($EN$3,0,0,'Données projet'!$E$15+1,1))-AVERAGE(OFFSET($H$3,0,0,'Données projet'!$E$15+1,1))</f>
        <v>394.11074988418096</v>
      </c>
      <c r="EP51" s="62">
        <f t="shared" si="46"/>
        <v>241.85593029696236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10.697395317875491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10.697395317875491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902</v>
      </c>
      <c r="L52" s="13">
        <f>VLOOKUP(A52,'Données projet'!$A$35:$I$55,9,0)</f>
        <v>30</v>
      </c>
      <c r="M52" s="13">
        <f t="array" ref="M52">INDEX(L:L,MIN(IF(ISNUMBER(L52:L248),ROW(L52:L248),"")))</f>
        <v>30</v>
      </c>
      <c r="N52" s="14">
        <f>IF('Données projet'!$A$36&gt;35,N51+M52-V51,IF(A52&lt;'Données projet'!$A$36,$K$205^A52,IF(A52='Données projet'!$A$36,'Données projet'!$B$36,N51+M52-V51)))</f>
        <v>902.00000000000045</v>
      </c>
      <c r="O52" s="14">
        <f>N52*VLOOKUP('Données projet'!$B$9,Paramètres!$A$1:$I$89,3,0)*VLOOKUP('Données projet'!$B$9,Paramètres!$A$1:$I$89,5,0)</f>
        <v>504.21800000000025</v>
      </c>
      <c r="P52" s="14">
        <f t="shared" si="33"/>
        <v>112.61224976640734</v>
      </c>
      <c r="Q52" s="22">
        <f t="shared" si="53"/>
        <v>1074.3126850098267</v>
      </c>
      <c r="R52" s="62">
        <f t="shared" si="0"/>
        <v>1367.64601834316</v>
      </c>
      <c r="S52" s="62">
        <f ca="1">AVERAGE(OFFSET($R$3,0,0,'Données projet'!$E$9+1,1))-AVERAGE(OFFSET($H$3,0,0,'Données projet'!$E$9+1,1))</f>
        <v>539.2446452106276</v>
      </c>
      <c r="T52" s="62">
        <f t="shared" si="34"/>
        <v>596.73830276071465</v>
      </c>
      <c r="U52" s="16">
        <f>IF(ISNA(VLOOKUP(A52,'Données projet'!$A$35:$I$55,3,0)),0,VLOOKUP(A52,'Données projet'!$A$35:$I$55,3,0))</f>
        <v>6</v>
      </c>
      <c r="V52" s="16">
        <f>IF(ISNA(VLOOKUP(A52,'Données projet'!$A$35:$I$55,4,0)),0,VLOOKUP(A52,'Données projet'!$A$35:$I$55,4,0))</f>
        <v>96</v>
      </c>
      <c r="W52" s="17">
        <f>IF(ISNA(VLOOKUP(A52,'Données projet'!$A$35:$I$55,5,0)),0%,VLOOKUP(A52,'Données projet'!$A$35:$I$55,5,0)*VLOOKUP('Données projet'!$B$9,Paramètres!$A$1:$I$89,7,0))</f>
        <v>0.33</v>
      </c>
      <c r="X52" s="17">
        <f>IF(ISNA(VLOOKUP(A52,'Données projet'!$A$35:$I$55,6,0)),0%,VLOOKUP(A52,'Données projet'!$A$35:$I$55,6,0)*VLOOKUP('Données projet'!$B$9,Paramètres!$A$1:$I$89,7,0))</f>
        <v>0.12100000000000001</v>
      </c>
      <c r="Y52" s="17">
        <f>IF(ISNA(VLOOKUP(A52,'Données projet'!$A$35:$I$55,7,0)),0%,VLOOKUP(A52,'Données projet'!$A$35:$I$55,7,0))</f>
        <v>0.18</v>
      </c>
      <c r="Z52" s="23">
        <f>EXP(-LN(2)/35)*Z51+(1-EXP(-LN(2)/35))/(LN(2)/35)*V52*W52*VLOOKUP('Données projet'!$B$9,Paramètres!$A$1:$I$89,3,0)*0.475*44/12</f>
        <v>58.487130208628834</v>
      </c>
      <c r="AA52" s="23">
        <f>EXP(-LN(2)/25)*AA51+(1-EXP(-LN(2)/25))/(LN(2)/25)*Calculateur!V52*Calculateur!X52*VLOOKUP('Données projet'!$B$9,Paramètres!$A$1:$I$89,3,0)*0.475*44/12</f>
        <v>34.33165682758127</v>
      </c>
      <c r="AB52" s="23">
        <f>EXP(-LN(2)/2)*AB51+(1-EXP(-LN(2)/2))/(LN(2)/2)*V52*Y52*VLOOKUP('Données projet'!$B$9,Paramètres!$A$1:$I$89,3,0)*0.475*44/12</f>
        <v>11.399708841122528</v>
      </c>
      <c r="AC52" s="24">
        <f t="shared" si="3"/>
        <v>104.21849587733263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</v>
      </c>
      <c r="AI52" s="14">
        <f>IF('Données projet'!$A$62&gt;35,AI51+AH52-AQ51,IF(A52&lt;'Données projet'!$A$62,$AF$205^A52,IF(A52='Données projet'!$A$62,'Données projet'!$B$62,AI51+AH52-AQ51)))</f>
        <v>344.00000000000017</v>
      </c>
      <c r="AJ52" s="14">
        <f>AI52*VLOOKUP('Données projet'!$B$10,Paramètres!$A$1:$I$89,3,0)*VLOOKUP('Données projet'!$B$10,Paramètres!$A$1:$I$89,5,0)</f>
        <v>187.8240000000001</v>
      </c>
      <c r="AK52" s="14">
        <f t="shared" si="35"/>
        <v>47.05854810918273</v>
      </c>
      <c r="AL52" s="22">
        <f t="shared" si="4"/>
        <v>409.08710462349342</v>
      </c>
      <c r="AM52" s="62">
        <f t="shared" si="5"/>
        <v>702.42043795682673</v>
      </c>
      <c r="AN52" s="62">
        <f ca="1">AVERAGE(OFFSET($AM$3,0,0,'Données projet'!$E$10+1,1))-AVERAGE(OFFSET($H$3,0,0,'Données projet'!$E$10+1,1))</f>
        <v>262.6671000229498</v>
      </c>
      <c r="AO52" s="62">
        <f t="shared" si="36"/>
        <v>289.30432245776024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28.362207931579491</v>
      </c>
      <c r="AV52" s="23">
        <f>EXP(-LN(2)/25)*AV51+(1-EXP(-LN(2)/25))/(LN(2)/25)*Calculateur!AQ52*Calculateur!AS52*VLOOKUP('Données projet'!$B$10,Paramètres!$A$1:$I$89,3,0)*0.475*44/12</f>
        <v>31.15875741248237</v>
      </c>
      <c r="AW52" s="23">
        <f>EXP(-LN(2)/2)*AW51+(1-EXP(-LN(2)/2))/(LN(2)/2)*AQ52*AT52*VLOOKUP('Données projet'!$B$10,Paramètres!$A$1:$I$89,3,0)*0.475*44/12</f>
        <v>1.5875971924852239</v>
      </c>
      <c r="AX52" s="23">
        <f t="shared" si="6"/>
        <v>61.10856253654709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7.4</v>
      </c>
      <c r="CT52" s="13">
        <f>IF('Données projet'!$A$140&gt;35,CT51+CS52-DB51,IF(A52&lt;'Données projet'!$A$140,$CQ$205^A52,IF(A52='Données projet'!$A$140,'Données projet'!$B$140,CT51+CS52-DB51)))</f>
        <v>201.60000000000005</v>
      </c>
      <c r="CU52" s="18">
        <f>CT52*VLOOKUP('Données projet'!$B$13,Paramètres!$A$1:$I$89,3,0)*VLOOKUP('Données projet'!$B$13,Paramètres!$A$1:$I$89,5,0)</f>
        <v>176.11776000000006</v>
      </c>
      <c r="CV52" s="14">
        <f t="shared" si="41"/>
        <v>44.457366290237246</v>
      </c>
      <c r="CW52" s="22">
        <f t="shared" si="13"/>
        <v>384.16834495549665</v>
      </c>
      <c r="CX52" s="62">
        <f t="shared" si="14"/>
        <v>677.50167828882991</v>
      </c>
      <c r="CY52" s="62">
        <f ca="1">AVERAGE(OFFSET($CX$3,0,0,'Données projet'!$E$13+1,1))-AVERAGE(OFFSET($H$3,0,0,'Données projet'!$E$13+1,1))</f>
        <v>268.27008134105046</v>
      </c>
      <c r="CZ52" s="62">
        <f t="shared" si="42"/>
        <v>252.36274686619709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9.0456192983098784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9.0456192983098784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8.6</v>
      </c>
      <c r="DO52" s="13">
        <f>IF('Données projet'!$A$166&gt;35,DO51+DN52-DW51,IF(A52&lt;'Données projet'!$A$166,$DL$205^A52,IF(A52='Données projet'!$A$166,'Données projet'!$B$166,DO51+DN52-DW51)))</f>
        <v>252.40000000000003</v>
      </c>
      <c r="DP52" s="18">
        <f>DO52*VLOOKUP('Données projet'!$B$14,Paramètres!$A$1:$I$89,3,0)*VLOOKUP('Données projet'!$B$14,Paramètres!$A$1:$I$89,5,0)</f>
        <v>200.80944000000002</v>
      </c>
      <c r="DQ52" s="14">
        <f t="shared" si="43"/>
        <v>49.922016299484312</v>
      </c>
      <c r="DR52" s="22">
        <f t="shared" si="16"/>
        <v>436.69061972160188</v>
      </c>
      <c r="DS52" s="62">
        <f t="shared" si="17"/>
        <v>730.02395305493519</v>
      </c>
      <c r="DT52" s="62">
        <f ca="1">AVERAGE(OFFSET($DS$3,0,0,'Données projet'!$E$14+1,1))-AVERAGE(OFFSET($H$3,0,0,'Données projet'!$E$14+1,1))</f>
        <v>279.49721661620544</v>
      </c>
      <c r="DU52" s="62">
        <f t="shared" si="44"/>
        <v>275.18739333988754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10.702456334577487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10.702456334577487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13.6</v>
      </c>
      <c r="EJ52" s="13">
        <f>IF('Données projet'!$A$192&gt;35,EJ51+EI52-ER51,IF(A52&lt;'Données projet'!$A$192,$EG$205^A52,IF(A52='Données projet'!$A$192,'Données projet'!$B$192,EJ51+EI52-ER51)))</f>
        <v>260.40000000000015</v>
      </c>
      <c r="EK52" s="18">
        <f>EJ52*VLOOKUP('Données projet'!$B$15,Paramètres!$A$1:$I$89,3,0)*VLOOKUP('Données projet'!$B$15,Paramètres!$A$1:$I$89,5,0)</f>
        <v>223.42320000000015</v>
      </c>
      <c r="EL52" s="14">
        <f t="shared" si="45"/>
        <v>54.858231422257631</v>
      </c>
      <c r="EM52" s="22">
        <f t="shared" si="19"/>
        <v>484.67349306043229</v>
      </c>
      <c r="EN52" s="62">
        <f t="shared" si="20"/>
        <v>778.00682639376555</v>
      </c>
      <c r="EO52" s="62">
        <f ca="1">AVERAGE(OFFSET($EN$3,0,0,'Données projet'!$E$15+1,1))-AVERAGE(OFFSET($H$3,0,0,'Données projet'!$E$15+1,1))</f>
        <v>394.11074988418096</v>
      </c>
      <c r="EP52" s="62">
        <f t="shared" si="46"/>
        <v>241.85593029696236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10.48762592045883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10.48762592045883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27</v>
      </c>
      <c r="N53" s="14">
        <f>IF('Données projet'!$A$36&gt;35,N52+M53-V52,IF(A53&lt;'Données projet'!$A$36,$K$205^A53,IF(A53='Données projet'!$A$36,'Données projet'!$B$36,N52+M53-V52)))</f>
        <v>833.00000000000045</v>
      </c>
      <c r="O53" s="14">
        <f>N53*VLOOKUP('Données projet'!$B$9,Paramètres!$A$1:$I$89,3,0)*VLOOKUP('Données projet'!$B$9,Paramètres!$A$1:$I$89,5,0)</f>
        <v>465.64700000000022</v>
      </c>
      <c r="P53" s="14">
        <f t="shared" si="33"/>
        <v>104.96561666421326</v>
      </c>
      <c r="Q53" s="22">
        <f t="shared" si="53"/>
        <v>993.81697402350494</v>
      </c>
      <c r="R53" s="62">
        <f t="shared" si="0"/>
        <v>1287.1503073568383</v>
      </c>
      <c r="S53" s="62">
        <f ca="1">AVERAGE(OFFSET($R$3,0,0,'Données projet'!$E$9+1,1))-AVERAGE(OFFSET($H$3,0,0,'Données projet'!$E$9+1,1))</f>
        <v>539.2446452106276</v>
      </c>
      <c r="T53" s="62">
        <f t="shared" si="34"/>
        <v>596.73830276071465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57.340233258864572</v>
      </c>
      <c r="AA53" s="23">
        <f>EXP(-LN(2)/25)*AA52+(1-EXP(-LN(2)/25))/(LN(2)/25)*Calculateur!V53*Calculateur!X53*VLOOKUP('Données projet'!$B$9,Paramètres!$A$1:$I$89,3,0)*0.475*44/12</f>
        <v>33.392855866207697</v>
      </c>
      <c r="AB53" s="23">
        <f>EXP(-LN(2)/2)*AB52+(1-EXP(-LN(2)/2))/(LN(2)/2)*V53*Y53*VLOOKUP('Données projet'!$B$9,Paramètres!$A$1:$I$89,3,0)*0.475*44/12</f>
        <v>8.0608114251099803</v>
      </c>
      <c r="AC53" s="24">
        <f t="shared" si="3"/>
        <v>98.793900550182244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354</v>
      </c>
      <c r="AG53" s="13">
        <f>VLOOKUP(A53,'Données projet'!$A$61:$I$81,9,0)</f>
        <v>10</v>
      </c>
      <c r="AH53" s="13">
        <f t="array" ref="AH53">INDEX(AG:AG,MIN(IF(ISNUMBER(AG53:AG249),ROW(AG53:AG249),"")))</f>
        <v>10</v>
      </c>
      <c r="AI53" s="14">
        <f>IF('Données projet'!$A$62&gt;35,AI52+AH53-AQ52,IF(A53&lt;'Données projet'!$A$62,$AF$205^A53,IF(A53='Données projet'!$A$62,'Données projet'!$B$62,AI52+AH53-AQ52)))</f>
        <v>354.00000000000017</v>
      </c>
      <c r="AJ53" s="14">
        <f>AI53*VLOOKUP('Données projet'!$B$10,Paramètres!$A$1:$I$89,3,0)*VLOOKUP('Données projet'!$B$10,Paramètres!$A$1:$I$89,5,0)</f>
        <v>193.28400000000008</v>
      </c>
      <c r="AK53" s="14">
        <f t="shared" si="35"/>
        <v>48.265272920234025</v>
      </c>
      <c r="AL53" s="22">
        <f t="shared" si="4"/>
        <v>420.69831700274102</v>
      </c>
      <c r="AM53" s="62">
        <f t="shared" si="5"/>
        <v>714.03165033607434</v>
      </c>
      <c r="AN53" s="62">
        <f ca="1">AVERAGE(OFFSET($AM$3,0,0,'Données projet'!$E$10+1,1))-AVERAGE(OFFSET($H$3,0,0,'Données projet'!$E$10+1,1))</f>
        <v>262.6671000229498</v>
      </c>
      <c r="AO53" s="62">
        <f t="shared" si="36"/>
        <v>289.30432245776024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31</v>
      </c>
      <c r="AR53" s="17">
        <f>IF(ISNA(VLOOKUP(A53,'Données projet'!$A$61:$I$81,5,0)),0%,VLOOKUP(A53,'Données projet'!$A$61:$I$81,5,0)*VLOOKUP('Données projet'!$B$10,Paramètres!$A$1:$I$89,7,0))</f>
        <v>0.3</v>
      </c>
      <c r="AS53" s="17">
        <f>IF(ISNA(VLOOKUP(A53,'Données projet'!$A$61:$I$81,6,0)),0%,VLOOKUP(A53,'Données projet'!$A$61:$I$81,6,0)*VLOOKUP('Données projet'!$B$10,Paramètres!$A$1:$I$89,7,0))</f>
        <v>0.16800000000000001</v>
      </c>
      <c r="AT53" s="17">
        <f>IF(ISNA(VLOOKUP(A53,'Données projet'!$A$61:$I$81,7,0)),0%,VLOOKUP(A53,'Données projet'!$A$61:$I$81,7,0))</f>
        <v>0.22</v>
      </c>
      <c r="AU53" s="23">
        <f>EXP(-LN(2)/35)*AU52+(1-EXP(-LN(2)/35))/(LN(2)/35)*AQ53*AR53*VLOOKUP('Données projet'!$B$10,Paramètres!$A$1:$I$89,3,0)*0.475*44/12</f>
        <v>34.542071325110797</v>
      </c>
      <c r="AV53" s="23">
        <f>EXP(-LN(2)/25)*AV52+(1-EXP(-LN(2)/25))/(LN(2)/25)*Calculateur!AQ53*Calculateur!AS53*VLOOKUP('Données projet'!$B$10,Paramètres!$A$1:$I$89,3,0)*0.475*44/12</f>
        <v>34.064043292744806</v>
      </c>
      <c r="AW53" s="23">
        <f>EXP(-LN(2)/2)*AW52+(1-EXP(-LN(2)/2))/(LN(2)/2)*AQ53*AT53*VLOOKUP('Données projet'!$B$10,Paramètres!$A$1:$I$89,3,0)*0.475*44/12</f>
        <v>5.338716791544277</v>
      </c>
      <c r="AX53" s="23">
        <f t="shared" si="6"/>
        <v>73.944831409399882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209</v>
      </c>
      <c r="CR53" s="13">
        <f>VLOOKUP(A53,'Données projet'!$A$139:$I$159,9,0)</f>
        <v>7.4</v>
      </c>
      <c r="CS53" s="13">
        <f t="array" ref="CS53">INDEX(CR:CR,MIN(IF(ISNUMBER(CR53:CR249),ROW(CR53:CR249),"")))</f>
        <v>7.4</v>
      </c>
      <c r="CT53" s="13">
        <f>IF('Données projet'!$A$140&gt;35,CT52+CS53-DB52,IF(A53&lt;'Données projet'!$A$140,$CQ$205^A53,IF(A53='Données projet'!$A$140,'Données projet'!$B$140,CT52+CS53-DB52)))</f>
        <v>209.00000000000006</v>
      </c>
      <c r="CU53" s="18">
        <f>CT53*VLOOKUP('Données projet'!$B$13,Paramètres!$A$1:$I$89,3,0)*VLOOKUP('Données projet'!$B$13,Paramètres!$A$1:$I$89,5,0)</f>
        <v>182.58240000000009</v>
      </c>
      <c r="CV53" s="14">
        <f t="shared" si="41"/>
        <v>45.896245406460288</v>
      </c>
      <c r="CW53" s="22">
        <f t="shared" si="13"/>
        <v>397.93364074958509</v>
      </c>
      <c r="CX53" s="62">
        <f t="shared" si="14"/>
        <v>691.26697408291841</v>
      </c>
      <c r="CY53" s="62">
        <f ca="1">AVERAGE(OFFSET($CX$3,0,0,'Données projet'!$E$13+1,1))-AVERAGE(OFFSET($H$3,0,0,'Données projet'!$E$13+1,1))</f>
        <v>268.27008134105046</v>
      </c>
      <c r="CZ53" s="62">
        <f t="shared" si="42"/>
        <v>252.36274686619709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24</v>
      </c>
      <c r="DC53" s="17">
        <f>IF(ISNA(VLOOKUP(A53,'Données projet'!$A$139:$I$159,5,0)),0%,VLOOKUP(A53,'Données projet'!$A$139:$I$159,5,0)*VLOOKUP('Données projet'!$B$13,Paramètres!$A$1:$I$89,7,0))</f>
        <v>0.17200000000000001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12.854810497608627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12.854810497608627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261</v>
      </c>
      <c r="DM53" s="13">
        <f>VLOOKUP(A53,'Données projet'!$A$165:$I$185,9,0)</f>
        <v>8.6</v>
      </c>
      <c r="DN53" s="13">
        <f t="array" ref="DN53">INDEX(DM:DM,MIN(IF(ISNUMBER(DM53:DM249),ROW(DM53:DM249),"")))</f>
        <v>8.6</v>
      </c>
      <c r="DO53" s="13">
        <f>IF('Données projet'!$A$166&gt;35,DO52+DN53-DW52,IF(A53&lt;'Données projet'!$A$166,$DL$205^A53,IF(A53='Données projet'!$A$166,'Données projet'!$B$166,DO52+DN53-DW52)))</f>
        <v>261.00000000000006</v>
      </c>
      <c r="DP53" s="18">
        <f>DO53*VLOOKUP('Données projet'!$B$14,Paramètres!$A$1:$I$89,3,0)*VLOOKUP('Données projet'!$B$14,Paramètres!$A$1:$I$89,5,0)</f>
        <v>207.65160000000006</v>
      </c>
      <c r="DQ53" s="14">
        <f t="shared" si="43"/>
        <v>51.422065813018108</v>
      </c>
      <c r="DR53" s="22">
        <f t="shared" si="16"/>
        <v>451.2199679576733</v>
      </c>
      <c r="DS53" s="62">
        <f t="shared" si="17"/>
        <v>744.55330129100662</v>
      </c>
      <c r="DT53" s="62">
        <f ca="1">AVERAGE(OFFSET($DS$3,0,0,'Données projet'!$E$14+1,1))-AVERAGE(OFFSET($H$3,0,0,'Données projet'!$E$14+1,1))</f>
        <v>279.49721661620544</v>
      </c>
      <c r="DU53" s="62">
        <f t="shared" si="44"/>
        <v>275.18739333988754</v>
      </c>
      <c r="DV53" s="16">
        <f>IF(ISNA(VLOOKUP(A53,'Données projet'!$A$165:$I$185,3,0)),0,VLOOKUP(A53,'Données projet'!$A$165:$I$185,3,0))</f>
        <v>9</v>
      </c>
      <c r="DW53" s="16">
        <f>IF(ISNA(VLOOKUP(A53,'Données projet'!$A$165:$I$185,4,0)),0,VLOOKUP(A53,'Données projet'!$A$165:$I$185,4,0))</f>
        <v>19</v>
      </c>
      <c r="DX53" s="17">
        <f>IF(ISNA(VLOOKUP(A53,'Données projet'!$A$165:$I$185,5,0)),0%,VLOOKUP(A53,'Données projet'!$A$165:$I$185,5,0)*VLOOKUP('Données projet'!$B$14,Paramètres!$A$1:$I$89,7,0))</f>
        <v>0.26500000000000001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14.920931791680765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14.920931791680765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274</v>
      </c>
      <c r="EH53" s="13">
        <f>VLOOKUP(A53,'Données projet'!$A$191:$I$211,9,0)</f>
        <v>13.6</v>
      </c>
      <c r="EI53" s="13">
        <f t="array" ref="EI53">INDEX(EH:EH,MIN(IF(ISNUMBER(EH53:EH249),ROW(EH53:EH249),"")))</f>
        <v>13.6</v>
      </c>
      <c r="EJ53" s="13">
        <f>IF('Données projet'!$A$192&gt;35,EJ52+EI53-ER52,IF(A53&lt;'Données projet'!$A$192,$EG$205^A53,IF(A53='Données projet'!$A$192,'Données projet'!$B$192,EJ52+EI53-ER52)))</f>
        <v>274.00000000000017</v>
      </c>
      <c r="EK53" s="18">
        <f>EJ53*VLOOKUP('Données projet'!$B$15,Paramètres!$A$1:$I$89,3,0)*VLOOKUP('Données projet'!$B$15,Paramètres!$A$1:$I$89,5,0)</f>
        <v>235.09200000000016</v>
      </c>
      <c r="EL53" s="14">
        <f t="shared" si="45"/>
        <v>57.38228388709345</v>
      </c>
      <c r="EM53" s="22">
        <f t="shared" si="19"/>
        <v>509.39271110335471</v>
      </c>
      <c r="EN53" s="62">
        <f t="shared" si="20"/>
        <v>802.72604443668797</v>
      </c>
      <c r="EO53" s="62">
        <f ca="1">AVERAGE(OFFSET($EN$3,0,0,'Données projet'!$E$15+1,1))-AVERAGE(OFFSET($H$3,0,0,'Données projet'!$E$15+1,1))</f>
        <v>394.11074988418096</v>
      </c>
      <c r="EP53" s="62">
        <f t="shared" si="46"/>
        <v>241.85593029696236</v>
      </c>
      <c r="EQ53" s="16">
        <f>IF(ISNA(VLOOKUP(A53,'Données projet'!$A$191:$I$211,3,0)),0,VLOOKUP(A53,'Données projet'!$A$191:$I$211,3,0))</f>
        <v>7</v>
      </c>
      <c r="ER53" s="16">
        <f>IF(ISNA(VLOOKUP(A53,'Données projet'!$A$191:$I$211,4,0)),0,VLOOKUP(A53,'Données projet'!$A$191:$I$211,4,0))</f>
        <v>35</v>
      </c>
      <c r="ES53" s="17">
        <f>IF(ISNA(VLOOKUP(A53,'Données projet'!$A$191:$I$211,5,0)),0%,VLOOKUP(A53,'Données projet'!$A$191:$I$211,5,0)*VLOOKUP('Données projet'!$B$15,Paramètres!$A$1:$I$89,7,0))</f>
        <v>0.159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15.560336777061355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15.560336777061355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27</v>
      </c>
      <c r="N54" s="14">
        <f>IF('Données projet'!$A$36&gt;35,N53+M54-V53,IF(A54&lt;'Données projet'!$A$36,$K$205^A54,IF(A54='Données projet'!$A$36,'Données projet'!$B$36,N53+M54-V53)))</f>
        <v>860.00000000000045</v>
      </c>
      <c r="O54" s="14">
        <f>N54*VLOOKUP('Données projet'!$B$9,Paramètres!$A$1:$I$89,3,0)*VLOOKUP('Données projet'!$B$9,Paramètres!$A$1:$I$89,5,0)</f>
        <v>480.74000000000024</v>
      </c>
      <c r="P54" s="14">
        <f t="shared" si="33"/>
        <v>107.96623821272577</v>
      </c>
      <c r="Q54" s="22">
        <f t="shared" si="53"/>
        <v>1025.3300315538311</v>
      </c>
      <c r="R54" s="62">
        <f t="shared" si="0"/>
        <v>1318.6633648871643</v>
      </c>
      <c r="S54" s="62">
        <f ca="1">AVERAGE(OFFSET($R$3,0,0,'Données projet'!$E$9+1,1))-AVERAGE(OFFSET($H$3,0,0,'Données projet'!$E$9+1,1))</f>
        <v>539.2446452106276</v>
      </c>
      <c r="T54" s="62">
        <f t="shared" si="34"/>
        <v>596.73830276071465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56.215826258747121</v>
      </c>
      <c r="AA54" s="23">
        <f>EXP(-LN(2)/25)*AA53+(1-EXP(-LN(2)/25))/(LN(2)/25)*Calculateur!V54*Calculateur!X54*VLOOKUP('Données projet'!$B$9,Paramètres!$A$1:$I$89,3,0)*0.475*44/12</f>
        <v>32.479726466492281</v>
      </c>
      <c r="AB54" s="23">
        <f>EXP(-LN(2)/2)*AB53+(1-EXP(-LN(2)/2))/(LN(2)/2)*V54*Y54*VLOOKUP('Données projet'!$B$9,Paramètres!$A$1:$I$89,3,0)*0.475*44/12</f>
        <v>5.6998544205612651</v>
      </c>
      <c r="AC54" s="24">
        <f t="shared" si="3"/>
        <v>94.395407145800661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8.6</v>
      </c>
      <c r="AI54" s="14">
        <f>IF('Données projet'!$A$62&gt;35,AI53+AH54-AQ53,IF(A54&lt;'Données projet'!$A$62,$AF$205^A54,IF(A54='Données projet'!$A$62,'Données projet'!$B$62,AI53+AH54-AQ53)))</f>
        <v>331.60000000000019</v>
      </c>
      <c r="AJ54" s="14">
        <f>AI54*VLOOKUP('Données projet'!$B$10,Paramètres!$A$1:$I$89,3,0)*VLOOKUP('Données projet'!$B$10,Paramètres!$A$1:$I$89,5,0)</f>
        <v>181.0536000000001</v>
      </c>
      <c r="AK54" s="14">
        <f t="shared" si="35"/>
        <v>45.556513074652401</v>
      </c>
      <c r="AL54" s="22">
        <f t="shared" si="4"/>
        <v>394.67928027168642</v>
      </c>
      <c r="AM54" s="62">
        <f t="shared" si="5"/>
        <v>688.01261360501974</v>
      </c>
      <c r="AN54" s="62">
        <f ca="1">AVERAGE(OFFSET($AM$3,0,0,'Données projet'!$E$10+1,1))-AVERAGE(OFFSET($H$3,0,0,'Données projet'!$E$10+1,1))</f>
        <v>262.6671000229498</v>
      </c>
      <c r="AO54" s="62">
        <f t="shared" si="36"/>
        <v>289.30432245776024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33.864722375008533</v>
      </c>
      <c r="AV54" s="23">
        <f>EXP(-LN(2)/25)*AV53+(1-EXP(-LN(2)/25))/(LN(2)/25)*Calculateur!AQ54*Calculateur!AS54*VLOOKUP('Données projet'!$B$10,Paramètres!$A$1:$I$89,3,0)*0.475*44/12</f>
        <v>33.132560237554515</v>
      </c>
      <c r="AW54" s="23">
        <f>EXP(-LN(2)/2)*AW53+(1-EXP(-LN(2)/2))/(LN(2)/2)*AQ54*AT54*VLOOKUP('Données projet'!$B$10,Paramètres!$A$1:$I$89,3,0)*0.475*44/12</f>
        <v>3.7750428461354466</v>
      </c>
      <c r="AX54" s="23">
        <f t="shared" si="6"/>
        <v>70.772325458698504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6.6</v>
      </c>
      <c r="CT54" s="13">
        <f>IF('Données projet'!$A$140&gt;35,CT53+CS54-DB53,IF(A54&lt;'Données projet'!$A$140,$CQ$205^A54,IF(A54='Données projet'!$A$140,'Données projet'!$B$140,CT53+CS54-DB53)))</f>
        <v>191.60000000000005</v>
      </c>
      <c r="CU54" s="18">
        <f>CT54*VLOOKUP('Données projet'!$B$13,Paramètres!$A$1:$I$89,3,0)*VLOOKUP('Données projet'!$B$13,Paramètres!$A$1:$I$89,5,0)</f>
        <v>167.38176000000007</v>
      </c>
      <c r="CV54" s="14">
        <f t="shared" si="41"/>
        <v>42.503096259839239</v>
      </c>
      <c r="CW54" s="22">
        <f t="shared" si="13"/>
        <v>365.5494579858867</v>
      </c>
      <c r="CX54" s="62">
        <f t="shared" si="14"/>
        <v>658.88279131922002</v>
      </c>
      <c r="CY54" s="62">
        <f ca="1">AVERAGE(OFFSET($CX$3,0,0,'Données projet'!$E$13+1,1))-AVERAGE(OFFSET($H$3,0,0,'Données projet'!$E$13+1,1))</f>
        <v>268.27008134105046</v>
      </c>
      <c r="CZ54" s="62">
        <f t="shared" si="42"/>
        <v>252.36274686619709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12.602735504410724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12.602735504410724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7.4</v>
      </c>
      <c r="DO54" s="13">
        <f>IF('Données projet'!$A$166&gt;35,DO53+DN54-DW53,IF(A54&lt;'Données projet'!$A$166,$DL$205^A54,IF(A54='Données projet'!$A$166,'Données projet'!$B$166,DO53+DN54-DW53)))</f>
        <v>249.40000000000003</v>
      </c>
      <c r="DP54" s="18">
        <f>DO54*VLOOKUP('Données projet'!$B$14,Paramètres!$A$1:$I$89,3,0)*VLOOKUP('Données projet'!$B$14,Paramètres!$A$1:$I$89,5,0)</f>
        <v>198.42264000000003</v>
      </c>
      <c r="DQ54" s="14">
        <f t="shared" si="43"/>
        <v>49.397352151183256</v>
      </c>
      <c r="DR54" s="22">
        <f t="shared" si="16"/>
        <v>431.61981966331086</v>
      </c>
      <c r="DS54" s="62">
        <f t="shared" si="17"/>
        <v>724.95315299664412</v>
      </c>
      <c r="DT54" s="62">
        <f ca="1">AVERAGE(OFFSET($DS$3,0,0,'Données projet'!$E$14+1,1))-AVERAGE(OFFSET($H$3,0,0,'Données projet'!$E$14+1,1))</f>
        <v>279.49721661620544</v>
      </c>
      <c r="DU54" s="62">
        <f t="shared" si="44"/>
        <v>275.18739333988754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14.628341420115662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14.628341420115662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13.4</v>
      </c>
      <c r="EJ54" s="13">
        <f>IF('Données projet'!$A$192&gt;35,EJ53+EI54-ER53,IF(A54&lt;'Données projet'!$A$192,$EG$205^A54,IF(A54='Données projet'!$A$192,'Données projet'!$B$192,EJ53+EI54-ER53)))</f>
        <v>252.40000000000015</v>
      </c>
      <c r="EK54" s="18">
        <f>EJ54*VLOOKUP('Données projet'!$B$15,Paramètres!$A$1:$I$89,3,0)*VLOOKUP('Données projet'!$B$15,Paramètres!$A$1:$I$89,5,0)</f>
        <v>216.55920000000012</v>
      </c>
      <c r="EL54" s="14">
        <f t="shared" si="45"/>
        <v>53.366360125240526</v>
      </c>
      <c r="EM54" s="22">
        <f t="shared" si="19"/>
        <v>470.12035055146072</v>
      </c>
      <c r="EN54" s="62">
        <f t="shared" si="20"/>
        <v>763.45368388479403</v>
      </c>
      <c r="EO54" s="62">
        <f ca="1">AVERAGE(OFFSET($EN$3,0,0,'Données projet'!$E$15+1,1))-AVERAGE(OFFSET($H$3,0,0,'Données projet'!$E$15+1,1))</f>
        <v>394.11074988418096</v>
      </c>
      <c r="EP54" s="62">
        <f t="shared" si="46"/>
        <v>241.85593029696236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15.255208063731471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15.255208063731471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27</v>
      </c>
      <c r="N55" s="14">
        <f>IF('Données projet'!$A$36&gt;35,N54+M55-V54,IF(A55&lt;'Données projet'!$A$36,$K$205^A55,IF(A55='Données projet'!$A$36,'Données projet'!$B$36,N54+M55-V54)))</f>
        <v>887.00000000000045</v>
      </c>
      <c r="O55" s="14">
        <f>N55*VLOOKUP('Données projet'!$B$9,Paramètres!$A$1:$I$89,3,0)*VLOOKUP('Données projet'!$B$9,Paramètres!$A$1:$I$89,5,0)</f>
        <v>495.83300000000025</v>
      </c>
      <c r="P55" s="14">
        <f t="shared" si="33"/>
        <v>110.95591234588828</v>
      </c>
      <c r="Q55" s="22">
        <f t="shared" si="53"/>
        <v>1056.8240223357559</v>
      </c>
      <c r="R55" s="62">
        <f t="shared" si="0"/>
        <v>1350.1573556690892</v>
      </c>
      <c r="S55" s="62">
        <f ca="1">AVERAGE(OFFSET($R$3,0,0,'Données projet'!$E$9+1,1))-AVERAGE(OFFSET($H$3,0,0,'Données projet'!$E$9+1,1))</f>
        <v>539.2446452106276</v>
      </c>
      <c r="T55" s="62">
        <f t="shared" si="34"/>
        <v>596.73830276071465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55.11346819408142</v>
      </c>
      <c r="AA55" s="23">
        <f>EXP(-LN(2)/25)*AA54+(1-EXP(-LN(2)/25))/(LN(2)/25)*Calculateur!V55*Calculateur!X55*VLOOKUP('Données projet'!$B$9,Paramètres!$A$1:$I$89,3,0)*0.475*44/12</f>
        <v>31.591566638231466</v>
      </c>
      <c r="AB55" s="23">
        <f>EXP(-LN(2)/2)*AB54+(1-EXP(-LN(2)/2))/(LN(2)/2)*V55*Y55*VLOOKUP('Données projet'!$B$9,Paramètres!$A$1:$I$89,3,0)*0.475*44/12</f>
        <v>4.0304057125549901</v>
      </c>
      <c r="AC55" s="24">
        <f t="shared" si="3"/>
        <v>90.735440544867885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8.6</v>
      </c>
      <c r="AI55" s="14">
        <f>IF('Données projet'!$A$62&gt;35,AI54+AH55-AQ54,IF(A55&lt;'Données projet'!$A$62,$AF$205^A55,IF(A55='Données projet'!$A$62,'Données projet'!$B$62,AI54+AH55-AQ54)))</f>
        <v>340.20000000000022</v>
      </c>
      <c r="AJ55" s="14">
        <f>AI55*VLOOKUP('Données projet'!$B$10,Paramètres!$A$1:$I$89,3,0)*VLOOKUP('Données projet'!$B$10,Paramètres!$A$1:$I$89,5,0)</f>
        <v>185.74920000000009</v>
      </c>
      <c r="AK55" s="14">
        <f t="shared" si="35"/>
        <v>46.598927324252273</v>
      </c>
      <c r="AL55" s="22">
        <f t="shared" si="4"/>
        <v>404.67298842307281</v>
      </c>
      <c r="AM55" s="62">
        <f t="shared" si="5"/>
        <v>698.00632175640612</v>
      </c>
      <c r="AN55" s="62">
        <f ca="1">AVERAGE(OFFSET($AM$3,0,0,'Données projet'!$E$10+1,1))-AVERAGE(OFFSET($H$3,0,0,'Données projet'!$E$10+1,1))</f>
        <v>262.6671000229498</v>
      </c>
      <c r="AO55" s="62">
        <f t="shared" si="36"/>
        <v>289.30432245776024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33.200655824675707</v>
      </c>
      <c r="AV55" s="23">
        <f>EXP(-LN(2)/25)*AV54+(1-EXP(-LN(2)/25))/(LN(2)/25)*Calculateur!AQ55*Calculateur!AS55*VLOOKUP('Données projet'!$B$10,Paramètres!$A$1:$I$89,3,0)*0.475*44/12</f>
        <v>32.226548635492968</v>
      </c>
      <c r="AW55" s="23">
        <f>EXP(-LN(2)/2)*AW54+(1-EXP(-LN(2)/2))/(LN(2)/2)*AQ55*AT55*VLOOKUP('Données projet'!$B$10,Paramètres!$A$1:$I$89,3,0)*0.475*44/12</f>
        <v>2.669358395772139</v>
      </c>
      <c r="AX55" s="23">
        <f t="shared" si="6"/>
        <v>68.096562855940803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6.6</v>
      </c>
      <c r="CT55" s="13">
        <f>IF('Données projet'!$A$140&gt;35,CT54+CS55-DB54,IF(A55&lt;'Données projet'!$A$140,$CQ$205^A55,IF(A55='Données projet'!$A$140,'Données projet'!$B$140,CT54+CS55-DB54)))</f>
        <v>198.20000000000005</v>
      </c>
      <c r="CU55" s="18">
        <f>CT55*VLOOKUP('Données projet'!$B$13,Paramètres!$A$1:$I$89,3,0)*VLOOKUP('Données projet'!$B$13,Paramètres!$A$1:$I$89,5,0)</f>
        <v>173.14752000000007</v>
      </c>
      <c r="CV55" s="14">
        <f t="shared" si="41"/>
        <v>43.794208927254068</v>
      </c>
      <c r="CW55" s="22">
        <f t="shared" si="13"/>
        <v>377.84017788163425</v>
      </c>
      <c r="CX55" s="62">
        <f t="shared" si="14"/>
        <v>671.17351121496756</v>
      </c>
      <c r="CY55" s="62">
        <f ca="1">AVERAGE(OFFSET($CX$3,0,0,'Données projet'!$E$13+1,1))-AVERAGE(OFFSET($H$3,0,0,'Données projet'!$E$13+1,1))</f>
        <v>268.27008134105046</v>
      </c>
      <c r="CZ55" s="62">
        <f t="shared" si="42"/>
        <v>252.36274686619709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12.355603548078868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12.355603548078868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7.4</v>
      </c>
      <c r="DO55" s="13">
        <f>IF('Données projet'!$A$166&gt;35,DO54+DN55-DW54,IF(A55&lt;'Données projet'!$A$166,$DL$205^A55,IF(A55='Données projet'!$A$166,'Données projet'!$B$166,DO54+DN55-DW54)))</f>
        <v>256.8</v>
      </c>
      <c r="DP55" s="18">
        <f>DO55*VLOOKUP('Données projet'!$B$14,Paramètres!$A$1:$I$89,3,0)*VLOOKUP('Données projet'!$B$14,Paramètres!$A$1:$I$89,5,0)</f>
        <v>204.31008000000003</v>
      </c>
      <c r="DQ55" s="14">
        <f t="shared" si="43"/>
        <v>50.690214235398379</v>
      </c>
      <c r="DR55" s="22">
        <f t="shared" si="16"/>
        <v>444.12551245998549</v>
      </c>
      <c r="DS55" s="62">
        <f t="shared" si="17"/>
        <v>737.4588457933188</v>
      </c>
      <c r="DT55" s="62">
        <f ca="1">AVERAGE(OFFSET($DS$3,0,0,'Données projet'!$E$14+1,1))-AVERAGE(OFFSET($H$3,0,0,'Données projet'!$E$14+1,1))</f>
        <v>279.49721661620544</v>
      </c>
      <c r="DU55" s="62">
        <f t="shared" si="44"/>
        <v>275.18739333988754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14.341488567274446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14.341488567274446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13.4</v>
      </c>
      <c r="EJ55" s="13">
        <f>IF('Données projet'!$A$192&gt;35,EJ54+EI55-ER54,IF(A55&lt;'Données projet'!$A$192,$EG$205^A55,IF(A55='Données projet'!$A$192,'Données projet'!$B$192,EJ54+EI55-ER54)))</f>
        <v>265.80000000000013</v>
      </c>
      <c r="EK55" s="18">
        <f>EJ55*VLOOKUP('Données projet'!$B$15,Paramètres!$A$1:$I$89,3,0)*VLOOKUP('Données projet'!$B$15,Paramètres!$A$1:$I$89,5,0)</f>
        <v>228.05640000000014</v>
      </c>
      <c r="EL55" s="14">
        <f t="shared" si="45"/>
        <v>55.862222430632038</v>
      </c>
      <c r="EM55" s="22">
        <f t="shared" si="19"/>
        <v>494.49160073335105</v>
      </c>
      <c r="EN55" s="62">
        <f t="shared" si="20"/>
        <v>787.82493406668436</v>
      </c>
      <c r="EO55" s="62">
        <f ca="1">AVERAGE(OFFSET($EN$3,0,0,'Données projet'!$E$15+1,1))-AVERAGE(OFFSET($H$3,0,0,'Données projet'!$E$15+1,1))</f>
        <v>394.11074988418096</v>
      </c>
      <c r="EP55" s="62">
        <f t="shared" si="46"/>
        <v>241.85593029696236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14.956062738359847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14.956062738359847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27</v>
      </c>
      <c r="N56" s="14">
        <f>IF('Données projet'!$A$36&gt;35,N55+M56-V55,IF(A56&lt;'Données projet'!$A$36,$K$205^A56,IF(A56='Données projet'!$A$36,'Données projet'!$B$36,N55+M56-V55)))</f>
        <v>914.00000000000045</v>
      </c>
      <c r="O56" s="14">
        <f>N56*VLOOKUP('Données projet'!$B$9,Paramètres!$A$1:$I$89,3,0)*VLOOKUP('Données projet'!$B$9,Paramètres!$A$1:$I$89,5,0)</f>
        <v>510.92600000000027</v>
      </c>
      <c r="P56" s="14">
        <f t="shared" si="33"/>
        <v>113.9350105462853</v>
      </c>
      <c r="Q56" s="22">
        <f t="shared" si="53"/>
        <v>1088.2995933681141</v>
      </c>
      <c r="R56" s="62">
        <f t="shared" si="0"/>
        <v>1381.6329267014473</v>
      </c>
      <c r="S56" s="62">
        <f ca="1">AVERAGE(OFFSET($R$3,0,0,'Données projet'!$E$9+1,1))-AVERAGE(OFFSET($H$3,0,0,'Données projet'!$E$9+1,1))</f>
        <v>539.2446452106276</v>
      </c>
      <c r="T56" s="62">
        <f t="shared" si="34"/>
        <v>596.73830276071465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54.032726698691789</v>
      </c>
      <c r="AA56" s="23">
        <f>EXP(-LN(2)/25)*AA55+(1-EXP(-LN(2)/25))/(LN(2)/25)*Calculateur!V56*Calculateur!X56*VLOOKUP('Données projet'!$B$9,Paramètres!$A$1:$I$89,3,0)*0.475*44/12</f>
        <v>30.727693587180742</v>
      </c>
      <c r="AB56" s="23">
        <f>EXP(-LN(2)/2)*AB55+(1-EXP(-LN(2)/2))/(LN(2)/2)*V56*Y56*VLOOKUP('Données projet'!$B$9,Paramètres!$A$1:$I$89,3,0)*0.475*44/12</f>
        <v>2.8499272102806326</v>
      </c>
      <c r="AC56" s="24">
        <f t="shared" si="3"/>
        <v>87.610347496153153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8.6</v>
      </c>
      <c r="AI56" s="14">
        <f>IF('Données projet'!$A$62&gt;35,AI55+AH56-AQ55,IF(A56&lt;'Données projet'!$A$62,$AF$205^A56,IF(A56='Données projet'!$A$62,'Données projet'!$B$62,AI55+AH56-AQ55)))</f>
        <v>348.80000000000024</v>
      </c>
      <c r="AJ56" s="14">
        <f>AI56*VLOOKUP('Données projet'!$B$10,Paramètres!$A$1:$I$89,3,0)*VLOOKUP('Données projet'!$B$10,Paramètres!$A$1:$I$89,5,0)</f>
        <v>190.44480000000013</v>
      </c>
      <c r="AK56" s="14">
        <f t="shared" si="35"/>
        <v>47.638278428909231</v>
      </c>
      <c r="AL56" s="22">
        <f t="shared" si="4"/>
        <v>414.66136159701711</v>
      </c>
      <c r="AM56" s="62">
        <f t="shared" si="5"/>
        <v>707.99469493035042</v>
      </c>
      <c r="AN56" s="62">
        <f ca="1">AVERAGE(OFFSET($AM$3,0,0,'Données projet'!$E$10+1,1))-AVERAGE(OFFSET($H$3,0,0,'Données projet'!$E$10+1,1))</f>
        <v>262.6671000229498</v>
      </c>
      <c r="AO56" s="62">
        <f t="shared" si="36"/>
        <v>289.30432245776024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32.549611214354307</v>
      </c>
      <c r="AV56" s="23">
        <f>EXP(-LN(2)/25)*AV55+(1-EXP(-LN(2)/25))/(LN(2)/25)*Calculateur!AQ56*Calculateur!AS56*VLOOKUP('Données projet'!$B$10,Paramètres!$A$1:$I$89,3,0)*0.475*44/12</f>
        <v>31.345311968334876</v>
      </c>
      <c r="AW56" s="23">
        <f>EXP(-LN(2)/2)*AW55+(1-EXP(-LN(2)/2))/(LN(2)/2)*AQ56*AT56*VLOOKUP('Données projet'!$B$10,Paramètres!$A$1:$I$89,3,0)*0.475*44/12</f>
        <v>1.8875214230677235</v>
      </c>
      <c r="AX56" s="23">
        <f t="shared" si="6"/>
        <v>65.782444605756908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6.6</v>
      </c>
      <c r="CT56" s="13">
        <f>IF('Données projet'!$A$140&gt;35,CT55+CS56-DB55,IF(A56&lt;'Données projet'!$A$140,$CQ$205^A56,IF(A56='Données projet'!$A$140,'Données projet'!$B$140,CT55+CS56-DB55)))</f>
        <v>204.80000000000004</v>
      </c>
      <c r="CU56" s="18">
        <f>CT56*VLOOKUP('Données projet'!$B$13,Paramètres!$A$1:$I$89,3,0)*VLOOKUP('Données projet'!$B$13,Paramètres!$A$1:$I$89,5,0)</f>
        <v>178.91328000000004</v>
      </c>
      <c r="CV56" s="14">
        <f t="shared" si="41"/>
        <v>45.080325843494848</v>
      </c>
      <c r="CW56" s="22">
        <f t="shared" si="13"/>
        <v>390.12219684408689</v>
      </c>
      <c r="CX56" s="62">
        <f t="shared" si="14"/>
        <v>683.4555301774202</v>
      </c>
      <c r="CY56" s="62">
        <f ca="1">AVERAGE(OFFSET($CX$3,0,0,'Données projet'!$E$13+1,1))-AVERAGE(OFFSET($H$3,0,0,'Données projet'!$E$13+1,1))</f>
        <v>268.27008134105046</v>
      </c>
      <c r="CZ56" s="62">
        <f t="shared" si="42"/>
        <v>252.36274686619709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12.11331769867507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12.11331769867507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7.4</v>
      </c>
      <c r="DO56" s="13">
        <f>IF('Données projet'!$A$166&gt;35,DO55+DN56-DW55,IF(A56&lt;'Données projet'!$A$166,$DL$205^A56,IF(A56='Données projet'!$A$166,'Données projet'!$B$166,DO55+DN56-DW55)))</f>
        <v>264.2</v>
      </c>
      <c r="DP56" s="18">
        <f>DO56*VLOOKUP('Données projet'!$B$14,Paramètres!$A$1:$I$89,3,0)*VLOOKUP('Données projet'!$B$14,Paramètres!$A$1:$I$89,5,0)</f>
        <v>210.19752</v>
      </c>
      <c r="DQ56" s="14">
        <f t="shared" si="43"/>
        <v>51.978746425856599</v>
      </c>
      <c r="DR56" s="22">
        <f t="shared" si="16"/>
        <v>456.62366402503358</v>
      </c>
      <c r="DS56" s="62">
        <f t="shared" si="17"/>
        <v>749.95699735836683</v>
      </c>
      <c r="DT56" s="62">
        <f ca="1">AVERAGE(OFFSET($DS$3,0,0,'Données projet'!$E$14+1,1))-AVERAGE(OFFSET($H$3,0,0,'Données projet'!$E$14+1,1))</f>
        <v>279.49721661620544</v>
      </c>
      <c r="DU56" s="62">
        <f t="shared" si="44"/>
        <v>275.18739333988754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14.060260723914482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14.060260723914482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13.4</v>
      </c>
      <c r="EJ56" s="13">
        <f>IF('Données projet'!$A$192&gt;35,EJ55+EI56-ER55,IF(A56&lt;'Données projet'!$A$192,$EG$205^A56,IF(A56='Données projet'!$A$192,'Données projet'!$B$192,EJ55+EI56-ER55)))</f>
        <v>279.2000000000001</v>
      </c>
      <c r="EK56" s="18">
        <f>EJ56*VLOOKUP('Données projet'!$B$15,Paramètres!$A$1:$I$89,3,0)*VLOOKUP('Données projet'!$B$15,Paramètres!$A$1:$I$89,5,0)</f>
        <v>239.5536000000001</v>
      </c>
      <c r="EL56" s="14">
        <f t="shared" si="45"/>
        <v>58.343474943343601</v>
      </c>
      <c r="EM56" s="22">
        <f t="shared" si="19"/>
        <v>518.83740552632355</v>
      </c>
      <c r="EN56" s="62">
        <f t="shared" si="20"/>
        <v>812.17073885965692</v>
      </c>
      <c r="EO56" s="62">
        <f ca="1">AVERAGE(OFFSET($EN$3,0,0,'Données projet'!$E$15+1,1))-AVERAGE(OFFSET($H$3,0,0,'Données projet'!$E$15+1,1))</f>
        <v>394.11074988418096</v>
      </c>
      <c r="EP56" s="62">
        <f t="shared" si="46"/>
        <v>241.85593029696236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14.662783470358129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14.662783470358129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27</v>
      </c>
      <c r="N57" s="14">
        <f>IF('Données projet'!$A$36&gt;35,N56+M57-V56,IF(A57&lt;'Données projet'!$A$36,$K$205^A57,IF(A57='Données projet'!$A$36,'Données projet'!$B$36,N56+M57-V56)))</f>
        <v>941.00000000000045</v>
      </c>
      <c r="O57" s="14">
        <f>N57*VLOOKUP('Données projet'!$B$9,Paramètres!$A$1:$I$89,3,0)*VLOOKUP('Données projet'!$B$9,Paramètres!$A$1:$I$89,5,0)</f>
        <v>526.01900000000023</v>
      </c>
      <c r="P57" s="14">
        <f t="shared" si="33"/>
        <v>116.90388110127148</v>
      </c>
      <c r="Q57" s="22">
        <f t="shared" si="53"/>
        <v>1119.7573512513816</v>
      </c>
      <c r="R57" s="62">
        <f t="shared" si="0"/>
        <v>1413.0906845847148</v>
      </c>
      <c r="S57" s="62">
        <f ca="1">AVERAGE(OFFSET($R$3,0,0,'Données projet'!$E$9+1,1))-AVERAGE(OFFSET($H$3,0,0,'Données projet'!$E$9+1,1))</f>
        <v>539.2446452106276</v>
      </c>
      <c r="T57" s="62">
        <f t="shared" si="34"/>
        <v>596.73830276071465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52.973177884839522</v>
      </c>
      <c r="AA57" s="23">
        <f>EXP(-LN(2)/25)*AA56+(1-EXP(-LN(2)/25))/(LN(2)/25)*Calculateur!V57*Calculateur!X57*VLOOKUP('Données projet'!$B$9,Paramètres!$A$1:$I$89,3,0)*0.475*44/12</f>
        <v>29.887443190140107</v>
      </c>
      <c r="AB57" s="23">
        <f>EXP(-LN(2)/2)*AB56+(1-EXP(-LN(2)/2))/(LN(2)/2)*V57*Y57*VLOOKUP('Données projet'!$B$9,Paramètres!$A$1:$I$89,3,0)*0.475*44/12</f>
        <v>2.0152028562774951</v>
      </c>
      <c r="AC57" s="24">
        <f t="shared" si="3"/>
        <v>84.875823931257131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8.6</v>
      </c>
      <c r="AI57" s="14">
        <f>IF('Données projet'!$A$62&gt;35,AI56+AH57-AQ56,IF(A57&lt;'Données projet'!$A$62,$AF$205^A57,IF(A57='Données projet'!$A$62,'Données projet'!$B$62,AI56+AH57-AQ56)))</f>
        <v>357.40000000000026</v>
      </c>
      <c r="AJ57" s="14">
        <f>AI57*VLOOKUP('Données projet'!$B$10,Paramètres!$A$1:$I$89,3,0)*VLOOKUP('Données projet'!$B$10,Paramètres!$A$1:$I$89,5,0)</f>
        <v>195.14040000000017</v>
      </c>
      <c r="AK57" s="14">
        <f t="shared" si="35"/>
        <v>48.674650600880497</v>
      </c>
      <c r="AL57" s="22">
        <f t="shared" si="4"/>
        <v>424.64454646320047</v>
      </c>
      <c r="AM57" s="62">
        <f t="shared" si="5"/>
        <v>717.97787979653378</v>
      </c>
      <c r="AN57" s="62">
        <f ca="1">AVERAGE(OFFSET($AM$3,0,0,'Données projet'!$E$10+1,1))-AVERAGE(OFFSET($H$3,0,0,'Données projet'!$E$10+1,1))</f>
        <v>262.6671000229498</v>
      </c>
      <c r="AO57" s="62">
        <f t="shared" si="36"/>
        <v>289.30432245776024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31.91133319174331</v>
      </c>
      <c r="AV57" s="23">
        <f>EXP(-LN(2)/25)*AV56+(1-EXP(-LN(2)/25))/(LN(2)/25)*Calculateur!AQ57*Calculateur!AS57*VLOOKUP('Données projet'!$B$10,Paramètres!$A$1:$I$89,3,0)*0.475*44/12</f>
        <v>30.488172764182444</v>
      </c>
      <c r="AW57" s="23">
        <f>EXP(-LN(2)/2)*AW56+(1-EXP(-LN(2)/2))/(LN(2)/2)*AQ57*AT57*VLOOKUP('Données projet'!$B$10,Paramètres!$A$1:$I$89,3,0)*0.475*44/12</f>
        <v>1.3346791978860697</v>
      </c>
      <c r="AX57" s="23">
        <f t="shared" si="6"/>
        <v>63.734185153811822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6.6</v>
      </c>
      <c r="CT57" s="13">
        <f>IF('Données projet'!$A$140&gt;35,CT56+CS57-DB56,IF(A57&lt;'Données projet'!$A$140,$CQ$205^A57,IF(A57='Données projet'!$A$140,'Données projet'!$B$140,CT56+CS57-DB56)))</f>
        <v>211.40000000000003</v>
      </c>
      <c r="CU57" s="18">
        <f>CT57*VLOOKUP('Données projet'!$B$13,Paramètres!$A$1:$I$89,3,0)*VLOOKUP('Données projet'!$B$13,Paramètres!$A$1:$I$89,5,0)</f>
        <v>184.67904000000004</v>
      </c>
      <c r="CV57" s="14">
        <f t="shared" si="41"/>
        <v>46.361626470742223</v>
      </c>
      <c r="CW57" s="22">
        <f t="shared" si="13"/>
        <v>402.39582743654279</v>
      </c>
      <c r="CX57" s="62">
        <f t="shared" si="14"/>
        <v>695.7291607698761</v>
      </c>
      <c r="CY57" s="62">
        <f ca="1">AVERAGE(OFFSET($CX$3,0,0,'Données projet'!$E$13+1,1))-AVERAGE(OFFSET($H$3,0,0,'Données projet'!$E$13+1,1))</f>
        <v>268.27008134105046</v>
      </c>
      <c r="CZ57" s="62">
        <f t="shared" si="42"/>
        <v>252.36274686619709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11.875782926998305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11.875782926998305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7.4</v>
      </c>
      <c r="DO57" s="13">
        <f>IF('Données projet'!$A$166&gt;35,DO56+DN57-DW56,IF(A57&lt;'Données projet'!$A$166,$DL$205^A57,IF(A57='Données projet'!$A$166,'Données projet'!$B$166,DO56+DN57-DW56)))</f>
        <v>271.59999999999997</v>
      </c>
      <c r="DP57" s="18">
        <f>DO57*VLOOKUP('Données projet'!$B$14,Paramètres!$A$1:$I$89,3,0)*VLOOKUP('Données projet'!$B$14,Paramètres!$A$1:$I$89,5,0)</f>
        <v>216.08496</v>
      </c>
      <c r="DQ57" s="14">
        <f t="shared" si="43"/>
        <v>53.26308393083157</v>
      </c>
      <c r="DR57" s="22">
        <f t="shared" si="16"/>
        <v>469.11450984619825</v>
      </c>
      <c r="DS57" s="62">
        <f t="shared" si="17"/>
        <v>762.44784317953156</v>
      </c>
      <c r="DT57" s="62">
        <f ca="1">AVERAGE(OFFSET($DS$3,0,0,'Données projet'!$E$14+1,1))-AVERAGE(OFFSET($H$3,0,0,'Données projet'!$E$14+1,1))</f>
        <v>279.49721661620544</v>
      </c>
      <c r="DU57" s="62">
        <f t="shared" si="44"/>
        <v>275.18739333988754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13.78454758703076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13.78454758703076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13.4</v>
      </c>
      <c r="EJ57" s="13">
        <f>IF('Données projet'!$A$192&gt;35,EJ56+EI57-ER56,IF(A57&lt;'Données projet'!$A$192,$EG$205^A57,IF(A57='Données projet'!$A$192,'Données projet'!$B$192,EJ56+EI57-ER56)))</f>
        <v>292.60000000000008</v>
      </c>
      <c r="EK57" s="18">
        <f>EJ57*VLOOKUP('Données projet'!$B$15,Paramètres!$A$1:$I$89,3,0)*VLOOKUP('Données projet'!$B$15,Paramètres!$A$1:$I$89,5,0)</f>
        <v>251.05080000000009</v>
      </c>
      <c r="EL57" s="14">
        <f t="shared" si="45"/>
        <v>60.810898898941176</v>
      </c>
      <c r="EM57" s="22">
        <f t="shared" si="19"/>
        <v>543.15912558232264</v>
      </c>
      <c r="EN57" s="62">
        <f t="shared" si="20"/>
        <v>836.49245891565602</v>
      </c>
      <c r="EO57" s="62">
        <f ca="1">AVERAGE(OFFSET($EN$3,0,0,'Données projet'!$E$15+1,1))-AVERAGE(OFFSET($H$3,0,0,'Données projet'!$E$15+1,1))</f>
        <v>394.11074988418096</v>
      </c>
      <c r="EP57" s="62">
        <f t="shared" si="46"/>
        <v>241.85593029696236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14.375255229919233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14.375255229919233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27</v>
      </c>
      <c r="N58" s="14">
        <f>IF('Données projet'!$A$36&gt;35,N57+M58-V57,IF(A58&lt;'Données projet'!$A$36,$K$205^A58,IF(A58='Données projet'!$A$36,'Données projet'!$B$36,N57+M58-V57)))</f>
        <v>968.00000000000045</v>
      </c>
      <c r="O58" s="14">
        <f>N58*VLOOKUP('Données projet'!$B$9,Paramètres!$A$1:$I$89,3,0)*VLOOKUP('Données projet'!$B$9,Paramètres!$A$1:$I$89,5,0)</f>
        <v>541.11200000000031</v>
      </c>
      <c r="P58" s="14">
        <f t="shared" si="33"/>
        <v>119.86285117474739</v>
      </c>
      <c r="Q58" s="22">
        <f t="shared" si="53"/>
        <v>1151.197865796019</v>
      </c>
      <c r="R58" s="62">
        <f t="shared" si="0"/>
        <v>1444.5311991293522</v>
      </c>
      <c r="S58" s="62">
        <f ca="1">AVERAGE(OFFSET($R$3,0,0,'Données projet'!$E$9+1,1))-AVERAGE(OFFSET($H$3,0,0,'Données projet'!$E$9+1,1))</f>
        <v>539.2446452106276</v>
      </c>
      <c r="T58" s="62">
        <f t="shared" si="34"/>
        <v>596.73830276071465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51.934406176965936</v>
      </c>
      <c r="AA58" s="23">
        <f>EXP(-LN(2)/25)*AA57+(1-EXP(-LN(2)/25))/(LN(2)/25)*Calculateur!V58*Calculateur!X58*VLOOKUP('Données projet'!$B$9,Paramètres!$A$1:$I$89,3,0)*0.475*44/12</f>
        <v>29.070169484393396</v>
      </c>
      <c r="AB58" s="23">
        <f>EXP(-LN(2)/2)*AB57+(1-EXP(-LN(2)/2))/(LN(2)/2)*V58*Y58*VLOOKUP('Données projet'!$B$9,Paramètres!$A$1:$I$89,3,0)*0.475*44/12</f>
        <v>1.4249636051403163</v>
      </c>
      <c r="AC58" s="24">
        <f t="shared" si="3"/>
        <v>82.429539266499646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366</v>
      </c>
      <c r="AG58" s="13">
        <f>VLOOKUP(A58,'Données projet'!$A$61:$I$81,9,0)</f>
        <v>8.6</v>
      </c>
      <c r="AH58" s="13">
        <f t="array" ref="AH58">INDEX(AG:AG,MIN(IF(ISNUMBER(AG58:AG254),ROW(AG58:AG254),"")))</f>
        <v>8.6</v>
      </c>
      <c r="AI58" s="14">
        <f>IF('Données projet'!$A$62&gt;35,AI57+AH58-AQ57,IF(A58&lt;'Données projet'!$A$62,$AF$205^A58,IF(A58='Données projet'!$A$62,'Données projet'!$B$62,AI57+AH58-AQ57)))</f>
        <v>366.00000000000028</v>
      </c>
      <c r="AJ58" s="14">
        <f>AI58*VLOOKUP('Données projet'!$B$10,Paramètres!$A$1:$I$89,3,0)*VLOOKUP('Données projet'!$B$10,Paramètres!$A$1:$I$89,5,0)</f>
        <v>199.83600000000015</v>
      </c>
      <c r="AK58" s="14">
        <f t="shared" si="35"/>
        <v>49.708123768564654</v>
      </c>
      <c r="AL58" s="22">
        <f t="shared" si="4"/>
        <v>434.62268223025035</v>
      </c>
      <c r="AM58" s="62">
        <f t="shared" si="5"/>
        <v>727.95601556358361</v>
      </c>
      <c r="AN58" s="62">
        <f ca="1">AVERAGE(OFFSET($AM$3,0,0,'Données projet'!$E$10+1,1))-AVERAGE(OFFSET($H$3,0,0,'Données projet'!$E$10+1,1))</f>
        <v>262.6671000229498</v>
      </c>
      <c r="AO58" s="62">
        <f t="shared" si="36"/>
        <v>289.30432245776024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27</v>
      </c>
      <c r="AR58" s="17">
        <f>IF(ISNA(VLOOKUP(A58,'Données projet'!$A$61:$I$81,5,0)),0%,VLOOKUP(A58,'Données projet'!$A$61:$I$81,5,0)*VLOOKUP('Données projet'!$B$10,Paramètres!$A$1:$I$89,7,0))</f>
        <v>0.36</v>
      </c>
      <c r="AS58" s="17">
        <f>IF(ISNA(VLOOKUP(A58,'Données projet'!$A$61:$I$81,6,0)),0%,VLOOKUP(A58,'Données projet'!$A$61:$I$81,6,0)*VLOOKUP('Données projet'!$B$10,Paramètres!$A$1:$I$89,7,0))</f>
        <v>0.13200000000000001</v>
      </c>
      <c r="AT58" s="17">
        <f>IF(ISNA(VLOOKUP(A58,'Données projet'!$A$61:$I$81,7,0)),0%,VLOOKUP(A58,'Données projet'!$A$61:$I$81,7,0))</f>
        <v>0.18</v>
      </c>
      <c r="AU58" s="23">
        <f>EXP(-LN(2)/35)*AU57+(1-EXP(-LN(2)/35))/(LN(2)/35)*AQ58*AR58*VLOOKUP('Données projet'!$B$10,Paramètres!$A$1:$I$89,3,0)*0.475*44/12</f>
        <v>38.32580816459685</v>
      </c>
      <c r="AV58" s="23">
        <f>EXP(-LN(2)/25)*AV57+(1-EXP(-LN(2)/25))/(LN(2)/25)*Calculateur!AQ58*Calculateur!AS58*VLOOKUP('Données projet'!$B$10,Paramètres!$A$1:$I$89,3,0)*0.475*44/12</f>
        <v>32.22572818461849</v>
      </c>
      <c r="AW58" s="23">
        <f>EXP(-LN(2)/2)*AW57+(1-EXP(-LN(2)/2))/(LN(2)/2)*AQ58*AT58*VLOOKUP('Données projet'!$B$10,Paramètres!$A$1:$I$89,3,0)*0.475*44/12</f>
        <v>3.9482070469581902</v>
      </c>
      <c r="AX58" s="23">
        <f t="shared" si="6"/>
        <v>74.499743396173528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218</v>
      </c>
      <c r="CR58" s="13">
        <f>VLOOKUP(A58,'Données projet'!$A$139:$I$159,9,0)</f>
        <v>6.6</v>
      </c>
      <c r="CS58" s="13">
        <f t="array" ref="CS58">INDEX(CR:CR,MIN(IF(ISNUMBER(CR58:CR254),ROW(CR58:CR254),"")))</f>
        <v>6.6</v>
      </c>
      <c r="CT58" s="13">
        <f>IF('Données projet'!$A$140&gt;35,CT57+CS58-DB57,IF(A58&lt;'Données projet'!$A$140,$CQ$205^A58,IF(A58='Données projet'!$A$140,'Données projet'!$B$140,CT57+CS58-DB57)))</f>
        <v>218.00000000000003</v>
      </c>
      <c r="CU58" s="18">
        <f>CT58*VLOOKUP('Données projet'!$B$13,Paramètres!$A$1:$I$89,3,0)*VLOOKUP('Données projet'!$B$13,Paramètres!$A$1:$I$89,5,0)</f>
        <v>190.44480000000004</v>
      </c>
      <c r="CV58" s="14">
        <f t="shared" si="41"/>
        <v>47.638278428909231</v>
      </c>
      <c r="CW58" s="22">
        <f t="shared" si="13"/>
        <v>414.66136159701699</v>
      </c>
      <c r="CX58" s="62">
        <f t="shared" si="14"/>
        <v>707.99469493035031</v>
      </c>
      <c r="CY58" s="62">
        <f ca="1">AVERAGE(OFFSET($CX$3,0,0,'Données projet'!$E$13+1,1))-AVERAGE(OFFSET($H$3,0,0,'Données projet'!$E$13+1,1))</f>
        <v>268.27008134105046</v>
      </c>
      <c r="CZ58" s="62">
        <f t="shared" si="42"/>
        <v>252.36274686619709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23</v>
      </c>
      <c r="DC58" s="17">
        <f>IF(ISNA(VLOOKUP(A58,'Données projet'!$A$139:$I$159,5,0)),0%,VLOOKUP(A58,'Données projet'!$A$139:$I$159,5,0)*VLOOKUP('Données projet'!$B$13,Paramètres!$A$1:$I$89,7,0))</f>
        <v>0.17200000000000001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15.463369248915519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15.463369248915519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279</v>
      </c>
      <c r="DM58" s="13">
        <f>VLOOKUP(A58,'Données projet'!$A$165:$I$185,9,0)</f>
        <v>7.4</v>
      </c>
      <c r="DN58" s="13">
        <f t="array" ref="DN58">INDEX(DM:DM,MIN(IF(ISNUMBER(DM58:DM254),ROW(DM58:DM254),"")))</f>
        <v>7.4</v>
      </c>
      <c r="DO58" s="13">
        <f>IF('Données projet'!$A$166&gt;35,DO57+DN58-DW57,IF(A58&lt;'Données projet'!$A$166,$DL$205^A58,IF(A58='Données projet'!$A$166,'Données projet'!$B$166,DO57+DN58-DW57)))</f>
        <v>278.99999999999994</v>
      </c>
      <c r="DP58" s="18">
        <f>DO58*VLOOKUP('Données projet'!$B$14,Paramètres!$A$1:$I$89,3,0)*VLOOKUP('Données projet'!$B$14,Paramètres!$A$1:$I$89,5,0)</f>
        <v>221.97239999999996</v>
      </c>
      <c r="DQ58" s="14">
        <f t="shared" si="43"/>
        <v>54.543354171476821</v>
      </c>
      <c r="DR58" s="22">
        <f t="shared" si="16"/>
        <v>481.59827184865543</v>
      </c>
      <c r="DS58" s="62">
        <f t="shared" si="17"/>
        <v>774.93160518198874</v>
      </c>
      <c r="DT58" s="62">
        <f ca="1">AVERAGE(OFFSET($DS$3,0,0,'Données projet'!$E$14+1,1))-AVERAGE(OFFSET($H$3,0,0,'Données projet'!$E$14+1,1))</f>
        <v>279.49721661620544</v>
      </c>
      <c r="DU58" s="62">
        <f t="shared" si="44"/>
        <v>275.18739333988754</v>
      </c>
      <c r="DV58" s="16">
        <f>IF(ISNA(VLOOKUP(A58,'Données projet'!$A$165:$I$185,3,0)),0,VLOOKUP(A58,'Données projet'!$A$165:$I$185,3,0))</f>
        <v>10</v>
      </c>
      <c r="DW58" s="16">
        <f>IF(ISNA(VLOOKUP(A58,'Données projet'!$A$165:$I$185,4,0)),0,VLOOKUP(A58,'Données projet'!$A$165:$I$185,4,0))</f>
        <v>16</v>
      </c>
      <c r="DX58" s="17">
        <f>IF(ISNA(VLOOKUP(A58,'Données projet'!$A$165:$I$185,5,0)),0%,VLOOKUP(A58,'Données projet'!$A$165:$I$185,5,0)*VLOOKUP('Données projet'!$B$14,Paramètres!$A$1:$I$89,7,0))</f>
        <v>0.318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17.989199262963162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17.989199262963162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306</v>
      </c>
      <c r="EH58" s="13">
        <f>VLOOKUP(A58,'Données projet'!$A$191:$I$211,9,0)</f>
        <v>13.4</v>
      </c>
      <c r="EI58" s="13">
        <f t="array" ref="EI58">INDEX(EH:EH,MIN(IF(ISNUMBER(EH58:EH254),ROW(EH58:EH254),"")))</f>
        <v>13.4</v>
      </c>
      <c r="EJ58" s="13">
        <f>IF('Données projet'!$A$192&gt;35,EJ57+EI58-ER57,IF(A58&lt;'Données projet'!$A$192,$EG$205^A58,IF(A58='Données projet'!$A$192,'Données projet'!$B$192,EJ57+EI58-ER57)))</f>
        <v>306.00000000000006</v>
      </c>
      <c r="EK58" s="18">
        <f>EJ58*VLOOKUP('Données projet'!$B$15,Paramètres!$A$1:$I$89,3,0)*VLOOKUP('Données projet'!$B$15,Paramètres!$A$1:$I$89,5,0)</f>
        <v>262.54800000000006</v>
      </c>
      <c r="EL58" s="14">
        <f t="shared" si="45"/>
        <v>63.265199933079444</v>
      </c>
      <c r="EM58" s="22">
        <f t="shared" si="19"/>
        <v>567.45798988344677</v>
      </c>
      <c r="EN58" s="62">
        <f t="shared" si="20"/>
        <v>860.79132321678003</v>
      </c>
      <c r="EO58" s="62">
        <f ca="1">AVERAGE(OFFSET($EN$3,0,0,'Données projet'!$E$15+1,1))-AVERAGE(OFFSET($H$3,0,0,'Données projet'!$E$15+1,1))</f>
        <v>394.11074988418096</v>
      </c>
      <c r="EP58" s="62">
        <f t="shared" si="46"/>
        <v>241.85593029696236</v>
      </c>
      <c r="EQ58" s="16">
        <f>IF(ISNA(VLOOKUP(A58,'Données projet'!$A$191:$I$211,3,0)),0,VLOOKUP(A58,'Données projet'!$A$191:$I$211,3,0))</f>
        <v>8</v>
      </c>
      <c r="ER58" s="16">
        <f>IF(ISNA(VLOOKUP(A58,'Données projet'!$A$191:$I$211,4,0)),0,VLOOKUP(A58,'Données projet'!$A$191:$I$211,4,0))</f>
        <v>35</v>
      </c>
      <c r="ES58" s="17">
        <f>IF(ISNA(VLOOKUP(A58,'Données projet'!$A$191:$I$211,5,0)),0%,VLOOKUP(A58,'Données projet'!$A$191:$I$211,5,0)*VLOOKUP('Données projet'!$B$15,Paramètres!$A$1:$I$89,7,0))</f>
        <v>0.21200000000000002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21.131187648343829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21.131187648343829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27</v>
      </c>
      <c r="N59" s="14">
        <f>IF('Données projet'!$A$36&gt;35,N58+M59-V58,IF(A59&lt;'Données projet'!$A$36,$K$205^A59,IF(A59='Données projet'!$A$36,'Données projet'!$B$36,N58+M59-V58)))</f>
        <v>995.00000000000045</v>
      </c>
      <c r="O59" s="14">
        <f>N59*VLOOKUP('Données projet'!$B$9,Paramètres!$A$1:$I$89,3,0)*VLOOKUP('Données projet'!$B$9,Paramètres!$A$1:$I$89,5,0)</f>
        <v>556.20500000000027</v>
      </c>
      <c r="P59" s="14">
        <f t="shared" si="33"/>
        <v>122.81222864128917</v>
      </c>
      <c r="Q59" s="22">
        <f t="shared" si="53"/>
        <v>1182.6216732169125</v>
      </c>
      <c r="R59" s="62">
        <f t="shared" si="0"/>
        <v>1475.9550065502458</v>
      </c>
      <c r="S59" s="62">
        <f ca="1">AVERAGE(OFFSET($R$3,0,0,'Données projet'!$E$9+1,1))-AVERAGE(OFFSET($H$3,0,0,'Données projet'!$E$9+1,1))</f>
        <v>539.2446452106276</v>
      </c>
      <c r="T59" s="62">
        <f t="shared" si="34"/>
        <v>596.73830276071465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50.916004148695571</v>
      </c>
      <c r="AA59" s="23">
        <f>EXP(-LN(2)/25)*AA58+(1-EXP(-LN(2)/25))/(LN(2)/25)*Calculateur!V59*Calculateur!X59*VLOOKUP('Données projet'!$B$9,Paramètres!$A$1:$I$89,3,0)*0.475*44/12</f>
        <v>28.275244171108888</v>
      </c>
      <c r="AB59" s="23">
        <f>EXP(-LN(2)/2)*AB58+(1-EXP(-LN(2)/2))/(LN(2)/2)*V59*Y59*VLOOKUP('Données projet'!$B$9,Paramètres!$A$1:$I$89,3,0)*0.475*44/12</f>
        <v>1.0076014281387475</v>
      </c>
      <c r="AC59" s="24">
        <f t="shared" si="3"/>
        <v>80.1988497479432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7.2</v>
      </c>
      <c r="AI59" s="14">
        <f>IF('Données projet'!$A$62&gt;35,AI58+AH59-AQ58,IF(A59&lt;'Données projet'!$A$62,$AF$205^A59,IF(A59='Données projet'!$A$62,'Données projet'!$B$62,AI58+AH59-AQ58)))</f>
        <v>346.20000000000027</v>
      </c>
      <c r="AJ59" s="14">
        <f>AI59*VLOOKUP('Données projet'!$B$10,Paramètres!$A$1:$I$89,3,0)*VLOOKUP('Données projet'!$B$10,Paramètres!$A$1:$I$89,5,0)</f>
        <v>189.02520000000015</v>
      </c>
      <c r="AK59" s="14">
        <f t="shared" si="35"/>
        <v>47.324373936563561</v>
      </c>
      <c r="AL59" s="22">
        <f t="shared" si="4"/>
        <v>411.64217460618175</v>
      </c>
      <c r="AM59" s="62">
        <f t="shared" si="5"/>
        <v>704.97550793951507</v>
      </c>
      <c r="AN59" s="62">
        <f ca="1">AVERAGE(OFFSET($AM$3,0,0,'Données projet'!$E$10+1,1))-AVERAGE(OFFSET($H$3,0,0,'Données projet'!$E$10+1,1))</f>
        <v>262.6671000229498</v>
      </c>
      <c r="AO59" s="62">
        <f t="shared" si="36"/>
        <v>289.30432245776024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37.574262442923853</v>
      </c>
      <c r="AV59" s="23">
        <f>EXP(-LN(2)/25)*AV58+(1-EXP(-LN(2)/25))/(LN(2)/25)*Calculateur!AQ59*Calculateur!AS59*VLOOKUP('Données projet'!$B$10,Paramètres!$A$1:$I$89,3,0)*0.475*44/12</f>
        <v>31.344513952732704</v>
      </c>
      <c r="AW59" s="23">
        <f>EXP(-LN(2)/2)*AW58+(1-EXP(-LN(2)/2))/(LN(2)/2)*AQ59*AT59*VLOOKUP('Données projet'!$B$10,Paramètres!$A$1:$I$89,3,0)*0.475*44/12</f>
        <v>2.7918039764326501</v>
      </c>
      <c r="AX59" s="23">
        <f t="shared" si="6"/>
        <v>71.710580372089197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</v>
      </c>
      <c r="CT59" s="13">
        <f>IF('Données projet'!$A$140&gt;35,CT58+CS59-DB58,IF(A59&lt;'Données projet'!$A$140,$CQ$205^A59,IF(A59='Données projet'!$A$140,'Données projet'!$B$140,CT58+CS59-DB58)))</f>
        <v>201.00000000000003</v>
      </c>
      <c r="CU59" s="18">
        <f>CT59*VLOOKUP('Données projet'!$B$13,Paramètres!$A$1:$I$89,3,0)*VLOOKUP('Données projet'!$B$13,Paramètres!$A$1:$I$89,5,0)</f>
        <v>175.59360000000007</v>
      </c>
      <c r="CV59" s="14">
        <f t="shared" si="41"/>
        <v>44.340433728638573</v>
      </c>
      <c r="CW59" s="22">
        <f t="shared" si="13"/>
        <v>383.05177541071225</v>
      </c>
      <c r="CX59" s="62">
        <f t="shared" si="14"/>
        <v>676.38510874404551</v>
      </c>
      <c r="CY59" s="62">
        <f ca="1">AVERAGE(OFFSET($CX$3,0,0,'Données projet'!$E$13+1,1))-AVERAGE(OFFSET($H$3,0,0,'Données projet'!$E$13+1,1))</f>
        <v>268.27008134105046</v>
      </c>
      <c r="CZ59" s="62">
        <f t="shared" si="42"/>
        <v>252.36274686619709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15.160142009668222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15.160142009668222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6.2</v>
      </c>
      <c r="DO59" s="13">
        <f>IF('Données projet'!$A$166&gt;35,DO58+DN59-DW58,IF(A59&lt;'Données projet'!$A$166,$DL$205^A59,IF(A59='Données projet'!$A$166,'Données projet'!$B$166,DO58+DN59-DW58)))</f>
        <v>269.19999999999993</v>
      </c>
      <c r="DP59" s="18">
        <f>DO59*VLOOKUP('Données projet'!$B$14,Paramètres!$A$1:$I$89,3,0)*VLOOKUP('Données projet'!$B$14,Paramètres!$A$1:$I$89,5,0)</f>
        <v>214.17551999999998</v>
      </c>
      <c r="DQ59" s="14">
        <f t="shared" si="43"/>
        <v>52.846993696165399</v>
      </c>
      <c r="DR59" s="22">
        <f t="shared" si="16"/>
        <v>465.06421135415468</v>
      </c>
      <c r="DS59" s="62">
        <f t="shared" si="17"/>
        <v>758.39754468748799</v>
      </c>
      <c r="DT59" s="62">
        <f ca="1">AVERAGE(OFFSET($DS$3,0,0,'Données projet'!$E$14+1,1))-AVERAGE(OFFSET($H$3,0,0,'Données projet'!$E$14+1,1))</f>
        <v>279.49721661620544</v>
      </c>
      <c r="DU59" s="62">
        <f t="shared" si="44"/>
        <v>275.18739333988754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17.636442037744576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17.636442037744576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13</v>
      </c>
      <c r="EJ59" s="13">
        <f>IF('Données projet'!$A$192&gt;35,EJ58+EI59-ER58,IF(A59&lt;'Données projet'!$A$192,$EG$205^A59,IF(A59='Données projet'!$A$192,'Données projet'!$B$192,EJ58+EI59-ER58)))</f>
        <v>284.00000000000006</v>
      </c>
      <c r="EK59" s="18">
        <f>EJ59*VLOOKUP('Données projet'!$B$15,Paramètres!$A$1:$I$89,3,0)*VLOOKUP('Données projet'!$B$15,Paramètres!$A$1:$I$89,5,0)</f>
        <v>243.67200000000008</v>
      </c>
      <c r="EL59" s="14">
        <f t="shared" si="45"/>
        <v>59.228879636606202</v>
      </c>
      <c r="EM59" s="22">
        <f t="shared" si="19"/>
        <v>527.55236536708924</v>
      </c>
      <c r="EN59" s="62">
        <f t="shared" si="20"/>
        <v>820.88569870042261</v>
      </c>
      <c r="EO59" s="62">
        <f ca="1">AVERAGE(OFFSET($EN$3,0,0,'Données projet'!$E$15+1,1))-AVERAGE(OFFSET($H$3,0,0,'Données projet'!$E$15+1,1))</f>
        <v>394.11074988418096</v>
      </c>
      <c r="EP59" s="62">
        <f t="shared" si="46"/>
        <v>241.85593029696236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20.716817947311615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20.716817947311615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27</v>
      </c>
      <c r="N60" s="14">
        <f>IF('Données projet'!$A$36&gt;35,N59+M60-V59,IF(A60&lt;'Données projet'!$A$36,$K$205^A60,IF(A60='Données projet'!$A$36,'Données projet'!$B$36,N59+M60-V59)))</f>
        <v>1022.0000000000005</v>
      </c>
      <c r="O60" s="14">
        <f>N60*VLOOKUP('Données projet'!$B$9,Paramètres!$A$1:$I$89,3,0)*VLOOKUP('Données projet'!$B$9,Paramètres!$A$1:$I$89,5,0)</f>
        <v>571.29800000000034</v>
      </c>
      <c r="P60" s="14">
        <f t="shared" si="33"/>
        <v>125.75230371559795</v>
      </c>
      <c r="Q60" s="22">
        <f t="shared" si="53"/>
        <v>1214.0292789713337</v>
      </c>
      <c r="R60" s="62">
        <f t="shared" si="0"/>
        <v>1507.362612304667</v>
      </c>
      <c r="S60" s="62">
        <f ca="1">AVERAGE(OFFSET($R$3,0,0,'Données projet'!$E$9+1,1))-AVERAGE(OFFSET($H$3,0,0,'Données projet'!$E$9+1,1))</f>
        <v>539.2446452106276</v>
      </c>
      <c r="T60" s="62">
        <f t="shared" si="34"/>
        <v>596.73830276071465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49.917572363035688</v>
      </c>
      <c r="AA60" s="23">
        <f>EXP(-LN(2)/25)*AA59+(1-EXP(-LN(2)/25))/(LN(2)/25)*Calculateur!V60*Calculateur!X60*VLOOKUP('Données projet'!$B$9,Paramètres!$A$1:$I$89,3,0)*0.475*44/12</f>
        <v>27.502056132319449</v>
      </c>
      <c r="AB60" s="23">
        <f>EXP(-LN(2)/2)*AB59+(1-EXP(-LN(2)/2))/(LN(2)/2)*V60*Y60*VLOOKUP('Données projet'!$B$9,Paramètres!$A$1:$I$89,3,0)*0.475*44/12</f>
        <v>0.71248180257015814</v>
      </c>
      <c r="AC60" s="24">
        <f t="shared" si="3"/>
        <v>78.132110297925294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7.2</v>
      </c>
      <c r="AI60" s="14">
        <f>IF('Données projet'!$A$62&gt;35,AI59+AH60-AQ59,IF(A60&lt;'Données projet'!$A$62,$AF$205^A60,IF(A60='Données projet'!$A$62,'Données projet'!$B$62,AI59+AH60-AQ59)))</f>
        <v>353.40000000000026</v>
      </c>
      <c r="AJ60" s="14">
        <f>AI60*VLOOKUP('Données projet'!$B$10,Paramètres!$A$1:$I$89,3,0)*VLOOKUP('Données projet'!$B$10,Paramètres!$A$1:$I$89,5,0)</f>
        <v>192.95640000000014</v>
      </c>
      <c r="AK60" s="14">
        <f t="shared" si="35"/>
        <v>48.192982403791724</v>
      </c>
      <c r="AL60" s="22">
        <f t="shared" si="4"/>
        <v>420.00184101993744</v>
      </c>
      <c r="AM60" s="62">
        <f t="shared" si="5"/>
        <v>713.33517435327076</v>
      </c>
      <c r="AN60" s="62">
        <f ca="1">AVERAGE(OFFSET($AM$3,0,0,'Données projet'!$E$10+1,1))-AVERAGE(OFFSET($H$3,0,0,'Données projet'!$E$10+1,1))</f>
        <v>262.6671000229498</v>
      </c>
      <c r="AO60" s="62">
        <f t="shared" si="36"/>
        <v>289.30432245776024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36.837454074455238</v>
      </c>
      <c r="AV60" s="23">
        <f>EXP(-LN(2)/25)*AV59+(1-EXP(-LN(2)/25))/(LN(2)/25)*Calculateur!AQ60*Calculateur!AS60*VLOOKUP('Données projet'!$B$10,Paramètres!$A$1:$I$89,3,0)*0.475*44/12</f>
        <v>30.487396570358879</v>
      </c>
      <c r="AW60" s="23">
        <f>EXP(-LN(2)/2)*AW59+(1-EXP(-LN(2)/2))/(LN(2)/2)*AQ60*AT60*VLOOKUP('Données projet'!$B$10,Paramètres!$A$1:$I$89,3,0)*0.475*44/12</f>
        <v>1.9741035234790953</v>
      </c>
      <c r="AX60" s="23">
        <f t="shared" si="6"/>
        <v>69.298954168293221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</v>
      </c>
      <c r="CT60" s="13">
        <f>IF('Données projet'!$A$140&gt;35,CT59+CS60-DB59,IF(A60&lt;'Données projet'!$A$140,$CQ$205^A60,IF(A60='Données projet'!$A$140,'Données projet'!$B$140,CT59+CS60-DB59)))</f>
        <v>207.00000000000003</v>
      </c>
      <c r="CU60" s="18">
        <f>CT60*VLOOKUP('Données projet'!$B$13,Paramètres!$A$1:$I$89,3,0)*VLOOKUP('Données projet'!$B$13,Paramètres!$A$1:$I$89,5,0)</f>
        <v>180.83520000000004</v>
      </c>
      <c r="CV60" s="14">
        <f t="shared" si="41"/>
        <v>45.507952685945142</v>
      </c>
      <c r="CW60" s="22">
        <f t="shared" si="13"/>
        <v>394.21432426135453</v>
      </c>
      <c r="CX60" s="62">
        <f t="shared" si="14"/>
        <v>687.54765759468785</v>
      </c>
      <c r="CY60" s="62">
        <f ca="1">AVERAGE(OFFSET($CX$3,0,0,'Données projet'!$E$13+1,1))-AVERAGE(OFFSET($H$3,0,0,'Données projet'!$E$13+1,1))</f>
        <v>268.27008134105046</v>
      </c>
      <c r="CZ60" s="62">
        <f t="shared" si="42"/>
        <v>252.36274686619709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14.862860871632211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14.862860871632211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6.2</v>
      </c>
      <c r="DO60" s="13">
        <f>IF('Données projet'!$A$166&gt;35,DO59+DN60-DW59,IF(A60&lt;'Données projet'!$A$166,$DL$205^A60,IF(A60='Données projet'!$A$166,'Données projet'!$B$166,DO59+DN60-DW59)))</f>
        <v>275.39999999999992</v>
      </c>
      <c r="DP60" s="18">
        <f>DO60*VLOOKUP('Données projet'!$B$14,Paramètres!$A$1:$I$89,3,0)*VLOOKUP('Données projet'!$B$14,Paramètres!$A$1:$I$89,5,0)</f>
        <v>219.10823999999994</v>
      </c>
      <c r="DQ60" s="14">
        <f t="shared" si="43"/>
        <v>53.921020297295854</v>
      </c>
      <c r="DR60" s="22">
        <f t="shared" si="16"/>
        <v>475.52596168445672</v>
      </c>
      <c r="DS60" s="62">
        <f t="shared" si="17"/>
        <v>768.85929501779003</v>
      </c>
      <c r="DT60" s="62">
        <f ca="1">AVERAGE(OFFSET($DS$3,0,0,'Données projet'!$E$14+1,1))-AVERAGE(OFFSET($H$3,0,0,'Données projet'!$E$14+1,1))</f>
        <v>279.49721661620544</v>
      </c>
      <c r="DU60" s="62">
        <f t="shared" si="44"/>
        <v>275.18739333988754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17.290602166551867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17.290602166551867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13</v>
      </c>
      <c r="EJ60" s="13">
        <f>IF('Données projet'!$A$192&gt;35,EJ59+EI60-ER59,IF(A60&lt;'Données projet'!$A$192,$EG$205^A60,IF(A60='Données projet'!$A$192,'Données projet'!$B$192,EJ59+EI60-ER59)))</f>
        <v>297.00000000000006</v>
      </c>
      <c r="EK60" s="18">
        <f>EJ60*VLOOKUP('Données projet'!$B$15,Paramètres!$A$1:$I$89,3,0)*VLOOKUP('Données projet'!$B$15,Paramètres!$A$1:$I$89,5,0)</f>
        <v>254.82600000000008</v>
      </c>
      <c r="EL60" s="14">
        <f t="shared" si="45"/>
        <v>61.618203339594587</v>
      </c>
      <c r="EM60" s="22">
        <f t="shared" si="19"/>
        <v>551.14032081646064</v>
      </c>
      <c r="EN60" s="62">
        <f t="shared" si="20"/>
        <v>844.4736541497939</v>
      </c>
      <c r="EO60" s="62">
        <f ca="1">AVERAGE(OFFSET($EN$3,0,0,'Données projet'!$E$15+1,1))-AVERAGE(OFFSET($H$3,0,0,'Données projet'!$E$15+1,1))</f>
        <v>394.11074988418096</v>
      </c>
      <c r="EP60" s="62">
        <f t="shared" si="46"/>
        <v>241.85593029696236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20.310573783376078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20.310573783376078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27</v>
      </c>
      <c r="N61" s="14">
        <f>IF('Données projet'!$A$36&gt;35,N60+M61-V60,IF(A61&lt;'Données projet'!$A$36,$K$205^A61,IF(A61='Données projet'!$A$36,'Données projet'!$B$36,N60+M61-V60)))</f>
        <v>1049.0000000000005</v>
      </c>
      <c r="O61" s="14">
        <f>N61*VLOOKUP('Données projet'!$B$9,Paramètres!$A$1:$I$89,3,0)*VLOOKUP('Données projet'!$B$9,Paramètres!$A$1:$I$89,5,0)</f>
        <v>586.39100000000019</v>
      </c>
      <c r="P61" s="14">
        <f t="shared" si="33"/>
        <v>128.68335040491363</v>
      </c>
      <c r="Q61" s="22">
        <f t="shared" si="53"/>
        <v>1245.4211602885582</v>
      </c>
      <c r="R61" s="62">
        <f t="shared" si="0"/>
        <v>1538.7544936218915</v>
      </c>
      <c r="S61" s="62">
        <f ca="1">AVERAGE(OFFSET($R$3,0,0,'Données projet'!$E$9+1,1))-AVERAGE(OFFSET($H$3,0,0,'Données projet'!$E$9+1,1))</f>
        <v>539.2446452106276</v>
      </c>
      <c r="T61" s="62">
        <f t="shared" si="34"/>
        <v>596.73830276071465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48.938719215709334</v>
      </c>
      <c r="AA61" s="23">
        <f>EXP(-LN(2)/25)*AA60+(1-EXP(-LN(2)/25))/(LN(2)/25)*Calculateur!V61*Calculateur!X61*VLOOKUP('Données projet'!$B$9,Paramètres!$A$1:$I$89,3,0)*0.475*44/12</f>
        <v>26.750010961110899</v>
      </c>
      <c r="AB61" s="23">
        <f>EXP(-LN(2)/2)*AB60+(1-EXP(-LN(2)/2))/(LN(2)/2)*V61*Y61*VLOOKUP('Données projet'!$B$9,Paramètres!$A$1:$I$89,3,0)*0.475*44/12</f>
        <v>0.50380071406937377</v>
      </c>
      <c r="AC61" s="24">
        <f t="shared" si="3"/>
        <v>76.1925308908896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7.2</v>
      </c>
      <c r="AI61" s="14">
        <f>IF('Données projet'!$A$62&gt;35,AI60+AH61-AQ60,IF(A61&lt;'Données projet'!$A$62,$AF$205^A61,IF(A61='Données projet'!$A$62,'Données projet'!$B$62,AI60+AH61-AQ60)))</f>
        <v>360.60000000000025</v>
      </c>
      <c r="AJ61" s="14">
        <f>AI61*VLOOKUP('Données projet'!$B$10,Paramètres!$A$1:$I$89,3,0)*VLOOKUP('Données projet'!$B$10,Paramètres!$A$1:$I$89,5,0)</f>
        <v>196.88760000000016</v>
      </c>
      <c r="AK61" s="14">
        <f t="shared" si="35"/>
        <v>49.0595332760386</v>
      </c>
      <c r="AL61" s="22">
        <f t="shared" si="4"/>
        <v>428.35792378910082</v>
      </c>
      <c r="AM61" s="62">
        <f t="shared" si="5"/>
        <v>721.69125712243408</v>
      </c>
      <c r="AN61" s="62">
        <f ca="1">AVERAGE(OFFSET($AM$3,0,0,'Données projet'!$E$10+1,1))-AVERAGE(OFFSET($H$3,0,0,'Données projet'!$E$10+1,1))</f>
        <v>262.6671000229498</v>
      </c>
      <c r="AO61" s="62">
        <f t="shared" si="36"/>
        <v>289.30432245776024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36.115094068683561</v>
      </c>
      <c r="AV61" s="23">
        <f>EXP(-LN(2)/25)*AV60+(1-EXP(-LN(2)/25))/(LN(2)/25)*Calculateur!AQ61*Calculateur!AS61*VLOOKUP('Données projet'!$B$10,Paramètres!$A$1:$I$89,3,0)*0.475*44/12</f>
        <v>29.65371710787991</v>
      </c>
      <c r="AW61" s="23">
        <f>EXP(-LN(2)/2)*AW60+(1-EXP(-LN(2)/2))/(LN(2)/2)*AQ61*AT61*VLOOKUP('Données projet'!$B$10,Paramètres!$A$1:$I$89,3,0)*0.475*44/12</f>
        <v>1.3959019882163253</v>
      </c>
      <c r="AX61" s="23">
        <f t="shared" si="6"/>
        <v>67.164713164779798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</v>
      </c>
      <c r="CT61" s="13">
        <f>IF('Données projet'!$A$140&gt;35,CT60+CS61-DB60,IF(A61&lt;'Données projet'!$A$140,$CQ$205^A61,IF(A61='Données projet'!$A$140,'Données projet'!$B$140,CT60+CS61-DB60)))</f>
        <v>213.00000000000003</v>
      </c>
      <c r="CU61" s="18">
        <f>CT61*VLOOKUP('Données projet'!$B$13,Paramètres!$A$1:$I$89,3,0)*VLOOKUP('Données projet'!$B$13,Paramètres!$A$1:$I$89,5,0)</f>
        <v>186.07680000000005</v>
      </c>
      <c r="CV61" s="14">
        <f t="shared" si="41"/>
        <v>46.671538591528673</v>
      </c>
      <c r="CW61" s="22">
        <f t="shared" si="13"/>
        <v>405.37002304691242</v>
      </c>
      <c r="CX61" s="62">
        <f t="shared" si="14"/>
        <v>698.70335638024574</v>
      </c>
      <c r="CY61" s="62">
        <f ca="1">AVERAGE(OFFSET($CX$3,0,0,'Données projet'!$E$13+1,1))-AVERAGE(OFFSET($H$3,0,0,'Données projet'!$E$13+1,1))</f>
        <v>268.27008134105046</v>
      </c>
      <c r="CZ61" s="62">
        <f t="shared" si="42"/>
        <v>252.36274686619709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14.571409235389497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14.571409235389497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6.2</v>
      </c>
      <c r="DO61" s="13">
        <f>IF('Données projet'!$A$166&gt;35,DO60+DN61-DW60,IF(A61&lt;'Données projet'!$A$166,$DL$205^A61,IF(A61='Données projet'!$A$166,'Données projet'!$B$166,DO60+DN61-DW60)))</f>
        <v>281.59999999999991</v>
      </c>
      <c r="DP61" s="18">
        <f>DO61*VLOOKUP('Données projet'!$B$14,Paramètres!$A$1:$I$89,3,0)*VLOOKUP('Données projet'!$B$14,Paramètres!$A$1:$I$89,5,0)</f>
        <v>224.04095999999993</v>
      </c>
      <c r="DQ61" s="14">
        <f t="shared" si="43"/>
        <v>54.992235867381233</v>
      </c>
      <c r="DR61" s="22">
        <f t="shared" si="16"/>
        <v>485.98281613568884</v>
      </c>
      <c r="DS61" s="62">
        <f t="shared" si="17"/>
        <v>779.31614946902209</v>
      </c>
      <c r="DT61" s="62">
        <f ca="1">AVERAGE(OFFSET($DS$3,0,0,'Données projet'!$E$14+1,1))-AVERAGE(OFFSET($H$3,0,0,'Données projet'!$E$14+1,1))</f>
        <v>279.49721661620544</v>
      </c>
      <c r="DU61" s="62">
        <f t="shared" si="44"/>
        <v>275.18739333988754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16.951544004291755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16.951544004291755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13</v>
      </c>
      <c r="EJ61" s="13">
        <f>IF('Données projet'!$A$192&gt;35,EJ60+EI61-ER60,IF(A61&lt;'Données projet'!$A$192,$EG$205^A61,IF(A61='Données projet'!$A$192,'Données projet'!$B$192,EJ60+EI61-ER60)))</f>
        <v>310.00000000000006</v>
      </c>
      <c r="EK61" s="18">
        <f>EJ61*VLOOKUP('Données projet'!$B$15,Paramètres!$A$1:$I$89,3,0)*VLOOKUP('Données projet'!$B$15,Paramètres!$A$1:$I$89,5,0)</f>
        <v>265.98000000000008</v>
      </c>
      <c r="EL61" s="14">
        <f t="shared" si="45"/>
        <v>63.995380422211646</v>
      </c>
      <c r="EM61" s="22">
        <f t="shared" si="19"/>
        <v>574.7071209020188</v>
      </c>
      <c r="EN61" s="62">
        <f t="shared" si="20"/>
        <v>868.04045423535217</v>
      </c>
      <c r="EO61" s="62">
        <f ca="1">AVERAGE(OFFSET($EN$3,0,0,'Données projet'!$E$15+1,1))-AVERAGE(OFFSET($H$3,0,0,'Données projet'!$E$15+1,1))</f>
        <v>394.11074988418096</v>
      </c>
      <c r="EP61" s="62">
        <f t="shared" si="46"/>
        <v>241.85593029696236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19.912295819710845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19.912295819710845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27</v>
      </c>
      <c r="N62" s="14">
        <f>IF('Données projet'!$A$36&gt;35,N61+M62-V61,IF(A62&lt;'Données projet'!$A$36,$K$205^A62,IF(A62='Données projet'!$A$36,'Données projet'!$B$36,N61+M62-V61)))</f>
        <v>1076.0000000000005</v>
      </c>
      <c r="O62" s="14">
        <f>N62*VLOOKUP('Données projet'!$B$9,Paramètres!$A$1:$I$89,3,0)*VLOOKUP('Données projet'!$B$9,Paramètres!$A$1:$I$89,5,0)</f>
        <v>601.48400000000026</v>
      </c>
      <c r="P62" s="14">
        <f t="shared" si="33"/>
        <v>131.60562780768788</v>
      </c>
      <c r="Q62" s="22">
        <f t="shared" si="53"/>
        <v>1276.7977684317236</v>
      </c>
      <c r="R62" s="62">
        <f t="shared" si="0"/>
        <v>1570.1311017650569</v>
      </c>
      <c r="S62" s="62">
        <f ca="1">AVERAGE(OFFSET($R$3,0,0,'Données projet'!$E$9+1,1))-AVERAGE(OFFSET($H$3,0,0,'Données projet'!$E$9+1,1))</f>
        <v>539.2446452106276</v>
      </c>
      <c r="T62" s="62">
        <f t="shared" si="34"/>
        <v>596.73830276071465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47.979060781560584</v>
      </c>
      <c r="AA62" s="23">
        <f>EXP(-LN(2)/25)*AA61+(1-EXP(-LN(2)/25))/(LN(2)/25)*Calculateur!V62*Calculateur!X62*VLOOKUP('Données projet'!$B$9,Paramètres!$A$1:$I$89,3,0)*0.475*44/12</f>
        <v>26.018530504657384</v>
      </c>
      <c r="AB62" s="23">
        <f>EXP(-LN(2)/2)*AB61+(1-EXP(-LN(2)/2))/(LN(2)/2)*V62*Y62*VLOOKUP('Données projet'!$B$9,Paramètres!$A$1:$I$89,3,0)*0.475*44/12</f>
        <v>0.35624090128507907</v>
      </c>
      <c r="AC62" s="24">
        <f t="shared" si="3"/>
        <v>74.353832187503045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7.2</v>
      </c>
      <c r="AI62" s="14">
        <f>IF('Données projet'!$A$62&gt;35,AI61+AH62-AQ61,IF(A62&lt;'Données projet'!$A$62,$AF$205^A62,IF(A62='Données projet'!$A$62,'Données projet'!$B$62,AI61+AH62-AQ61)))</f>
        <v>367.80000000000024</v>
      </c>
      <c r="AJ62" s="14">
        <f>AI62*VLOOKUP('Données projet'!$B$10,Paramètres!$A$1:$I$89,3,0)*VLOOKUP('Données projet'!$B$10,Paramètres!$A$1:$I$89,5,0)</f>
        <v>200.81880000000012</v>
      </c>
      <c r="AK62" s="14">
        <f t="shared" si="35"/>
        <v>49.92407237172916</v>
      </c>
      <c r="AL62" s="22">
        <f t="shared" si="4"/>
        <v>436.71050271409513</v>
      </c>
      <c r="AM62" s="62">
        <f t="shared" si="5"/>
        <v>730.04383604742839</v>
      </c>
      <c r="AN62" s="62">
        <f ca="1">AVERAGE(OFFSET($AM$3,0,0,'Données projet'!$E$10+1,1))-AVERAGE(OFFSET($H$3,0,0,'Données projet'!$E$10+1,1))</f>
        <v>262.6671000229498</v>
      </c>
      <c r="AO62" s="62">
        <f t="shared" si="36"/>
        <v>289.30432245776024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35.406899102028973</v>
      </c>
      <c r="AV62" s="23">
        <f>EXP(-LN(2)/25)*AV61+(1-EXP(-LN(2)/25))/(LN(2)/25)*Calculateur!AQ62*Calculateur!AS62*VLOOKUP('Données projet'!$B$10,Paramètres!$A$1:$I$89,3,0)*0.475*44/12</f>
        <v>28.842834654143726</v>
      </c>
      <c r="AW62" s="23">
        <f>EXP(-LN(2)/2)*AW61+(1-EXP(-LN(2)/2))/(LN(2)/2)*AQ62*AT62*VLOOKUP('Données projet'!$B$10,Paramètres!$A$1:$I$89,3,0)*0.475*44/12</f>
        <v>0.98705176173954778</v>
      </c>
      <c r="AX62" s="23">
        <f t="shared" si="6"/>
        <v>65.236785517912253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</v>
      </c>
      <c r="CT62" s="13">
        <f>IF('Données projet'!$A$140&gt;35,CT61+CS62-DB61,IF(A62&lt;'Données projet'!$A$140,$CQ$205^A62,IF(A62='Données projet'!$A$140,'Données projet'!$B$140,CT61+CS62-DB61)))</f>
        <v>219.00000000000003</v>
      </c>
      <c r="CU62" s="18">
        <f>CT62*VLOOKUP('Données projet'!$B$13,Paramètres!$A$1:$I$89,3,0)*VLOOKUP('Données projet'!$B$13,Paramètres!$A$1:$I$89,5,0)</f>
        <v>191.31840000000005</v>
      </c>
      <c r="CV62" s="14">
        <f t="shared" si="41"/>
        <v>47.831314962098396</v>
      </c>
      <c r="CW62" s="22">
        <f t="shared" si="13"/>
        <v>416.51908689232141</v>
      </c>
      <c r="CX62" s="62">
        <f t="shared" si="14"/>
        <v>709.85242022565467</v>
      </c>
      <c r="CY62" s="62">
        <f ca="1">AVERAGE(OFFSET($CX$3,0,0,'Données projet'!$E$13+1,1))-AVERAGE(OFFSET($H$3,0,0,'Données projet'!$E$13+1,1))</f>
        <v>268.27008134105046</v>
      </c>
      <c r="CZ62" s="62">
        <f t="shared" si="42"/>
        <v>252.36274686619709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14.285672787965558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14.285672787965558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6.2</v>
      </c>
      <c r="DO62" s="13">
        <f>IF('Données projet'!$A$166&gt;35,DO61+DN62-DW61,IF(A62&lt;'Données projet'!$A$166,$DL$205^A62,IF(A62='Données projet'!$A$166,'Données projet'!$B$166,DO61+DN62-DW61)))</f>
        <v>287.7999999999999</v>
      </c>
      <c r="DP62" s="18">
        <f>DO62*VLOOKUP('Données projet'!$B$14,Paramètres!$A$1:$I$89,3,0)*VLOOKUP('Données projet'!$B$14,Paramètres!$A$1:$I$89,5,0)</f>
        <v>228.97367999999994</v>
      </c>
      <c r="DQ62" s="14">
        <f t="shared" si="43"/>
        <v>56.060709423888284</v>
      </c>
      <c r="DR62" s="22">
        <f t="shared" si="16"/>
        <v>496.43489491327199</v>
      </c>
      <c r="DS62" s="62">
        <f t="shared" si="17"/>
        <v>789.7682282466053</v>
      </c>
      <c r="DT62" s="62">
        <f ca="1">AVERAGE(OFFSET($DS$3,0,0,'Données projet'!$E$14+1,1))-AVERAGE(OFFSET($H$3,0,0,'Données projet'!$E$14+1,1))</f>
        <v>279.49721661620544</v>
      </c>
      <c r="DU62" s="62">
        <f t="shared" si="44"/>
        <v>275.18739333988754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16.619134565788503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16.619134565788503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13</v>
      </c>
      <c r="EJ62" s="13">
        <f>IF('Données projet'!$A$192&gt;35,EJ61+EI62-ER61,IF(A62&lt;'Données projet'!$A$192,$EG$205^A62,IF(A62='Données projet'!$A$192,'Données projet'!$B$192,EJ61+EI62-ER61)))</f>
        <v>323.00000000000006</v>
      </c>
      <c r="EK62" s="18">
        <f>EJ62*VLOOKUP('Données projet'!$B$15,Paramètres!$A$1:$I$89,3,0)*VLOOKUP('Données projet'!$B$15,Paramètres!$A$1:$I$89,5,0)</f>
        <v>277.13400000000007</v>
      </c>
      <c r="EL62" s="14">
        <f t="shared" si="45"/>
        <v>66.360978503745613</v>
      </c>
      <c r="EM62" s="22">
        <f t="shared" si="19"/>
        <v>598.25375422735704</v>
      </c>
      <c r="EN62" s="62">
        <f t="shared" si="20"/>
        <v>891.58708756069041</v>
      </c>
      <c r="EO62" s="62">
        <f ca="1">AVERAGE(OFFSET($EN$3,0,0,'Données projet'!$E$15+1,1))-AVERAGE(OFFSET($H$3,0,0,'Données projet'!$E$15+1,1))</f>
        <v>394.11074988418096</v>
      </c>
      <c r="EP62" s="62">
        <f t="shared" si="46"/>
        <v>241.85593029696236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19.521827843987516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19.521827843987516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1103</v>
      </c>
      <c r="L63" s="13">
        <f>VLOOKUP(A63,'Données projet'!$A$35:$I$55,9,0)</f>
        <v>27</v>
      </c>
      <c r="M63" s="13">
        <f t="array" ref="M63">INDEX(L:L,MIN(IF(ISNUMBER(L63:L259),ROW(L63:L259),"")))</f>
        <v>27</v>
      </c>
      <c r="N63" s="14">
        <f>IF('Données projet'!$A$36&gt;35,N62+M63-V62,IF(A63&lt;'Données projet'!$A$36,$K$205^A63,IF(A63='Données projet'!$A$36,'Données projet'!$B$36,N62+M63-V62)))</f>
        <v>1103.0000000000005</v>
      </c>
      <c r="O63" s="14">
        <f>N63*VLOOKUP('Données projet'!$B$9,Paramètres!$A$1:$I$89,3,0)*VLOOKUP('Données projet'!$B$9,Paramètres!$A$1:$I$89,5,0)</f>
        <v>616.57700000000023</v>
      </c>
      <c r="P63" s="14">
        <f t="shared" si="33"/>
        <v>134.51938127823738</v>
      </c>
      <c r="Q63" s="22">
        <f t="shared" si="53"/>
        <v>1308.1595307262635</v>
      </c>
      <c r="R63" s="62">
        <f t="shared" si="0"/>
        <v>1601.4928640595967</v>
      </c>
      <c r="S63" s="62">
        <f ca="1">AVERAGE(OFFSET($R$3,0,0,'Données projet'!$E$9+1,1))-AVERAGE(OFFSET($H$3,0,0,'Données projet'!$E$9+1,1))</f>
        <v>539.2446452106276</v>
      </c>
      <c r="T63" s="62">
        <f t="shared" si="34"/>
        <v>596.73830276071465</v>
      </c>
      <c r="U63" s="16">
        <f>IF(ISNA(VLOOKUP(A63,'Données projet'!$A$35:$I$55,3,0)),0,VLOOKUP(A63,'Données projet'!$A$35:$I$55,3,0))</f>
        <v>7</v>
      </c>
      <c r="V63" s="16">
        <f>IF(ISNA(VLOOKUP(A63,'Données projet'!$A$35:$I$55,4,0)),0,VLOOKUP(A63,'Données projet'!$A$35:$I$55,4,0))</f>
        <v>454</v>
      </c>
      <c r="W63" s="17">
        <f>IF(ISNA(VLOOKUP(A63,'Données projet'!$A$35:$I$55,5,0)),0%,VLOOKUP(A63,'Données projet'!$A$35:$I$55,5,0)*VLOOKUP('Données projet'!$B$9,Paramètres!$A$1:$I$89,7,0))</f>
        <v>0.44000000000000006</v>
      </c>
      <c r="X63" s="17">
        <f>IF(ISNA(VLOOKUP(A63,'Données projet'!$A$35:$I$55,6,0)),0%,VLOOKUP(A63,'Données projet'!$A$35:$I$55,6,0)*VLOOKUP('Données projet'!$B$9,Paramètres!$A$1:$I$89,7,0))</f>
        <v>6.0500000000000005E-2</v>
      </c>
      <c r="Y63" s="17">
        <f>IF(ISNA(VLOOKUP(A63,'Données projet'!$A$35:$I$55,7,0)),0%,VLOOKUP(A63,'Données projet'!$A$35:$I$55,7,0))</f>
        <v>0.09</v>
      </c>
      <c r="Z63" s="23">
        <f>EXP(-LN(2)/35)*Z62+(1-EXP(-LN(2)/35))/(LN(2)/35)*V63*W63*VLOOKUP('Données projet'!$B$9,Paramètres!$A$1:$I$89,3,0)*0.475*44/12</f>
        <v>195.17015489477052</v>
      </c>
      <c r="AA63" s="23">
        <f>EXP(-LN(2)/25)*AA62+(1-EXP(-LN(2)/25))/(LN(2)/25)*Calculateur!V63*Calculateur!X63*VLOOKUP('Données projet'!$B$9,Paramètres!$A$1:$I$89,3,0)*0.475*44/12</f>
        <v>45.594996244670504</v>
      </c>
      <c r="AB63" s="23">
        <f>EXP(-LN(2)/2)*AB62+(1-EXP(-LN(2)/2))/(LN(2)/2)*V63*Y63*VLOOKUP('Données projet'!$B$9,Paramètres!$A$1:$I$89,3,0)*0.475*44/12</f>
        <v>26.112923884439336</v>
      </c>
      <c r="AC63" s="24">
        <f t="shared" si="3"/>
        <v>266.87807502388034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375</v>
      </c>
      <c r="AG63" s="13">
        <f>VLOOKUP(A63,'Données projet'!$A$61:$I$81,9,0)</f>
        <v>7.2</v>
      </c>
      <c r="AH63" s="13">
        <f t="array" ref="AH63">INDEX(AG:AG,MIN(IF(ISNUMBER(AG63:AG259),ROW(AG63:AG259),"")))</f>
        <v>7.2</v>
      </c>
      <c r="AI63" s="14">
        <f>IF('Données projet'!$A$62&gt;35,AI62+AH63-AQ62,IF(A63&lt;'Données projet'!$A$62,$AF$205^A63,IF(A63='Données projet'!$A$62,'Données projet'!$B$62,AI62+AH63-AQ62)))</f>
        <v>375.00000000000023</v>
      </c>
      <c r="AJ63" s="14">
        <f>AI63*VLOOKUP('Données projet'!$B$10,Paramètres!$A$1:$I$89,3,0)*VLOOKUP('Données projet'!$B$10,Paramètres!$A$1:$I$89,5,0)</f>
        <v>204.75000000000011</v>
      </c>
      <c r="AK63" s="14">
        <f t="shared" si="35"/>
        <v>50.78664361281335</v>
      </c>
      <c r="AL63" s="22">
        <f t="shared" si="4"/>
        <v>445.05965429231674</v>
      </c>
      <c r="AM63" s="62">
        <f t="shared" si="5"/>
        <v>738.39298762564999</v>
      </c>
      <c r="AN63" s="62">
        <f ca="1">AVERAGE(OFFSET($AM$3,0,0,'Données projet'!$E$10+1,1))-AVERAGE(OFFSET($H$3,0,0,'Données projet'!$E$10+1,1))</f>
        <v>262.6671000229498</v>
      </c>
      <c r="AO63" s="62">
        <f t="shared" si="36"/>
        <v>289.30432245776024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23</v>
      </c>
      <c r="AR63" s="17">
        <f>IF(ISNA(VLOOKUP(A63,'Données projet'!$A$61:$I$81,5,0)),0%,VLOOKUP(A63,'Données projet'!$A$61:$I$81,5,0)*VLOOKUP('Données projet'!$B$10,Paramètres!$A$1:$I$89,7,0))</f>
        <v>0.36</v>
      </c>
      <c r="AS63" s="17">
        <f>IF(ISNA(VLOOKUP(A63,'Données projet'!$A$61:$I$81,6,0)),0%,VLOOKUP(A63,'Données projet'!$A$61:$I$81,6,0)*VLOOKUP('Données projet'!$B$10,Paramètres!$A$1:$I$89,7,0))</f>
        <v>0.13200000000000001</v>
      </c>
      <c r="AT63" s="17">
        <f>IF(ISNA(VLOOKUP(A63,'Données projet'!$A$61:$I$81,7,0)),0%,VLOOKUP(A63,'Données projet'!$A$61:$I$81,7,0))</f>
        <v>0.18</v>
      </c>
      <c r="AU63" s="23">
        <f>EXP(-LN(2)/35)*AU62+(1-EXP(-LN(2)/35))/(LN(2)/35)*AQ63*AR63*VLOOKUP('Données projet'!$B$10,Paramètres!$A$1:$I$89,3,0)*0.475*44/12</f>
        <v>40.709830122021714</v>
      </c>
      <c r="AV63" s="23">
        <f>EXP(-LN(2)/25)*AV62+(1-EXP(-LN(2)/25))/(LN(2)/25)*Calculateur!AQ63*Calculateur!AS63*VLOOKUP('Données projet'!$B$10,Paramètres!$A$1:$I$89,3,0)*0.475*44/12</f>
        <v>30.244455100912102</v>
      </c>
      <c r="AW63" s="23">
        <f>EXP(-LN(2)/2)*AW62+(1-EXP(-LN(2)/2))/(LN(2)/2)*AQ63*AT63*VLOOKUP('Données projet'!$B$10,Paramètres!$A$1:$I$89,3,0)*0.475*44/12</f>
        <v>3.2572941687288868</v>
      </c>
      <c r="AX63" s="23">
        <f t="shared" si="6"/>
        <v>74.21157939166271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225</v>
      </c>
      <c r="CR63" s="13">
        <f>VLOOKUP(A63,'Données projet'!$A$139:$I$159,9,0)</f>
        <v>6</v>
      </c>
      <c r="CS63" s="13">
        <f t="array" ref="CS63">INDEX(CR:CR,MIN(IF(ISNUMBER(CR63:CR259),ROW(CR63:CR259),"")))</f>
        <v>6</v>
      </c>
      <c r="CT63" s="13">
        <f>IF('Données projet'!$A$140&gt;35,CT62+CS63-DB62,IF(A63&lt;'Données projet'!$A$140,$CQ$205^A63,IF(A63='Données projet'!$A$140,'Données projet'!$B$140,CT62+CS63-DB62)))</f>
        <v>225.00000000000003</v>
      </c>
      <c r="CU63" s="18">
        <f>CT63*VLOOKUP('Données projet'!$B$13,Paramètres!$A$1:$I$89,3,0)*VLOOKUP('Données projet'!$B$13,Paramètres!$A$1:$I$89,5,0)</f>
        <v>196.56000000000006</v>
      </c>
      <c r="CV63" s="14">
        <f t="shared" si="41"/>
        <v>48.987398161128134</v>
      </c>
      <c r="CW63" s="22">
        <f t="shared" si="13"/>
        <v>427.66171846396492</v>
      </c>
      <c r="CX63" s="62">
        <f t="shared" si="14"/>
        <v>720.99505179729817</v>
      </c>
      <c r="CY63" s="62">
        <f ca="1">AVERAGE(OFFSET($CX$3,0,0,'Données projet'!$E$13+1,1))-AVERAGE(OFFSET($H$3,0,0,'Données projet'!$E$13+1,1))</f>
        <v>268.27008134105046</v>
      </c>
      <c r="CZ63" s="62">
        <f t="shared" si="42"/>
        <v>252.36274686619709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21</v>
      </c>
      <c r="DC63" s="17">
        <f>IF(ISNA(VLOOKUP(A63,'Données projet'!$A$139:$I$159,5,0)),0%,VLOOKUP(A63,'Données projet'!$A$139:$I$159,5,0)*VLOOKUP('Données projet'!$B$13,Paramètres!$A$1:$I$89,7,0))</f>
        <v>0.215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18.365850697866911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18.365850697866911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294</v>
      </c>
      <c r="DM63" s="13">
        <f>VLOOKUP(A63,'Données projet'!$A$165:$I$185,9,0)</f>
        <v>6.2</v>
      </c>
      <c r="DN63" s="13">
        <f t="array" ref="DN63">INDEX(DM:DM,MIN(IF(ISNUMBER(DM63:DM259),ROW(DM63:DM259),"")))</f>
        <v>6.2</v>
      </c>
      <c r="DO63" s="13">
        <f>IF('Données projet'!$A$166&gt;35,DO62+DN63-DW62,IF(A63&lt;'Données projet'!$A$166,$DL$205^A63,IF(A63='Données projet'!$A$166,'Données projet'!$B$166,DO62+DN63-DW62)))</f>
        <v>293.99999999999989</v>
      </c>
      <c r="DP63" s="18">
        <f>DO63*VLOOKUP('Données projet'!$B$14,Paramètres!$A$1:$I$89,3,0)*VLOOKUP('Données projet'!$B$14,Paramètres!$A$1:$I$89,5,0)</f>
        <v>233.90639999999991</v>
      </c>
      <c r="DQ63" s="14">
        <f t="shared" si="43"/>
        <v>57.126506840778347</v>
      </c>
      <c r="DR63" s="22">
        <f t="shared" si="16"/>
        <v>506.88231274768879</v>
      </c>
      <c r="DS63" s="62">
        <f t="shared" si="17"/>
        <v>800.2156460810221</v>
      </c>
      <c r="DT63" s="62">
        <f ca="1">AVERAGE(OFFSET($DS$3,0,0,'Données projet'!$E$14+1,1))-AVERAGE(OFFSET($H$3,0,0,'Données projet'!$E$14+1,1))</f>
        <v>279.49721661620544</v>
      </c>
      <c r="DU63" s="62">
        <f t="shared" si="44"/>
        <v>275.18739333988754</v>
      </c>
      <c r="DV63" s="16">
        <f>IF(ISNA(VLOOKUP(A63,'Données projet'!$A$165:$I$185,3,0)),0,VLOOKUP(A63,'Données projet'!$A$165:$I$185,3,0))</f>
        <v>11</v>
      </c>
      <c r="DW63" s="16">
        <f>IF(ISNA(VLOOKUP(A63,'Données projet'!$A$165:$I$185,4,0)),0,VLOOKUP(A63,'Données projet'!$A$165:$I$185,4,0))</f>
        <v>14</v>
      </c>
      <c r="DX63" s="17">
        <f>IF(ISNA(VLOOKUP(A63,'Données projet'!$A$165:$I$185,5,0)),0%,VLOOKUP(A63,'Données projet'!$A$165:$I$185,5,0)*VLOOKUP('Données projet'!$B$14,Paramètres!$A$1:$I$89,7,0))</f>
        <v>0.318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20.208831939198525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20.208831939198525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336</v>
      </c>
      <c r="EH63" s="13">
        <f>VLOOKUP(A63,'Données projet'!$A$191:$I$211,9,0)</f>
        <v>13</v>
      </c>
      <c r="EI63" s="13">
        <f t="array" ref="EI63">INDEX(EH:EH,MIN(IF(ISNUMBER(EH63:EH259),ROW(EH63:EH259),"")))</f>
        <v>13</v>
      </c>
      <c r="EJ63" s="13">
        <f>IF('Données projet'!$A$192&gt;35,EJ62+EI63-ER62,IF(A63&lt;'Données projet'!$A$192,$EG$205^A63,IF(A63='Données projet'!$A$192,'Données projet'!$B$192,EJ62+EI63-ER62)))</f>
        <v>336.00000000000006</v>
      </c>
      <c r="EK63" s="18">
        <f>EJ63*VLOOKUP('Données projet'!$B$15,Paramètres!$A$1:$I$89,3,0)*VLOOKUP('Données projet'!$B$15,Paramètres!$A$1:$I$89,5,0)</f>
        <v>288.28800000000007</v>
      </c>
      <c r="EL63" s="14">
        <f t="shared" si="45"/>
        <v>68.715516926722444</v>
      </c>
      <c r="EM63" s="22">
        <f t="shared" si="19"/>
        <v>621.78112531404167</v>
      </c>
      <c r="EN63" s="62">
        <f t="shared" si="20"/>
        <v>915.11445864737493</v>
      </c>
      <c r="EO63" s="62">
        <f ca="1">AVERAGE(OFFSET($EN$3,0,0,'Données projet'!$E$15+1,1))-AVERAGE(OFFSET($H$3,0,0,'Données projet'!$E$15+1,1))</f>
        <v>394.11074988418096</v>
      </c>
      <c r="EP63" s="62">
        <f t="shared" si="46"/>
        <v>241.85593029696236</v>
      </c>
      <c r="EQ63" s="16">
        <f>IF(ISNA(VLOOKUP(A63,'Données projet'!$A$191:$I$211,3,0)),0,VLOOKUP(A63,'Données projet'!$A$191:$I$211,3,0))</f>
        <v>9</v>
      </c>
      <c r="ER63" s="16">
        <f>IF(ISNA(VLOOKUP(A63,'Données projet'!$A$191:$I$211,4,0)),0,VLOOKUP(A63,'Données projet'!$A$191:$I$211,4,0))</f>
        <v>35</v>
      </c>
      <c r="ES63" s="17">
        <f>IF(ISNA(VLOOKUP(A63,'Données projet'!$A$191:$I$211,5,0)),0%,VLOOKUP(A63,'Données projet'!$A$191:$I$211,5,0)*VLOOKUP('Données projet'!$B$15,Paramètres!$A$1:$I$89,7,0))</f>
        <v>0.21200000000000002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26.176839112549565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26.176839112549565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27.666666666666668</v>
      </c>
      <c r="N64" s="14">
        <f>IF('Données projet'!$A$36&gt;35,N63+M64-V63,IF(A64&lt;'Données projet'!$A$36,$K$205^A64,IF(A64='Données projet'!$A$36,'Données projet'!$B$36,N63+M64-V63)))</f>
        <v>676.6666666666672</v>
      </c>
      <c r="O64" s="14">
        <f>N64*VLOOKUP('Données projet'!$B$9,Paramètres!$A$1:$I$89,3,0)*VLOOKUP('Données projet'!$B$9,Paramètres!$A$1:$I$89,5,0)</f>
        <v>378.25666666666694</v>
      </c>
      <c r="P64" s="14">
        <f t="shared" si="33"/>
        <v>87.354301776768779</v>
      </c>
      <c r="Q64" s="22">
        <f t="shared" si="53"/>
        <v>810.93910337231716</v>
      </c>
      <c r="R64" s="62">
        <f t="shared" si="0"/>
        <v>1104.2724367056505</v>
      </c>
      <c r="S64" s="62">
        <f ca="1">AVERAGE(OFFSET($R$3,0,0,'Données projet'!$E$9+1,1))-AVERAGE(OFFSET($H$3,0,0,'Données projet'!$E$9+1,1))</f>
        <v>539.2446452106276</v>
      </c>
      <c r="T64" s="62">
        <f t="shared" si="34"/>
        <v>596.73830276071465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191.34298719932414</v>
      </c>
      <c r="AA64" s="23">
        <f>EXP(-LN(2)/25)*AA63+(1-EXP(-LN(2)/25))/(LN(2)/25)*Calculateur!V64*Calculateur!X64*VLOOKUP('Données projet'!$B$9,Paramètres!$A$1:$I$89,3,0)*0.475*44/12</f>
        <v>44.348198674623347</v>
      </c>
      <c r="AB64" s="23">
        <f>EXP(-LN(2)/2)*AB63+(1-EXP(-LN(2)/2))/(LN(2)/2)*V64*Y64*VLOOKUP('Données projet'!$B$9,Paramètres!$A$1:$I$89,3,0)*0.475*44/12</f>
        <v>18.464625555295218</v>
      </c>
      <c r="AC64" s="24">
        <f t="shared" si="3"/>
        <v>254.1558114292427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5.8</v>
      </c>
      <c r="AI64" s="14">
        <f>IF('Données projet'!$A$62&gt;35,AI63+AH64-AQ63,IF(A64&lt;'Données projet'!$A$62,$AF$205^A64,IF(A64='Données projet'!$A$62,'Données projet'!$B$62,AI63+AH64-AQ63)))</f>
        <v>357.80000000000024</v>
      </c>
      <c r="AJ64" s="14">
        <f>AI64*VLOOKUP('Données projet'!$B$10,Paramètres!$A$1:$I$89,3,0)*VLOOKUP('Données projet'!$B$10,Paramètres!$A$1:$I$89,5,0)</f>
        <v>195.35880000000014</v>
      </c>
      <c r="AK64" s="14">
        <f t="shared" si="35"/>
        <v>48.722782801172116</v>
      </c>
      <c r="AL64" s="22">
        <f t="shared" si="4"/>
        <v>425.10875671204167</v>
      </c>
      <c r="AM64" s="62">
        <f t="shared" si="5"/>
        <v>718.44209004537493</v>
      </c>
      <c r="AN64" s="62">
        <f ca="1">AVERAGE(OFFSET($AM$3,0,0,'Données projet'!$E$10+1,1))-AVERAGE(OFFSET($H$3,0,0,'Données projet'!$E$10+1,1))</f>
        <v>262.6671000229498</v>
      </c>
      <c r="AO64" s="62">
        <f t="shared" si="36"/>
        <v>289.30432245776024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39.911535183873433</v>
      </c>
      <c r="AV64" s="23">
        <f>EXP(-LN(2)/25)*AV63+(1-EXP(-LN(2)/25))/(LN(2)/25)*Calculateur!AQ64*Calculateur!AS64*VLOOKUP('Données projet'!$B$10,Paramètres!$A$1:$I$89,3,0)*0.475*44/12</f>
        <v>29.417418885690893</v>
      </c>
      <c r="AW64" s="23">
        <f>EXP(-LN(2)/2)*AW63+(1-EXP(-LN(2)/2))/(LN(2)/2)*AQ64*AT64*VLOOKUP('Données projet'!$B$10,Paramètres!$A$1:$I$89,3,0)*0.475*44/12</f>
        <v>2.3032547950275943</v>
      </c>
      <c r="AX64" s="23">
        <f t="shared" si="6"/>
        <v>71.632208864591931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5.6</v>
      </c>
      <c r="CT64" s="13">
        <f>IF('Données projet'!$A$140&gt;35,CT63+CS64-DB63,IF(A64&lt;'Données projet'!$A$140,$CQ$205^A64,IF(A64='Données projet'!$A$140,'Données projet'!$B$140,CT63+CS64-DB63)))</f>
        <v>209.60000000000002</v>
      </c>
      <c r="CU64" s="18">
        <f>CT64*VLOOKUP('Données projet'!$B$13,Paramètres!$A$1:$I$89,3,0)*VLOOKUP('Données projet'!$B$13,Paramètres!$A$1:$I$89,5,0)</f>
        <v>183.10656000000003</v>
      </c>
      <c r="CV64" s="14">
        <f t="shared" si="41"/>
        <v>46.012648718992089</v>
      </c>
      <c r="CW64" s="22">
        <f t="shared" si="13"/>
        <v>399.04928851891128</v>
      </c>
      <c r="CX64" s="62">
        <f t="shared" si="14"/>
        <v>692.3826218522446</v>
      </c>
      <c r="CY64" s="62">
        <f ca="1">AVERAGE(OFFSET($CX$3,0,0,'Données projet'!$E$13+1,1))-AVERAGE(OFFSET($H$3,0,0,'Données projet'!$E$13+1,1))</f>
        <v>268.27008134105046</v>
      </c>
      <c r="CZ64" s="62">
        <f t="shared" si="42"/>
        <v>252.36274686619709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18.005707567744555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18.005707567744555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5.2</v>
      </c>
      <c r="DO64" s="13">
        <f>IF('Données projet'!$A$166&gt;35,DO63+DN64-DW63,IF(A64&lt;'Données projet'!$A$166,$DL$205^A64,IF(A64='Données projet'!$A$166,'Données projet'!$B$166,DO63+DN64-DW63)))</f>
        <v>285.19999999999987</v>
      </c>
      <c r="DP64" s="18">
        <f>DO64*VLOOKUP('Données projet'!$B$14,Paramètres!$A$1:$I$89,3,0)*VLOOKUP('Données projet'!$B$14,Paramètres!$A$1:$I$89,5,0)</f>
        <v>226.90511999999993</v>
      </c>
      <c r="DQ64" s="14">
        <f t="shared" si="43"/>
        <v>55.612969408444364</v>
      </c>
      <c r="DR64" s="22">
        <f t="shared" si="16"/>
        <v>492.05233905304044</v>
      </c>
      <c r="DS64" s="62">
        <f t="shared" si="17"/>
        <v>785.3856723863737</v>
      </c>
      <c r="DT64" s="62">
        <f ca="1">AVERAGE(OFFSET($DS$3,0,0,'Données projet'!$E$14+1,1))-AVERAGE(OFFSET($H$3,0,0,'Données projet'!$E$14+1,1))</f>
        <v>279.49721661620544</v>
      </c>
      <c r="DU64" s="62">
        <f t="shared" si="44"/>
        <v>275.18739333988754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19.812549071041218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19.812549071041218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12.4</v>
      </c>
      <c r="EJ64" s="13">
        <f>IF('Données projet'!$A$192&gt;35,EJ63+EI64-ER63,IF(A64&lt;'Données projet'!$A$192,$EG$205^A64,IF(A64='Données projet'!$A$192,'Données projet'!$B$192,EJ63+EI64-ER63)))</f>
        <v>313.40000000000003</v>
      </c>
      <c r="EK64" s="18">
        <f>EJ64*VLOOKUP('Données projet'!$B$15,Paramètres!$A$1:$I$89,3,0)*VLOOKUP('Données projet'!$B$15,Paramètres!$A$1:$I$89,5,0)</f>
        <v>268.89720000000005</v>
      </c>
      <c r="EL64" s="14">
        <f t="shared" si="45"/>
        <v>64.615171575073688</v>
      </c>
      <c r="EM64" s="22">
        <f t="shared" si="19"/>
        <v>580.86738049325345</v>
      </c>
      <c r="EN64" s="62">
        <f t="shared" si="20"/>
        <v>874.20071382658671</v>
      </c>
      <c r="EO64" s="62">
        <f ca="1">AVERAGE(OFFSET($EN$3,0,0,'Données projet'!$E$15+1,1))-AVERAGE(OFFSET($H$3,0,0,'Données projet'!$E$15+1,1))</f>
        <v>394.11074988418096</v>
      </c>
      <c r="EP64" s="62">
        <f t="shared" si="46"/>
        <v>241.85593029696236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25.663527263847786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25.663527263847786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27.666666666666668</v>
      </c>
      <c r="N65" s="14">
        <f>IF('Données projet'!$A$36&gt;35,N64+M65-V64,IF(A65&lt;'Données projet'!$A$36,$K$205^A65,IF(A65='Données projet'!$A$36,'Données projet'!$B$36,N64+M65-V64)))</f>
        <v>704.33333333333383</v>
      </c>
      <c r="O65" s="14">
        <f>N65*VLOOKUP('Données projet'!$B$9,Paramètres!$A$1:$I$89,3,0)*VLOOKUP('Données projet'!$B$9,Paramètres!$A$1:$I$89,5,0)</f>
        <v>393.72233333333361</v>
      </c>
      <c r="P65" s="14">
        <f t="shared" si="33"/>
        <v>90.502795313389043</v>
      </c>
      <c r="Q65" s="22">
        <f t="shared" si="53"/>
        <v>843.35876572637517</v>
      </c>
      <c r="R65" s="62">
        <f t="shared" si="0"/>
        <v>1136.6920990597084</v>
      </c>
      <c r="S65" s="62">
        <f ca="1">AVERAGE(OFFSET($R$3,0,0,'Données projet'!$E$9+1,1))-AVERAGE(OFFSET($H$3,0,0,'Données projet'!$E$9+1,1))</f>
        <v>539.2446452106276</v>
      </c>
      <c r="T65" s="62">
        <f t="shared" si="34"/>
        <v>596.73830276071465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187.59086792804365</v>
      </c>
      <c r="AA65" s="23">
        <f>EXP(-LN(2)/25)*AA64+(1-EXP(-LN(2)/25))/(LN(2)/25)*Calculateur!V65*Calculateur!X65*VLOOKUP('Données projet'!$B$9,Paramètres!$A$1:$I$89,3,0)*0.475*44/12</f>
        <v>43.135494849695363</v>
      </c>
      <c r="AB65" s="23">
        <f>EXP(-LN(2)/2)*AB64+(1-EXP(-LN(2)/2))/(LN(2)/2)*V65*Y65*VLOOKUP('Données projet'!$B$9,Paramètres!$A$1:$I$89,3,0)*0.475*44/12</f>
        <v>13.05646194221967</v>
      </c>
      <c r="AC65" s="24">
        <f t="shared" si="3"/>
        <v>243.78282471995868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5.8</v>
      </c>
      <c r="AI65" s="14">
        <f>IF('Données projet'!$A$62&gt;35,AI64+AH65-AQ64,IF(A65&lt;'Données projet'!$A$62,$AF$205^A65,IF(A65='Données projet'!$A$62,'Données projet'!$B$62,AI64+AH65-AQ64)))</f>
        <v>363.60000000000025</v>
      </c>
      <c r="AJ65" s="14">
        <f>AI65*VLOOKUP('Données projet'!$B$10,Paramètres!$A$1:$I$89,3,0)*VLOOKUP('Données projet'!$B$10,Paramètres!$A$1:$I$89,5,0)</f>
        <v>198.52560000000014</v>
      </c>
      <c r="AK65" s="14">
        <f t="shared" si="35"/>
        <v>49.419999823587155</v>
      </c>
      <c r="AL65" s="22">
        <f t="shared" si="4"/>
        <v>431.83858635941448</v>
      </c>
      <c r="AM65" s="62">
        <f t="shared" si="5"/>
        <v>725.17191969274779</v>
      </c>
      <c r="AN65" s="62">
        <f ca="1">AVERAGE(OFFSET($AM$3,0,0,'Données projet'!$E$10+1,1))-AVERAGE(OFFSET($H$3,0,0,'Données projet'!$E$10+1,1))</f>
        <v>262.6671000229498</v>
      </c>
      <c r="AO65" s="62">
        <f t="shared" si="36"/>
        <v>289.30432245776024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39.128894322550401</v>
      </c>
      <c r="AV65" s="23">
        <f>EXP(-LN(2)/25)*AV64+(1-EXP(-LN(2)/25))/(LN(2)/25)*Calculateur!AQ65*Calculateur!AS65*VLOOKUP('Données projet'!$B$10,Paramètres!$A$1:$I$89,3,0)*0.475*44/12</f>
        <v>28.61299801926685</v>
      </c>
      <c r="AW65" s="23">
        <f>EXP(-LN(2)/2)*AW64+(1-EXP(-LN(2)/2))/(LN(2)/2)*AQ65*AT65*VLOOKUP('Données projet'!$B$10,Paramètres!$A$1:$I$89,3,0)*0.475*44/12</f>
        <v>1.6286470843644436</v>
      </c>
      <c r="AX65" s="23">
        <f t="shared" si="6"/>
        <v>69.370539426181693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5.6</v>
      </c>
      <c r="CT65" s="13">
        <f>IF('Données projet'!$A$140&gt;35,CT64+CS65-DB64,IF(A65&lt;'Données projet'!$A$140,$CQ$205^A65,IF(A65='Données projet'!$A$140,'Données projet'!$B$140,CT64+CS65-DB64)))</f>
        <v>215.20000000000002</v>
      </c>
      <c r="CU65" s="18">
        <f>CT65*VLOOKUP('Données projet'!$B$13,Paramètres!$A$1:$I$89,3,0)*VLOOKUP('Données projet'!$B$13,Paramètres!$A$1:$I$89,5,0)</f>
        <v>187.99872000000002</v>
      </c>
      <c r="CV65" s="14">
        <f t="shared" si="41"/>
        <v>47.097225953569499</v>
      </c>
      <c r="CW65" s="22">
        <f t="shared" si="13"/>
        <v>409.45877253580028</v>
      </c>
      <c r="CX65" s="62">
        <f t="shared" si="14"/>
        <v>702.79210586913359</v>
      </c>
      <c r="CY65" s="62">
        <f ca="1">AVERAGE(OFFSET($CX$3,0,0,'Données projet'!$E$13+1,1))-AVERAGE(OFFSET($H$3,0,0,'Données projet'!$E$13+1,1))</f>
        <v>268.27008134105046</v>
      </c>
      <c r="CZ65" s="62">
        <f t="shared" si="42"/>
        <v>252.36274686619709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17.652626624738279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17.652626624738279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5.2</v>
      </c>
      <c r="DO65" s="13">
        <f>IF('Données projet'!$A$166&gt;35,DO64+DN65-DW64,IF(A65&lt;'Données projet'!$A$166,$DL$205^A65,IF(A65='Données projet'!$A$166,'Données projet'!$B$166,DO64+DN65-DW64)))</f>
        <v>290.39999999999986</v>
      </c>
      <c r="DP65" s="18">
        <f>DO65*VLOOKUP('Données projet'!$B$14,Paramètres!$A$1:$I$89,3,0)*VLOOKUP('Données projet'!$B$14,Paramètres!$A$1:$I$89,5,0)</f>
        <v>231.04223999999991</v>
      </c>
      <c r="DQ65" s="14">
        <f t="shared" si="43"/>
        <v>56.507978852931409</v>
      </c>
      <c r="DR65" s="22">
        <f t="shared" si="16"/>
        <v>500.81663116885539</v>
      </c>
      <c r="DS65" s="62">
        <f t="shared" si="17"/>
        <v>794.14996450218871</v>
      </c>
      <c r="DT65" s="62">
        <f ca="1">AVERAGE(OFFSET($DS$3,0,0,'Données projet'!$E$14+1,1))-AVERAGE(OFFSET($H$3,0,0,'Données projet'!$E$14+1,1))</f>
        <v>279.49721661620544</v>
      </c>
      <c r="DU65" s="62">
        <f t="shared" si="44"/>
        <v>275.18739333988754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19.424037068219793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19.424037068219793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12.4</v>
      </c>
      <c r="EJ65" s="13">
        <f>IF('Données projet'!$A$192&gt;35,EJ64+EI65-ER64,IF(A65&lt;'Données projet'!$A$192,$EG$205^A65,IF(A65='Données projet'!$A$192,'Données projet'!$B$192,EJ64+EI65-ER64)))</f>
        <v>325.8</v>
      </c>
      <c r="EK65" s="18">
        <f>EJ65*VLOOKUP('Données projet'!$B$15,Paramètres!$A$1:$I$89,3,0)*VLOOKUP('Données projet'!$B$15,Paramètres!$A$1:$I$89,5,0)</f>
        <v>279.53640000000007</v>
      </c>
      <c r="EL65" s="14">
        <f t="shared" si="45"/>
        <v>66.869027427528763</v>
      </c>
      <c r="EM65" s="22">
        <f t="shared" si="19"/>
        <v>603.322786102946</v>
      </c>
      <c r="EN65" s="62">
        <f t="shared" si="20"/>
        <v>896.65611943627937</v>
      </c>
      <c r="EO65" s="62">
        <f ca="1">AVERAGE(OFFSET($EN$3,0,0,'Données projet'!$E$15+1,1))-AVERAGE(OFFSET($H$3,0,0,'Données projet'!$E$15+1,1))</f>
        <v>394.11074988418096</v>
      </c>
      <c r="EP65" s="62">
        <f t="shared" si="46"/>
        <v>241.85593029696236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25.160281147409737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25.160281147409737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732</v>
      </c>
      <c r="L66" s="13">
        <f>VLOOKUP(A66,'Données projet'!$A$35:$I$55,9,0)</f>
        <v>27.666666666666668</v>
      </c>
      <c r="M66" s="13">
        <f t="array" ref="M66">INDEX(L:L,MIN(IF(ISNUMBER(L66:L262),ROW(L66:L262),"")))</f>
        <v>27.666666666666668</v>
      </c>
      <c r="N66" s="14">
        <f>IF('Données projet'!$A$36&gt;35,N65+M66-V65,IF(A66&lt;'Données projet'!$A$36,$K$205^A66,IF(A66='Données projet'!$A$36,'Données projet'!$B$36,N65+M66-V65)))</f>
        <v>732.00000000000045</v>
      </c>
      <c r="O66" s="14">
        <f>N66*VLOOKUP('Données projet'!$B$9,Paramètres!$A$1:$I$89,3,0)*VLOOKUP('Données projet'!$B$9,Paramètres!$A$1:$I$89,5,0)</f>
        <v>409.18800000000027</v>
      </c>
      <c r="P66" s="14">
        <f t="shared" si="33"/>
        <v>93.636922055537667</v>
      </c>
      <c r="Q66" s="22">
        <f t="shared" si="53"/>
        <v>875.75340591339534</v>
      </c>
      <c r="R66" s="62">
        <f t="shared" si="0"/>
        <v>1169.0867392467287</v>
      </c>
      <c r="S66" s="62">
        <f ca="1">AVERAGE(OFFSET($R$3,0,0,'Données projet'!$E$9+1,1))-AVERAGE(OFFSET($H$3,0,0,'Données projet'!$E$9+1,1))</f>
        <v>539.2446452106276</v>
      </c>
      <c r="T66" s="62">
        <f t="shared" si="34"/>
        <v>596.73830276071465</v>
      </c>
      <c r="U66" s="16">
        <f>IF(ISNA(VLOOKUP(A66,'Données projet'!$A$35:$I$55,3,0)),0,VLOOKUP(A66,'Données projet'!$A$35:$I$55,3,0))</f>
        <v>8</v>
      </c>
      <c r="V66" s="16">
        <f>IF(ISNA(VLOOKUP(A66,'Données projet'!$A$35:$I$55,4,0)),0,VLOOKUP(A66,'Données projet'!$A$35:$I$55,4,0))</f>
        <v>380</v>
      </c>
      <c r="W66" s="17">
        <f>IF(ISNA(VLOOKUP(A66,'Données projet'!$A$35:$I$55,5,0)),0%,VLOOKUP(A66,'Données projet'!$A$35:$I$55,5,0)*VLOOKUP('Données projet'!$B$9,Paramètres!$A$1:$I$89,7,0))</f>
        <v>0.44000000000000006</v>
      </c>
      <c r="X66" s="17">
        <f>IF(ISNA(VLOOKUP(A66,'Données projet'!$A$35:$I$55,6,0)),0%,VLOOKUP(A66,'Données projet'!$A$35:$I$55,6,0)*VLOOKUP('Données projet'!$B$9,Paramètres!$A$1:$I$89,7,0))</f>
        <v>6.0500000000000005E-2</v>
      </c>
      <c r="Y66" s="17">
        <f>IF(ISNA(VLOOKUP(A66,'Données projet'!$A$35:$I$55,7,0)),0%,VLOOKUP(A66,'Données projet'!$A$35:$I$55,7,0))</f>
        <v>0.09</v>
      </c>
      <c r="Z66" s="23">
        <f>EXP(-LN(2)/35)*Z65+(1-EXP(-LN(2)/35))/(LN(2)/35)*V66*W66*VLOOKUP('Données projet'!$B$9,Paramètres!$A$1:$I$89,3,0)*0.475*44/12</f>
        <v>307.89940694187175</v>
      </c>
      <c r="AA66" s="23">
        <f>EXP(-LN(2)/25)*AA65+(1-EXP(-LN(2)/25))/(LN(2)/25)*Calculateur!V66*Calculateur!X66*VLOOKUP('Données projet'!$B$9,Paramètres!$A$1:$I$89,3,0)*0.475*44/12</f>
        <v>58.937050830291611</v>
      </c>
      <c r="AB66" s="23">
        <f>EXP(-LN(2)/2)*AB65+(1-EXP(-LN(2)/2))/(LN(2)/2)*V66*Y66*VLOOKUP('Données projet'!$B$9,Paramètres!$A$1:$I$89,3,0)*0.475*44/12</f>
        <v>30.878103395299082</v>
      </c>
      <c r="AC66" s="24">
        <f t="shared" si="3"/>
        <v>397.71456116746248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5.8</v>
      </c>
      <c r="AI66" s="14">
        <f>IF('Données projet'!$A$62&gt;35,AI65+AH66-AQ65,IF(A66&lt;'Données projet'!$A$62,$AF$205^A66,IF(A66='Données projet'!$A$62,'Données projet'!$B$62,AI65+AH66-AQ65)))</f>
        <v>369.40000000000026</v>
      </c>
      <c r="AJ66" s="14">
        <f>AI66*VLOOKUP('Données projet'!$B$10,Paramètres!$A$1:$I$89,3,0)*VLOOKUP('Données projet'!$B$10,Paramètres!$A$1:$I$89,5,0)</f>
        <v>201.69240000000016</v>
      </c>
      <c r="AK66" s="14">
        <f t="shared" si="35"/>
        <v>50.115923420482801</v>
      </c>
      <c r="AL66" s="22">
        <f t="shared" si="4"/>
        <v>438.56616329067447</v>
      </c>
      <c r="AM66" s="62">
        <f t="shared" si="5"/>
        <v>731.89949662400772</v>
      </c>
      <c r="AN66" s="62">
        <f ca="1">AVERAGE(OFFSET($AM$3,0,0,'Données projet'!$E$10+1,1))-AVERAGE(OFFSET($H$3,0,0,'Données projet'!$E$10+1,1))</f>
        <v>262.6671000229498</v>
      </c>
      <c r="AO66" s="62">
        <f t="shared" si="36"/>
        <v>289.30432245776024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38.361600571154128</v>
      </c>
      <c r="AV66" s="23">
        <f>EXP(-LN(2)/25)*AV65+(1-EXP(-LN(2)/25))/(LN(2)/25)*Calculateur!AQ66*Calculateur!AS66*VLOOKUP('Données projet'!$B$10,Paramètres!$A$1:$I$89,3,0)*0.475*44/12</f>
        <v>27.830574083737829</v>
      </c>
      <c r="AW66" s="23">
        <f>EXP(-LN(2)/2)*AW65+(1-EXP(-LN(2)/2))/(LN(2)/2)*AQ66*AT66*VLOOKUP('Données projet'!$B$10,Paramètres!$A$1:$I$89,3,0)*0.475*44/12</f>
        <v>1.1516273975137974</v>
      </c>
      <c r="AX66" s="23">
        <f t="shared" si="6"/>
        <v>67.343802052405749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5.6</v>
      </c>
      <c r="CT66" s="13">
        <f>IF('Données projet'!$A$140&gt;35,CT65+CS66-DB65,IF(A66&lt;'Données projet'!$A$140,$CQ$205^A66,IF(A66='Données projet'!$A$140,'Données projet'!$B$140,CT65+CS66-DB65)))</f>
        <v>220.8</v>
      </c>
      <c r="CU66" s="18">
        <f>CT66*VLOOKUP('Données projet'!$B$13,Paramètres!$A$1:$I$89,3,0)*VLOOKUP('Données projet'!$B$13,Paramètres!$A$1:$I$89,5,0)</f>
        <v>192.89088000000004</v>
      </c>
      <c r="CV66" s="14">
        <f t="shared" si="41"/>
        <v>48.178522586846704</v>
      </c>
      <c r="CW66" s="22">
        <f t="shared" si="13"/>
        <v>419.86254283875809</v>
      </c>
      <c r="CX66" s="62">
        <f t="shared" si="14"/>
        <v>713.1958761720914</v>
      </c>
      <c r="CY66" s="62">
        <f ca="1">AVERAGE(OFFSET($CX$3,0,0,'Données projet'!$E$13+1,1))-AVERAGE(OFFSET($H$3,0,0,'Données projet'!$E$13+1,1))</f>
        <v>268.27008134105046</v>
      </c>
      <c r="CZ66" s="62">
        <f t="shared" si="42"/>
        <v>252.36274686619709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17.306469383666244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17.306469383666244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5.2</v>
      </c>
      <c r="DO66" s="13">
        <f>IF('Données projet'!$A$166&gt;35,DO65+DN66-DW65,IF(A66&lt;'Données projet'!$A$166,$DL$205^A66,IF(A66='Données projet'!$A$166,'Données projet'!$B$166,DO65+DN66-DW65)))</f>
        <v>295.59999999999985</v>
      </c>
      <c r="DP66" s="18">
        <f>DO66*VLOOKUP('Données projet'!$B$14,Paramètres!$A$1:$I$89,3,0)*VLOOKUP('Données projet'!$B$14,Paramètres!$A$1:$I$89,5,0)</f>
        <v>235.17935999999989</v>
      </c>
      <c r="DQ66" s="14">
        <f t="shared" si="43"/>
        <v>57.401124668909425</v>
      </c>
      <c r="DR66" s="22">
        <f t="shared" si="16"/>
        <v>509.57767746501708</v>
      </c>
      <c r="DS66" s="62">
        <f t="shared" si="17"/>
        <v>802.91101079835039</v>
      </c>
      <c r="DT66" s="62">
        <f ca="1">AVERAGE(OFFSET($DS$3,0,0,'Données projet'!$E$14+1,1))-AVERAGE(OFFSET($H$3,0,0,'Données projet'!$E$14+1,1))</f>
        <v>279.49721661620544</v>
      </c>
      <c r="DU66" s="62">
        <f t="shared" si="44"/>
        <v>275.18739333988754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19.043143548804771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19.043143548804771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12.4</v>
      </c>
      <c r="EJ66" s="13">
        <f>IF('Données projet'!$A$192&gt;35,EJ65+EI66-ER65,IF(A66&lt;'Données projet'!$A$192,$EG$205^A66,IF(A66='Données projet'!$A$192,'Données projet'!$B$192,EJ65+EI66-ER65)))</f>
        <v>338.2</v>
      </c>
      <c r="EK66" s="18">
        <f>EJ66*VLOOKUP('Données projet'!$B$15,Paramètres!$A$1:$I$89,3,0)*VLOOKUP('Données projet'!$B$15,Paramètres!$A$1:$I$89,5,0)</f>
        <v>290.17560000000003</v>
      </c>
      <c r="EL66" s="14">
        <f t="shared" si="45"/>
        <v>69.112917785973508</v>
      </c>
      <c r="EM66" s="22">
        <f t="shared" si="19"/>
        <v>625.76083514390393</v>
      </c>
      <c r="EN66" s="62">
        <f t="shared" si="20"/>
        <v>919.09416847723719</v>
      </c>
      <c r="EO66" s="62">
        <f ca="1">AVERAGE(OFFSET($EN$3,0,0,'Données projet'!$E$15+1,1))-AVERAGE(OFFSET($H$3,0,0,'Données projet'!$E$15+1,1))</f>
        <v>394.11074988418096</v>
      </c>
      <c r="EP66" s="62">
        <f t="shared" si="46"/>
        <v>241.85593029696236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24.666903380365216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24.666903380365216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14.666666666666666</v>
      </c>
      <c r="N67" s="14">
        <f>IF('Données projet'!$A$36&gt;35,N66+M67-V66,IF(A67&lt;'Données projet'!$A$36,$K$205^A67,IF(A67='Données projet'!$A$36,'Données projet'!$B$36,N66+M67-V66)))</f>
        <v>366.66666666666708</v>
      </c>
      <c r="O67" s="14">
        <f>N67*VLOOKUP('Données projet'!$B$9,Paramètres!$A$1:$I$89,3,0)*VLOOKUP('Données projet'!$B$9,Paramètres!$A$1:$I$89,5,0)</f>
        <v>204.96666666666692</v>
      </c>
      <c r="P67" s="14">
        <f t="shared" si="33"/>
        <v>50.834127544717141</v>
      </c>
      <c r="Q67" s="22">
        <f t="shared" ref="Q67:Q98" si="54">(O67+P67)*0.475*44/12</f>
        <v>445.51971658482722</v>
      </c>
      <c r="R67" s="62">
        <f t="shared" ref="R67:R130" si="55">Q67+(I67+J67)*44/12</f>
        <v>738.85304991816054</v>
      </c>
      <c r="S67" s="62">
        <f ca="1">AVERAGE(OFFSET($R$3,0,0,'Données projet'!$E$9+1,1))-AVERAGE(OFFSET($H$3,0,0,'Données projet'!$E$9+1,1))</f>
        <v>539.2446452106276</v>
      </c>
      <c r="T67" s="62">
        <f t="shared" si="34"/>
        <v>596.73830276071465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301.86168737183618</v>
      </c>
      <c r="AA67" s="23">
        <f>EXP(-LN(2)/25)*AA66+(1-EXP(-LN(2)/25))/(LN(2)/25)*Calculateur!V67*Calculateur!X67*VLOOKUP('Données projet'!$B$9,Paramètres!$A$1:$I$89,3,0)*0.475*44/12</f>
        <v>57.325414075972489</v>
      </c>
      <c r="AB67" s="23">
        <f>EXP(-LN(2)/2)*AB66+(1-EXP(-LN(2)/2))/(LN(2)/2)*V67*Y67*VLOOKUP('Données projet'!$B$9,Paramètres!$A$1:$I$89,3,0)*0.475*44/12</f>
        <v>21.834116300995341</v>
      </c>
      <c r="AC67" s="24">
        <f t="shared" si="3"/>
        <v>381.02121774880402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5.8</v>
      </c>
      <c r="AI67" s="14">
        <f>IF('Données projet'!$A$62&gt;35,AI66+AH67-AQ66,IF(A67&lt;'Données projet'!$A$62,$AF$205^A67,IF(A67='Données projet'!$A$62,'Données projet'!$B$62,AI66+AH67-AQ66)))</f>
        <v>375.20000000000027</v>
      </c>
      <c r="AJ67" s="14">
        <f>AI67*VLOOKUP('Données projet'!$B$10,Paramètres!$A$1:$I$89,3,0)*VLOOKUP('Données projet'!$B$10,Paramètres!$A$1:$I$89,5,0)</f>
        <v>204.85920000000016</v>
      </c>
      <c r="AK67" s="14">
        <f t="shared" si="35"/>
        <v>50.810576245160171</v>
      </c>
      <c r="AL67" s="22">
        <f t="shared" si="4"/>
        <v>445.29152696032094</v>
      </c>
      <c r="AM67" s="62">
        <f t="shared" si="5"/>
        <v>738.62486029365425</v>
      </c>
      <c r="AN67" s="62">
        <f ca="1">AVERAGE(OFFSET($AM$3,0,0,'Données projet'!$E$10+1,1))-AVERAGE(OFFSET($H$3,0,0,'Données projet'!$E$10+1,1))</f>
        <v>262.6671000229498</v>
      </c>
      <c r="AO67" s="62">
        <f t="shared" si="36"/>
        <v>289.30432245776024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37.609352982219754</v>
      </c>
      <c r="AV67" s="23">
        <f>EXP(-LN(2)/25)*AV66+(1-EXP(-LN(2)/25))/(LN(2)/25)*Calculateur!AQ67*Calculateur!AS67*VLOOKUP('Données projet'!$B$10,Paramètres!$A$1:$I$89,3,0)*0.475*44/12</f>
        <v>27.069545571871735</v>
      </c>
      <c r="AW67" s="23">
        <f>EXP(-LN(2)/2)*AW66+(1-EXP(-LN(2)/2))/(LN(2)/2)*AQ67*AT67*VLOOKUP('Données projet'!$B$10,Paramètres!$A$1:$I$89,3,0)*0.475*44/12</f>
        <v>0.81432354218222203</v>
      </c>
      <c r="AX67" s="23">
        <f t="shared" si="6"/>
        <v>65.493222096273712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5.6</v>
      </c>
      <c r="CT67" s="13">
        <f>IF('Données projet'!$A$140&gt;35,CT66+CS67-DB66,IF(A67&lt;'Données projet'!$A$140,$CQ$205^A67,IF(A67='Données projet'!$A$140,'Données projet'!$B$140,CT66+CS67-DB66)))</f>
        <v>226.4</v>
      </c>
      <c r="CU67" s="18">
        <f>CT67*VLOOKUP('Données projet'!$B$13,Paramètres!$A$1:$I$89,3,0)*VLOOKUP('Données projet'!$B$13,Paramètres!$A$1:$I$89,5,0)</f>
        <v>197.78304000000003</v>
      </c>
      <c r="CV67" s="14">
        <f t="shared" si="41"/>
        <v>49.256631390532817</v>
      </c>
      <c r="CW67" s="22">
        <f t="shared" si="13"/>
        <v>430.26076100517804</v>
      </c>
      <c r="CX67" s="62">
        <f t="shared" si="14"/>
        <v>723.59409433851135</v>
      </c>
      <c r="CY67" s="62">
        <f ca="1">AVERAGE(OFFSET($CX$3,0,0,'Données projet'!$E$13+1,1))-AVERAGE(OFFSET($H$3,0,0,'Données projet'!$E$13+1,1))</f>
        <v>268.27008134105046</v>
      </c>
      <c r="CZ67" s="62">
        <f t="shared" si="42"/>
        <v>252.36274686619709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16.967100074956562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16.967100074956562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5.2</v>
      </c>
      <c r="DO67" s="13">
        <f>IF('Données projet'!$A$166&gt;35,DO66+DN67-DW66,IF(A67&lt;'Données projet'!$A$166,$DL$205^A67,IF(A67='Données projet'!$A$166,'Données projet'!$B$166,DO66+DN67-DW66)))</f>
        <v>300.79999999999984</v>
      </c>
      <c r="DP67" s="18">
        <f>DO67*VLOOKUP('Données projet'!$B$14,Paramètres!$A$1:$I$89,3,0)*VLOOKUP('Données projet'!$B$14,Paramètres!$A$1:$I$89,5,0)</f>
        <v>239.3164799999999</v>
      </c>
      <c r="DQ67" s="14">
        <f t="shared" si="43"/>
        <v>58.292443422481945</v>
      </c>
      <c r="DR67" s="22">
        <f t="shared" si="16"/>
        <v>518.33554162748919</v>
      </c>
      <c r="DS67" s="62">
        <f t="shared" si="17"/>
        <v>811.66887496082245</v>
      </c>
      <c r="DT67" s="62">
        <f ca="1">AVERAGE(OFFSET($DS$3,0,0,'Données projet'!$E$14+1,1))-AVERAGE(OFFSET($H$3,0,0,'Données projet'!$E$14+1,1))</f>
        <v>279.49721661620544</v>
      </c>
      <c r="DU67" s="62">
        <f t="shared" si="44"/>
        <v>275.18739333988754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18.669719118983373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18.669719118983373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12.4</v>
      </c>
      <c r="EJ67" s="13">
        <f>IF('Données projet'!$A$192&gt;35,EJ66+EI67-ER66,IF(A67&lt;'Données projet'!$A$192,$EG$205^A67,IF(A67='Données projet'!$A$192,'Données projet'!$B$192,EJ66+EI67-ER66)))</f>
        <v>350.59999999999997</v>
      </c>
      <c r="EK67" s="18">
        <f>EJ67*VLOOKUP('Données projet'!$B$15,Paramètres!$A$1:$I$89,3,0)*VLOOKUP('Données projet'!$B$15,Paramètres!$A$1:$I$89,5,0)</f>
        <v>300.81479999999999</v>
      </c>
      <c r="EL67" s="14">
        <f t="shared" si="45"/>
        <v>71.347249879076941</v>
      </c>
      <c r="EM67" s="22">
        <f t="shared" si="19"/>
        <v>648.18223687272553</v>
      </c>
      <c r="EN67" s="62">
        <f t="shared" si="20"/>
        <v>941.51557020605878</v>
      </c>
      <c r="EO67" s="62">
        <f ca="1">AVERAGE(OFFSET($EN$3,0,0,'Données projet'!$E$15+1,1))-AVERAGE(OFFSET($H$3,0,0,'Données projet'!$E$15+1,1))</f>
        <v>394.11074988418096</v>
      </c>
      <c r="EP67" s="62">
        <f t="shared" si="46"/>
        <v>241.85593029696236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24.183200450401714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24.183200450401714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14.666666666666666</v>
      </c>
      <c r="N68" s="14">
        <f>IF('Données projet'!$A$36&gt;35,N67+M68-V67,IF(A68&lt;'Données projet'!$A$36,$K$205^A68,IF(A68='Données projet'!$A$36,'Données projet'!$B$36,N67+M68-V67)))</f>
        <v>381.33333333333377</v>
      </c>
      <c r="O68" s="14">
        <f>N68*VLOOKUP('Données projet'!$B$9,Paramètres!$A$1:$I$89,3,0)*VLOOKUP('Données projet'!$B$9,Paramètres!$A$1:$I$89,5,0)</f>
        <v>213.16533333333359</v>
      </c>
      <c r="P68" s="14">
        <f t="shared" si="33"/>
        <v>52.626687249144723</v>
      </c>
      <c r="Q68" s="22">
        <f t="shared" si="54"/>
        <v>462.92110251448298</v>
      </c>
      <c r="R68" s="62">
        <f t="shared" si="55"/>
        <v>756.25443584781624</v>
      </c>
      <c r="S68" s="62">
        <f ca="1">AVERAGE(OFFSET($R$3,0,0,'Données projet'!$E$9+1,1))-AVERAGE(OFFSET($H$3,0,0,'Données projet'!$E$9+1,1))</f>
        <v>539.2446452106276</v>
      </c>
      <c r="T68" s="62">
        <f t="shared" si="34"/>
        <v>596.73830276071465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295.94236379992367</v>
      </c>
      <c r="AA68" s="23">
        <f>EXP(-LN(2)/25)*AA67+(1-EXP(-LN(2)/25))/(LN(2)/25)*Calculateur!V68*Calculateur!X68*VLOOKUP('Données projet'!$B$9,Paramètres!$A$1:$I$89,3,0)*0.475*44/12</f>
        <v>55.757847613452512</v>
      </c>
      <c r="AB68" s="23">
        <f>EXP(-LN(2)/2)*AB67+(1-EXP(-LN(2)/2))/(LN(2)/2)*V68*Y68*VLOOKUP('Données projet'!$B$9,Paramètres!$A$1:$I$89,3,0)*0.475*44/12</f>
        <v>15.439051697649544</v>
      </c>
      <c r="AC68" s="24">
        <f t="shared" ref="AC68:AC131" si="57">SUM(Z68:AB68)</f>
        <v>367.13926311102568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381</v>
      </c>
      <c r="AG68" s="13">
        <f>VLOOKUP(A68,'Données projet'!$A$61:$I$81,9,0)</f>
        <v>5.8</v>
      </c>
      <c r="AH68" s="13">
        <f t="array" ref="AH68">INDEX(AG:AG,MIN(IF(ISNUMBER(AG68:AG264),ROW(AG68:AG264),"")))</f>
        <v>5.8</v>
      </c>
      <c r="AI68" s="14">
        <f>IF('Données projet'!$A$62&gt;35,AI67+AH68-AQ67,IF(A68&lt;'Données projet'!$A$62,$AF$205^A68,IF(A68='Données projet'!$A$62,'Données projet'!$B$62,AI67+AH68-AQ67)))</f>
        <v>381.00000000000028</v>
      </c>
      <c r="AJ68" s="14">
        <f>AI68*VLOOKUP('Données projet'!$B$10,Paramètres!$A$1:$I$89,3,0)*VLOOKUP('Données projet'!$B$10,Paramètres!$A$1:$I$89,5,0)</f>
        <v>208.02600000000018</v>
      </c>
      <c r="AK68" s="14">
        <f t="shared" si="35"/>
        <v>51.503980210368653</v>
      </c>
      <c r="AL68" s="22">
        <f t="shared" ref="AL68:AL131" si="58">(AJ68+AK68)*0.475*44/12</f>
        <v>452.01471553305896</v>
      </c>
      <c r="AM68" s="62">
        <f t="shared" ref="AM68:AM131" si="59">AL68+(AD68+AE68)*44/12</f>
        <v>745.34804886639222</v>
      </c>
      <c r="AN68" s="62">
        <f ca="1">AVERAGE(OFFSET($AM$3,0,0,'Données projet'!$E$10+1,1))-AVERAGE(OFFSET($H$3,0,0,'Données projet'!$E$10+1,1))</f>
        <v>262.6671000229498</v>
      </c>
      <c r="AO68" s="62">
        <f t="shared" si="36"/>
        <v>289.30432245776024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19</v>
      </c>
      <c r="AR68" s="17">
        <f>IF(ISNA(VLOOKUP(A68,'Données projet'!$A$61:$I$81,5,0)),0%,VLOOKUP(A68,'Données projet'!$A$61:$I$81,5,0)*VLOOKUP('Données projet'!$B$10,Paramètres!$A$1:$I$89,7,0))</f>
        <v>0.42</v>
      </c>
      <c r="AS68" s="17">
        <f>IF(ISNA(VLOOKUP(A68,'Données projet'!$A$61:$I$81,6,0)),0%,VLOOKUP(A68,'Données projet'!$A$61:$I$81,6,0)*VLOOKUP('Données projet'!$B$10,Paramètres!$A$1:$I$89,7,0))</f>
        <v>0.10200000000000001</v>
      </c>
      <c r="AT68" s="17">
        <f>IF(ISNA(VLOOKUP(A68,'Données projet'!$A$61:$I$81,7,0)),0%,VLOOKUP(A68,'Données projet'!$A$61:$I$81,7,0))</f>
        <v>0.13</v>
      </c>
      <c r="AU68" s="23">
        <f>EXP(-LN(2)/35)*AU67+(1-EXP(-LN(2)/35))/(LN(2)/35)*AQ68*AR68*VLOOKUP('Données projet'!$B$10,Paramètres!$A$1:$I$89,3,0)*0.475*44/12</f>
        <v>42.651803967185174</v>
      </c>
      <c r="AV68" s="23">
        <f>EXP(-LN(2)/25)*AV67+(1-EXP(-LN(2)/25))/(LN(2)/25)*Calculateur!AQ68*Calculateur!AS68*VLOOKUP('Données projet'!$B$10,Paramètres!$A$1:$I$89,3,0)*0.475*44/12</f>
        <v>27.727502042320118</v>
      </c>
      <c r="AW68" s="23">
        <f>EXP(-LN(2)/2)*AW67+(1-EXP(-LN(2)/2))/(LN(2)/2)*AQ68*AT68*VLOOKUP('Données projet'!$B$10,Paramètres!$A$1:$I$89,3,0)*0.475*44/12</f>
        <v>2.1027648198470414</v>
      </c>
      <c r="AX68" s="23">
        <f t="shared" ref="AX68:AX131" si="60">SUM(AU68:AW68)</f>
        <v>72.482070829352324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232</v>
      </c>
      <c r="CR68" s="13">
        <f>VLOOKUP(A68,'Données projet'!$A$139:$I$159,9,0)</f>
        <v>5.6</v>
      </c>
      <c r="CS68" s="13">
        <f t="array" ref="CS68">INDEX(CR:CR,MIN(IF(ISNUMBER(CR68:CR264),ROW(CR68:CR264),"")))</f>
        <v>5.6</v>
      </c>
      <c r="CT68" s="13">
        <f>IF('Données projet'!$A$140&gt;35,CT67+CS68-DB67,IF(A68&lt;'Données projet'!$A$140,$CQ$205^A68,IF(A68='Données projet'!$A$140,'Données projet'!$B$140,CT67+CS68-DB67)))</f>
        <v>232</v>
      </c>
      <c r="CU68" s="18">
        <f>CT68*VLOOKUP('Données projet'!$B$13,Paramètres!$A$1:$I$89,3,0)*VLOOKUP('Données projet'!$B$13,Paramètres!$A$1:$I$89,5,0)</f>
        <v>202.67520000000002</v>
      </c>
      <c r="CV68" s="14">
        <f t="shared" si="41"/>
        <v>50.331640285313689</v>
      </c>
      <c r="CW68" s="22">
        <f t="shared" ref="CW68:CW131" si="67">(CU68+CV68)*0.475*44/12</f>
        <v>440.653580163588</v>
      </c>
      <c r="CX68" s="62">
        <f t="shared" ref="CX68:CX131" si="68">CW68+(CO68+CP68)*44/12</f>
        <v>733.98691349692126</v>
      </c>
      <c r="CY68" s="62">
        <f ca="1">AVERAGE(OFFSET($CX$3,0,0,'Données projet'!$E$13+1,1))-AVERAGE(OFFSET($H$3,0,0,'Données projet'!$E$13+1,1))</f>
        <v>268.27008134105046</v>
      </c>
      <c r="CZ68" s="62">
        <f t="shared" si="42"/>
        <v>252.36274686619709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20</v>
      </c>
      <c r="DC68" s="17">
        <f>IF(ISNA(VLOOKUP(A68,'Données projet'!$A$139:$I$159,5,0)),0%,VLOOKUP(A68,'Données projet'!$A$139:$I$159,5,0)*VLOOKUP('Données projet'!$B$13,Paramètres!$A$1:$I$89,7,0))</f>
        <v>0.215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20.787062962703779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20.787062962703779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306</v>
      </c>
      <c r="DM68" s="13">
        <f>VLOOKUP(A68,'Données projet'!$A$165:$I$185,9,0)</f>
        <v>5.2</v>
      </c>
      <c r="DN68" s="13">
        <f t="array" ref="DN68">INDEX(DM:DM,MIN(IF(ISNUMBER(DM68:DM264),ROW(DM68:DM264),"")))</f>
        <v>5.2</v>
      </c>
      <c r="DO68" s="13">
        <f>IF('Données projet'!$A$166&gt;35,DO67+DN68-DW67,IF(A68&lt;'Données projet'!$A$166,$DL$205^A68,IF(A68='Données projet'!$A$166,'Données projet'!$B$166,DO67+DN68-DW67)))</f>
        <v>305.99999999999983</v>
      </c>
      <c r="DP68" s="18">
        <f>DO68*VLOOKUP('Données projet'!$B$14,Paramètres!$A$1:$I$89,3,0)*VLOOKUP('Données projet'!$B$14,Paramètres!$A$1:$I$89,5,0)</f>
        <v>243.45359999999988</v>
      </c>
      <c r="DQ68" s="14">
        <f t="shared" si="43"/>
        <v>59.181970343065267</v>
      </c>
      <c r="DR68" s="22">
        <f t="shared" ref="DR68:DR131" si="70">(DP68+DQ68)*0.475*44/12</f>
        <v>527.09028501417163</v>
      </c>
      <c r="DS68" s="62">
        <f t="shared" ref="DS68:DS131" si="71">DR68+(DJ68+DK68)*44/12</f>
        <v>820.423618347505</v>
      </c>
      <c r="DT68" s="62">
        <f ca="1">AVERAGE(OFFSET($DS$3,0,0,'Données projet'!$E$14+1,1))-AVERAGE(OFFSET($H$3,0,0,'Données projet'!$E$14+1,1))</f>
        <v>279.49721661620544</v>
      </c>
      <c r="DU68" s="62">
        <f t="shared" si="44"/>
        <v>275.18739333988754</v>
      </c>
      <c r="DV68" s="16">
        <f>IF(ISNA(VLOOKUP(A68,'Données projet'!$A$165:$I$185,3,0)),0,VLOOKUP(A68,'Données projet'!$A$165:$I$185,3,0))</f>
        <v>12</v>
      </c>
      <c r="DW68" s="16">
        <f>IF(ISNA(VLOOKUP(A68,'Données projet'!$A$165:$I$185,4,0)),0,VLOOKUP(A68,'Données projet'!$A$165:$I$185,4,0))</f>
        <v>13</v>
      </c>
      <c r="DX68" s="17">
        <f>IF(ISNA(VLOOKUP(A68,'Données projet'!$A$165:$I$185,5,0)),0%,VLOOKUP(A68,'Données projet'!$A$165:$I$185,5,0)*VLOOKUP('Données projet'!$B$14,Paramètres!$A$1:$I$89,7,0))</f>
        <v>0.371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22.54550481883615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22.54550481883615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363</v>
      </c>
      <c r="EH68" s="13">
        <f>VLOOKUP(A68,'Données projet'!$A$191:$I$211,9,0)</f>
        <v>12.4</v>
      </c>
      <c r="EI68" s="13">
        <f t="array" ref="EI68">INDEX(EH:EH,MIN(IF(ISNUMBER(EH68:EH264),ROW(EH68:EH264),"")))</f>
        <v>12.4</v>
      </c>
      <c r="EJ68" s="13">
        <f>IF('Données projet'!$A$192&gt;35,EJ67+EI68-ER67,IF(A68&lt;'Données projet'!$A$192,$EG$205^A68,IF(A68='Données projet'!$A$192,'Données projet'!$B$192,EJ67+EI68-ER67)))</f>
        <v>362.99999999999994</v>
      </c>
      <c r="EK68" s="18">
        <f>EJ68*VLOOKUP('Données projet'!$B$15,Paramètres!$A$1:$I$89,3,0)*VLOOKUP('Données projet'!$B$15,Paramètres!$A$1:$I$89,5,0)</f>
        <v>311.45399999999995</v>
      </c>
      <c r="EL68" s="14">
        <f t="shared" si="45"/>
        <v>73.572400496659426</v>
      </c>
      <c r="EM68" s="22">
        <f t="shared" ref="EM68:EM131" si="73">(EK68+EL68)*0.475*44/12</f>
        <v>670.5876475316818</v>
      </c>
      <c r="EN68" s="62">
        <f t="shared" ref="EN68:EN131" si="74">EM68+(EE68+EF68)*44/12</f>
        <v>963.92098086501505</v>
      </c>
      <c r="EO68" s="62">
        <f ca="1">AVERAGE(OFFSET($EN$3,0,0,'Données projet'!$E$15+1,1))-AVERAGE(OFFSET($H$3,0,0,'Données projet'!$E$15+1,1))</f>
        <v>394.11074988418096</v>
      </c>
      <c r="EP68" s="62">
        <f t="shared" si="46"/>
        <v>241.85593029696236</v>
      </c>
      <c r="EQ68" s="16">
        <f>IF(ISNA(VLOOKUP(A68,'Données projet'!$A$191:$I$211,3,0)),0,VLOOKUP(A68,'Données projet'!$A$191:$I$211,3,0))</f>
        <v>10</v>
      </c>
      <c r="ER68" s="16">
        <f>IF(ISNA(VLOOKUP(A68,'Données projet'!$A$191:$I$211,4,0)),0,VLOOKUP(A68,'Données projet'!$A$191:$I$211,4,0))</f>
        <v>35</v>
      </c>
      <c r="ES68" s="17">
        <f>IF(ISNA(VLOOKUP(A68,'Données projet'!$A$191:$I$211,5,0)),0%,VLOOKUP(A68,'Données projet'!$A$191:$I$211,5,0)*VLOOKUP('Données projet'!$B$15,Paramètres!$A$1:$I$89,7,0))</f>
        <v>0.26500000000000001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32.506260646669382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32.506260646669382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396</v>
      </c>
      <c r="L69" s="13">
        <f>VLOOKUP(A69,'Données projet'!$A$35:$I$55,9,0)</f>
        <v>14.666666666666666</v>
      </c>
      <c r="M69" s="13">
        <f t="array" ref="M69">INDEX(L:L,MIN(IF(ISNUMBER(L69:L265),ROW(L69:L265),"")))</f>
        <v>14.666666666666666</v>
      </c>
      <c r="N69" s="14">
        <f>IF('Données projet'!$A$36&gt;35,N68+M69-V68,IF(A69&lt;'Données projet'!$A$36,$K$205^A69,IF(A69='Données projet'!$A$36,'Données projet'!$B$36,N68+M69-V68)))</f>
        <v>396.00000000000045</v>
      </c>
      <c r="O69" s="14">
        <f>N69*VLOOKUP('Données projet'!$B$9,Paramètres!$A$1:$I$89,3,0)*VLOOKUP('Données projet'!$B$9,Paramètres!$A$1:$I$89,5,0)</f>
        <v>221.36400000000026</v>
      </c>
      <c r="P69" s="14">
        <f t="shared" ref="P69:P132" si="87">EXP(-1.0587+0.8836*LN(O69)+0.284)</f>
        <v>54.411237653200843</v>
      </c>
      <c r="Q69" s="22">
        <f t="shared" si="54"/>
        <v>480.30853891265855</v>
      </c>
      <c r="R69" s="62">
        <f t="shared" si="55"/>
        <v>773.64187224599186</v>
      </c>
      <c r="S69" s="62">
        <f ca="1">AVERAGE(OFFSET($R$3,0,0,'Données projet'!$E$9+1,1))-AVERAGE(OFFSET($H$3,0,0,'Données projet'!$E$9+1,1))</f>
        <v>539.2446452106276</v>
      </c>
      <c r="T69" s="62">
        <f t="shared" ref="T69:T132" si="88">$T$3</f>
        <v>596.73830276071465</v>
      </c>
      <c r="U69" s="16">
        <f>IF(ISNA(VLOOKUP(A69,'Données projet'!$A$35:$I$55,3,0)),0,VLOOKUP(A69,'Données projet'!$A$35:$I$55,3,0))</f>
        <v>9</v>
      </c>
      <c r="V69" s="16">
        <f>IF(ISNA(VLOOKUP(A69,'Données projet'!$A$35:$I$55,4,0)),0,VLOOKUP(A69,'Données projet'!$A$35:$I$55,4,0))</f>
        <v>396</v>
      </c>
      <c r="W69" s="17">
        <f>IF(ISNA(VLOOKUP(A69,'Données projet'!$A$35:$I$55,5,0)),0%,VLOOKUP(A69,'Données projet'!$A$35:$I$55,5,0)*VLOOKUP('Données projet'!$B$9,Paramètres!$A$1:$I$89,7,0))</f>
        <v>0.44000000000000006</v>
      </c>
      <c r="X69" s="17">
        <f>IF(ISNA(VLOOKUP(A69,'Données projet'!$A$35:$I$55,6,0)),0%,VLOOKUP(A69,'Données projet'!$A$35:$I$55,6,0)*VLOOKUP('Données projet'!$B$9,Paramètres!$A$1:$I$89,7,0))</f>
        <v>6.0500000000000005E-2</v>
      </c>
      <c r="Y69" s="17">
        <f>IF(ISNA(VLOOKUP(A69,'Données projet'!$A$35:$I$55,7,0)),0%,VLOOKUP(A69,'Données projet'!$A$35:$I$55,7,0))</f>
        <v>0.09</v>
      </c>
      <c r="Z69" s="23">
        <f>EXP(-LN(2)/35)*Z68+(1-EXP(-LN(2)/35))/(LN(2)/35)*V69*W69*VLOOKUP('Données projet'!$B$9,Paramètres!$A$1:$I$89,3,0)*0.475*44/12</f>
        <v>419.34670476294957</v>
      </c>
      <c r="AA69" s="23">
        <f>EXP(-LN(2)/25)*AA68+(1-EXP(-LN(2)/25))/(LN(2)/25)*Calculateur!V69*Calculateur!X69*VLOOKUP('Données projet'!$B$9,Paramètres!$A$1:$I$89,3,0)*0.475*44/12</f>
        <v>71.929238308918229</v>
      </c>
      <c r="AB69" s="23">
        <f>EXP(-LN(2)/2)*AB68+(1-EXP(-LN(2)/2))/(LN(2)/2)*V69*Y69*VLOOKUP('Données projet'!$B$9,Paramètres!$A$1:$I$89,3,0)*0.475*44/12</f>
        <v>33.474250478366045</v>
      </c>
      <c r="AC69" s="24">
        <f t="shared" si="57"/>
        <v>524.7501935502338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367.00000000000028</v>
      </c>
      <c r="AJ69" s="14">
        <f>AI69*VLOOKUP('Données projet'!$B$10,Paramètres!$A$1:$I$89,3,0)*VLOOKUP('Données projet'!$B$10,Paramètres!$A$1:$I$89,5,0)</f>
        <v>200.38200000000015</v>
      </c>
      <c r="AK69" s="14">
        <f t="shared" ref="AK69:AK132" si="89">EXP(-1.0587+0.8836*LN(AJ69)+0.284)</f>
        <v>49.828110437743319</v>
      </c>
      <c r="AL69" s="22">
        <f t="shared" si="58"/>
        <v>435.78260901240327</v>
      </c>
      <c r="AM69" s="62">
        <f t="shared" si="59"/>
        <v>729.11594234573658</v>
      </c>
      <c r="AN69" s="62">
        <f ca="1">AVERAGE(OFFSET($AM$3,0,0,'Données projet'!$E$10+1,1))-AVERAGE(OFFSET($H$3,0,0,'Données projet'!$E$10+1,1))</f>
        <v>262.6671000229498</v>
      </c>
      <c r="AO69" s="62">
        <f t="shared" ref="AO69:AO132" si="90">$AO$3</f>
        <v>289.30432245776024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41.81542810642032</v>
      </c>
      <c r="AV69" s="23">
        <f>EXP(-LN(2)/25)*AV68+(1-EXP(-LN(2)/25))/(LN(2)/25)*Calculateur!AQ69*Calculateur!AS69*VLOOKUP('Données projet'!$B$10,Paramètres!$A$1:$I$89,3,0)*0.475*44/12</f>
        <v>26.969292040846913</v>
      </c>
      <c r="AW69" s="23">
        <f>EXP(-LN(2)/2)*AW68+(1-EXP(-LN(2)/2))/(LN(2)/2)*AQ69*AT69*VLOOKUP('Données projet'!$B$10,Paramètres!$A$1:$I$89,3,0)*0.475*44/12</f>
        <v>1.4868792633543522</v>
      </c>
      <c r="AX69" s="23">
        <f t="shared" si="60"/>
        <v>70.27159941062159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</v>
      </c>
      <c r="CT69" s="13">
        <f>IF('Données projet'!$A$140&gt;35,CT68+CS69-DB68,IF(A69&lt;'Données projet'!$A$140,$CQ$205^A69,IF(A69='Données projet'!$A$140,'Données projet'!$B$140,CT68+CS69-DB68)))</f>
        <v>217</v>
      </c>
      <c r="CU69" s="18">
        <f>CT69*VLOOKUP('Données projet'!$B$13,Paramètres!$A$1:$I$89,3,0)*VLOOKUP('Données projet'!$B$13,Paramètres!$A$1:$I$89,5,0)</f>
        <v>189.57120000000003</v>
      </c>
      <c r="CV69" s="14">
        <f t="shared" ref="CV69:CV132" si="95">EXP(-1.0587+0.8836*LN(CU69)+0.284)</f>
        <v>47.44513879693244</v>
      </c>
      <c r="CW69" s="22">
        <f t="shared" si="67"/>
        <v>412.8034567379907</v>
      </c>
      <c r="CX69" s="62">
        <f t="shared" si="68"/>
        <v>706.13679007132396</v>
      </c>
      <c r="CY69" s="62">
        <f ca="1">AVERAGE(OFFSET($CX$3,0,0,'Données projet'!$E$13+1,1))-AVERAGE(OFFSET($H$3,0,0,'Données projet'!$E$13+1,1))</f>
        <v>268.27008134105046</v>
      </c>
      <c r="CZ69" s="62">
        <f t="shared" ref="CZ69:CZ132" si="96">$CZ$3</f>
        <v>252.36274686619709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20.379441336861632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20.379441336861632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4.5999999999999996</v>
      </c>
      <c r="DO69" s="13">
        <f>IF('Données projet'!$A$166&gt;35,DO68+DN69-DW68,IF(A69&lt;'Données projet'!$A$166,$DL$205^A69,IF(A69='Données projet'!$A$166,'Données projet'!$B$166,DO68+DN69-DW68)))</f>
        <v>297.59999999999985</v>
      </c>
      <c r="DP69" s="18">
        <f>DO69*VLOOKUP('Données projet'!$B$14,Paramètres!$A$1:$I$89,3,0)*VLOOKUP('Données projet'!$B$14,Paramètres!$A$1:$I$89,5,0)</f>
        <v>236.7705599999999</v>
      </c>
      <c r="DQ69" s="14">
        <f t="shared" ref="DQ69:DQ132" si="97">EXP(-1.0587+0.8836*LN(DP69)+0.284)</f>
        <v>57.744153841586879</v>
      </c>
      <c r="DR69" s="22">
        <f t="shared" si="70"/>
        <v>512.9464599407637</v>
      </c>
      <c r="DS69" s="62">
        <f t="shared" si="71"/>
        <v>806.27979327409707</v>
      </c>
      <c r="DT69" s="62">
        <f ca="1">AVERAGE(OFFSET($DS$3,0,0,'Données projet'!$E$14+1,1))-AVERAGE(OFFSET($H$3,0,0,'Données projet'!$E$14+1,1))</f>
        <v>279.49721661620544</v>
      </c>
      <c r="DU69" s="62">
        <f t="shared" ref="DU69:DU132" si="98">$DU$3</f>
        <v>275.18739333988754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22.103401220738874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22.103401220738874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11.8</v>
      </c>
      <c r="EJ69" s="13">
        <f>IF('Données projet'!$A$192&gt;35,EJ68+EI69-ER68,IF(A69&lt;'Données projet'!$A$192,$EG$205^A69,IF(A69='Données projet'!$A$192,'Données projet'!$B$192,EJ68+EI69-ER68)))</f>
        <v>339.79999999999995</v>
      </c>
      <c r="EK69" s="18">
        <f>EJ69*VLOOKUP('Données projet'!$B$15,Paramètres!$A$1:$I$89,3,0)*VLOOKUP('Données projet'!$B$15,Paramètres!$A$1:$I$89,5,0)</f>
        <v>291.54840000000002</v>
      </c>
      <c r="EL69" s="14">
        <f t="shared" ref="EL69:EL132" si="99">EXP(-1.0587+0.8836*LN(EK69)+0.284)</f>
        <v>69.40174753959208</v>
      </c>
      <c r="EM69" s="22">
        <f t="shared" si="73"/>
        <v>628.65484029812285</v>
      </c>
      <c r="EN69" s="62">
        <f t="shared" si="74"/>
        <v>921.98817363145622</v>
      </c>
      <c r="EO69" s="62">
        <f ca="1">AVERAGE(OFFSET($EN$3,0,0,'Données projet'!$E$15+1,1))-AVERAGE(OFFSET($H$3,0,0,'Données projet'!$E$15+1,1))</f>
        <v>394.11074988418096</v>
      </c>
      <c r="EP69" s="62">
        <f t="shared" ref="EP69:EP132" si="100">$EP$3</f>
        <v>241.85593029696236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31.868832702249449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31.868832702249449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4.5474735088646412E-13</v>
      </c>
      <c r="O70" s="14">
        <f>N70*VLOOKUP('Données projet'!$B$9,Paramètres!$A$1:$I$89,3,0)*VLOOKUP('Données projet'!$B$9,Paramètres!$A$1:$I$89,5,0)</f>
        <v>2.5420376914553347E-13</v>
      </c>
      <c r="P70" s="14">
        <f t="shared" si="87"/>
        <v>3.4258699088369875E-12</v>
      </c>
      <c r="Q70" s="22">
        <f t="shared" si="54"/>
        <v>6.4094616558195571E-12</v>
      </c>
      <c r="R70" s="62">
        <f t="shared" si="55"/>
        <v>293.33333333333974</v>
      </c>
      <c r="S70" s="62">
        <f ca="1">AVERAGE(OFFSET($R$3,0,0,'Données projet'!$E$9+1,1))-AVERAGE(OFFSET($H$3,0,0,'Données projet'!$E$9+1,1))</f>
        <v>539.2446452106276</v>
      </c>
      <c r="T70" s="62">
        <f t="shared" si="88"/>
        <v>596.73830276071465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411.12357165878223</v>
      </c>
      <c r="AA70" s="23">
        <f>EXP(-LN(2)/25)*AA69+(1-EXP(-LN(2)/25))/(LN(2)/25)*Calculateur!V70*Calculateur!X70*VLOOKUP('Données projet'!$B$9,Paramètres!$A$1:$I$89,3,0)*0.475*44/12</f>
        <v>69.962329504766615</v>
      </c>
      <c r="AB70" s="23">
        <f>EXP(-LN(2)/2)*AB69+(1-EXP(-LN(2)/2))/(LN(2)/2)*V70*Y70*VLOOKUP('Données projet'!$B$9,Paramètres!$A$1:$I$89,3,0)*0.475*44/12</f>
        <v>23.669869508389663</v>
      </c>
      <c r="AC70" s="24">
        <f t="shared" si="57"/>
        <v>504.75577067193848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372.00000000000028</v>
      </c>
      <c r="AJ70" s="14">
        <f>AI70*VLOOKUP('Données projet'!$B$10,Paramètres!$A$1:$I$89,3,0)*VLOOKUP('Données projet'!$B$10,Paramètres!$A$1:$I$89,5,0)</f>
        <v>203.11200000000017</v>
      </c>
      <c r="AK70" s="14">
        <f t="shared" si="89"/>
        <v>50.427475336015824</v>
      </c>
      <c r="AL70" s="22">
        <f t="shared" si="58"/>
        <v>441.5812528768945</v>
      </c>
      <c r="AM70" s="62">
        <f t="shared" si="59"/>
        <v>734.91458621022775</v>
      </c>
      <c r="AN70" s="62">
        <f ca="1">AVERAGE(OFFSET($AM$3,0,0,'Données projet'!$E$10+1,1))-AVERAGE(OFFSET($H$3,0,0,'Données projet'!$E$10+1,1))</f>
        <v>262.6671000229498</v>
      </c>
      <c r="AO70" s="62">
        <f t="shared" si="90"/>
        <v>289.30432245776024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40.995453066146162</v>
      </c>
      <c r="AV70" s="23">
        <f>EXP(-LN(2)/25)*AV69+(1-EXP(-LN(2)/25))/(LN(2)/25)*Calculateur!AQ70*Calculateur!AS70*VLOOKUP('Données projet'!$B$10,Paramètres!$A$1:$I$89,3,0)*0.475*44/12</f>
        <v>26.231815331736524</v>
      </c>
      <c r="AW70" s="23">
        <f>EXP(-LN(2)/2)*AW69+(1-EXP(-LN(2)/2))/(LN(2)/2)*AQ70*AT70*VLOOKUP('Données projet'!$B$10,Paramètres!$A$1:$I$89,3,0)*0.475*44/12</f>
        <v>1.0513824099235209</v>
      </c>
      <c r="AX70" s="23">
        <f t="shared" si="60"/>
        <v>68.278650807806201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</v>
      </c>
      <c r="CT70" s="13">
        <f>IF('Données projet'!$A$140&gt;35,CT69+CS70-DB69,IF(A70&lt;'Données projet'!$A$140,$CQ$205^A70,IF(A70='Données projet'!$A$140,'Données projet'!$B$140,CT69+CS70-DB69)))</f>
        <v>222</v>
      </c>
      <c r="CU70" s="18">
        <f>CT70*VLOOKUP('Données projet'!$B$13,Paramètres!$A$1:$I$89,3,0)*VLOOKUP('Données projet'!$B$13,Paramètres!$A$1:$I$89,5,0)</f>
        <v>193.93920000000003</v>
      </c>
      <c r="CV70" s="14">
        <f t="shared" si="95"/>
        <v>48.409811198069384</v>
      </c>
      <c r="CW70" s="22">
        <f t="shared" si="67"/>
        <v>422.09119450330417</v>
      </c>
      <c r="CX70" s="62">
        <f t="shared" si="68"/>
        <v>715.42452783663748</v>
      </c>
      <c r="CY70" s="62">
        <f ca="1">AVERAGE(OFFSET($CX$3,0,0,'Données projet'!$E$13+1,1))-AVERAGE(OFFSET($H$3,0,0,'Données projet'!$E$13+1,1))</f>
        <v>268.27008134105046</v>
      </c>
      <c r="CZ70" s="62">
        <f t="shared" si="96"/>
        <v>252.36274686619709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19.979812922477606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19.979812922477606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4.5999999999999996</v>
      </c>
      <c r="DO70" s="13">
        <f>IF('Données projet'!$A$166&gt;35,DO69+DN70-DW69,IF(A70&lt;'Données projet'!$A$166,$DL$205^A70,IF(A70='Données projet'!$A$166,'Données projet'!$B$166,DO69+DN70-DW69)))</f>
        <v>302.19999999999987</v>
      </c>
      <c r="DP70" s="18">
        <f>DO70*VLOOKUP('Données projet'!$B$14,Paramètres!$A$1:$I$89,3,0)*VLOOKUP('Données projet'!$B$14,Paramètres!$A$1:$I$89,5,0)</f>
        <v>240.43031999999991</v>
      </c>
      <c r="DQ70" s="14">
        <f t="shared" si="97"/>
        <v>58.532106271380506</v>
      </c>
      <c r="DR70" s="22">
        <f t="shared" si="70"/>
        <v>520.69289242265415</v>
      </c>
      <c r="DS70" s="62">
        <f t="shared" si="71"/>
        <v>814.02622575598753</v>
      </c>
      <c r="DT70" s="62">
        <f ca="1">AVERAGE(OFFSET($DS$3,0,0,'Données projet'!$E$14+1,1))-AVERAGE(OFFSET($H$3,0,0,'Données projet'!$E$14+1,1))</f>
        <v>279.49721661620544</v>
      </c>
      <c r="DU70" s="62">
        <f t="shared" si="98"/>
        <v>275.18739333988754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21.669967004543718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21.669967004543718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11.8</v>
      </c>
      <c r="EJ70" s="13">
        <f>IF('Données projet'!$A$192&gt;35,EJ69+EI70-ER69,IF(A70&lt;'Données projet'!$A$192,$EG$205^A70,IF(A70='Données projet'!$A$192,'Données projet'!$B$192,EJ69+EI70-ER69)))</f>
        <v>351.59999999999997</v>
      </c>
      <c r="EK70" s="18">
        <f>EJ70*VLOOKUP('Données projet'!$B$15,Paramètres!$A$1:$I$89,3,0)*VLOOKUP('Données projet'!$B$15,Paramètres!$A$1:$I$89,5,0)</f>
        <v>301.6728</v>
      </c>
      <c r="EL70" s="14">
        <f t="shared" si="99"/>
        <v>71.527033039285058</v>
      </c>
      <c r="EM70" s="22">
        <f t="shared" si="73"/>
        <v>649.98970921008811</v>
      </c>
      <c r="EN70" s="62">
        <f t="shared" si="74"/>
        <v>943.32304254342148</v>
      </c>
      <c r="EO70" s="62">
        <f ca="1">AVERAGE(OFFSET($EN$3,0,0,'Données projet'!$E$15+1,1))-AVERAGE(OFFSET($H$3,0,0,'Données projet'!$E$15+1,1))</f>
        <v>394.11074988418096</v>
      </c>
      <c r="EP70" s="62">
        <f t="shared" si="100"/>
        <v>241.85593029696236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31.243904331026936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31.243904331026936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4.5474735088646412E-13</v>
      </c>
      <c r="O71" s="14">
        <f>N71*VLOOKUP('Données projet'!$B$9,Paramètres!$A$1:$I$89,3,0)*VLOOKUP('Données projet'!$B$9,Paramètres!$A$1:$I$89,5,0)</f>
        <v>2.5420376914553347E-13</v>
      </c>
      <c r="P71" s="14">
        <f t="shared" si="87"/>
        <v>3.4258699088369875E-12</v>
      </c>
      <c r="Q71" s="22">
        <f t="shared" si="54"/>
        <v>6.4094616558195571E-12</v>
      </c>
      <c r="R71" s="62">
        <f t="shared" si="55"/>
        <v>293.33333333333974</v>
      </c>
      <c r="S71" s="62">
        <f ca="1">AVERAGE(OFFSET($R$3,0,0,'Données projet'!$E$9+1,1))-AVERAGE(OFFSET($H$3,0,0,'Données projet'!$E$9+1,1))</f>
        <v>539.2446452106276</v>
      </c>
      <c r="T71" s="62">
        <f t="shared" si="88"/>
        <v>596.73830276071465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403.06168917917165</v>
      </c>
      <c r="AA71" s="23">
        <f>EXP(-LN(2)/25)*AA70+(1-EXP(-LN(2)/25))/(LN(2)/25)*Calculateur!V71*Calculateur!X71*VLOOKUP('Données projet'!$B$9,Paramètres!$A$1:$I$89,3,0)*0.475*44/12</f>
        <v>68.049205925299759</v>
      </c>
      <c r="AB71" s="23">
        <f>EXP(-LN(2)/2)*AB70+(1-EXP(-LN(2)/2))/(LN(2)/2)*V71*Y71*VLOOKUP('Données projet'!$B$9,Paramètres!$A$1:$I$89,3,0)*0.475*44/12</f>
        <v>16.737125239183023</v>
      </c>
      <c r="AC71" s="24">
        <f t="shared" si="57"/>
        <v>487.84802034365441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377.00000000000028</v>
      </c>
      <c r="AJ71" s="14">
        <f>AI71*VLOOKUP('Données projet'!$B$10,Paramètres!$A$1:$I$89,3,0)*VLOOKUP('Données projet'!$B$10,Paramètres!$A$1:$I$89,5,0)</f>
        <v>205.84200000000016</v>
      </c>
      <c r="AK71" s="14">
        <f t="shared" si="89"/>
        <v>51.02590322155848</v>
      </c>
      <c r="AL71" s="22">
        <f t="shared" si="58"/>
        <v>447.37826477754794</v>
      </c>
      <c r="AM71" s="62">
        <f t="shared" si="59"/>
        <v>740.71159811088125</v>
      </c>
      <c r="AN71" s="62">
        <f ca="1">AVERAGE(OFFSET($AM$3,0,0,'Données projet'!$E$10+1,1))-AVERAGE(OFFSET($H$3,0,0,'Données projet'!$E$10+1,1))</f>
        <v>262.6671000229498</v>
      </c>
      <c r="AO71" s="62">
        <f t="shared" si="90"/>
        <v>289.30432245776024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40.191557236276388</v>
      </c>
      <c r="AV71" s="23">
        <f>EXP(-LN(2)/25)*AV70+(1-EXP(-LN(2)/25))/(LN(2)/25)*Calculateur!AQ71*Calculateur!AS71*VLOOKUP('Données projet'!$B$10,Paramètres!$A$1:$I$89,3,0)*0.475*44/12</f>
        <v>25.514504962018975</v>
      </c>
      <c r="AW71" s="23">
        <f>EXP(-LN(2)/2)*AW70+(1-EXP(-LN(2)/2))/(LN(2)/2)*AQ71*AT71*VLOOKUP('Données projet'!$B$10,Paramètres!$A$1:$I$89,3,0)*0.475*44/12</f>
        <v>0.74343963167717619</v>
      </c>
      <c r="AX71" s="23">
        <f t="shared" si="60"/>
        <v>66.449501829972547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</v>
      </c>
      <c r="CT71" s="13">
        <f>IF('Données projet'!$A$140&gt;35,CT70+CS71-DB70,IF(A71&lt;'Données projet'!$A$140,$CQ$205^A71,IF(A71='Données projet'!$A$140,'Données projet'!$B$140,CT70+CS71-DB70)))</f>
        <v>227</v>
      </c>
      <c r="CU71" s="18">
        <f>CT71*VLOOKUP('Données projet'!$B$13,Paramètres!$A$1:$I$89,3,0)*VLOOKUP('Données projet'!$B$13,Paramètres!$A$1:$I$89,5,0)</f>
        <v>198.30720000000002</v>
      </c>
      <c r="CV71" s="14">
        <f t="shared" si="95"/>
        <v>49.371957679623371</v>
      </c>
      <c r="CW71" s="22">
        <f t="shared" si="67"/>
        <v>431.37453295867743</v>
      </c>
      <c r="CX71" s="62">
        <f t="shared" si="68"/>
        <v>724.70786629201075</v>
      </c>
      <c r="CY71" s="62">
        <f ca="1">AVERAGE(OFFSET($CX$3,0,0,'Données projet'!$E$13+1,1))-AVERAGE(OFFSET($H$3,0,0,'Données projet'!$E$13+1,1))</f>
        <v>268.27008134105046</v>
      </c>
      <c r="CZ71" s="62">
        <f t="shared" si="96"/>
        <v>252.36274686619709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19.588020977550389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19.588020977550389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4.5999999999999996</v>
      </c>
      <c r="DO71" s="13">
        <f>IF('Données projet'!$A$166&gt;35,DO70+DN71-DW70,IF(A71&lt;'Données projet'!$A$166,$DL$205^A71,IF(A71='Données projet'!$A$166,'Données projet'!$B$166,DO70+DN71-DW70)))</f>
        <v>306.7999999999999</v>
      </c>
      <c r="DP71" s="18">
        <f>DO71*VLOOKUP('Données projet'!$B$14,Paramètres!$A$1:$I$89,3,0)*VLOOKUP('Données projet'!$B$14,Paramètres!$A$1:$I$89,5,0)</f>
        <v>244.09007999999994</v>
      </c>
      <c r="DQ71" s="14">
        <f t="shared" si="97"/>
        <v>59.318663780863893</v>
      </c>
      <c r="DR71" s="22">
        <f t="shared" si="70"/>
        <v>528.43689541833794</v>
      </c>
      <c r="DS71" s="62">
        <f t="shared" si="71"/>
        <v>821.77022875167131</v>
      </c>
      <c r="DT71" s="62">
        <f ca="1">AVERAGE(OFFSET($DS$3,0,0,'Données projet'!$E$14+1,1))-AVERAGE(OFFSET($H$3,0,0,'Données projet'!$E$14+1,1))</f>
        <v>279.49721661620544</v>
      </c>
      <c r="DU71" s="62">
        <f t="shared" si="98"/>
        <v>275.18739333988754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21.24503216895938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21.24503216895938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11.8</v>
      </c>
      <c r="EJ71" s="13">
        <f>IF('Données projet'!$A$192&gt;35,EJ70+EI71-ER70,IF(A71&lt;'Données projet'!$A$192,$EG$205^A71,IF(A71='Données projet'!$A$192,'Données projet'!$B$192,EJ70+EI71-ER70)))</f>
        <v>363.4</v>
      </c>
      <c r="EK71" s="18">
        <f>EJ71*VLOOKUP('Données projet'!$B$15,Paramètres!$A$1:$I$89,3,0)*VLOOKUP('Données projet'!$B$15,Paramètres!$A$1:$I$89,5,0)</f>
        <v>311.79720000000003</v>
      </c>
      <c r="EL71" s="14">
        <f t="shared" si="99"/>
        <v>73.644030695714719</v>
      </c>
      <c r="EM71" s="22">
        <f t="shared" si="73"/>
        <v>671.31014346170321</v>
      </c>
      <c r="EN71" s="62">
        <f t="shared" si="74"/>
        <v>964.64347679503658</v>
      </c>
      <c r="EO71" s="62">
        <f ca="1">AVERAGE(OFFSET($EN$3,0,0,'Données projet'!$E$15+1,1))-AVERAGE(OFFSET($H$3,0,0,'Données projet'!$E$15+1,1))</f>
        <v>394.11074988418096</v>
      </c>
      <c r="EP71" s="62">
        <f t="shared" si="100"/>
        <v>241.85593029696236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30.631230423995426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30.631230423995426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4.5474735088646412E-13</v>
      </c>
      <c r="O72" s="14">
        <f>N72*VLOOKUP('Données projet'!$B$9,Paramètres!$A$1:$I$89,3,0)*VLOOKUP('Données projet'!$B$9,Paramètres!$A$1:$I$89,5,0)</f>
        <v>2.5420376914553347E-13</v>
      </c>
      <c r="P72" s="14">
        <f t="shared" si="87"/>
        <v>3.4258699088369875E-12</v>
      </c>
      <c r="Q72" s="22">
        <f t="shared" si="54"/>
        <v>6.4094616558195571E-12</v>
      </c>
      <c r="R72" s="62">
        <f t="shared" si="55"/>
        <v>293.33333333333974</v>
      </c>
      <c r="S72" s="62">
        <f ca="1">AVERAGE(OFFSET($R$3,0,0,'Données projet'!$E$9+1,1))-AVERAGE(OFFSET($H$3,0,0,'Données projet'!$E$9+1,1))</f>
        <v>539.2446452106276</v>
      </c>
      <c r="T72" s="62">
        <f t="shared" si="88"/>
        <v>596.73830276071465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395.15789529772348</v>
      </c>
      <c r="AA72" s="23">
        <f>EXP(-LN(2)/25)*AA71+(1-EXP(-LN(2)/25))/(LN(2)/25)*Calculateur!V72*Calculateur!X72*VLOOKUP('Données projet'!$B$9,Paramètres!$A$1:$I$89,3,0)*0.475*44/12</f>
        <v>66.188396810720221</v>
      </c>
      <c r="AB72" s="23">
        <f>EXP(-LN(2)/2)*AB71+(1-EXP(-LN(2)/2))/(LN(2)/2)*V72*Y72*VLOOKUP('Données projet'!$B$9,Paramètres!$A$1:$I$89,3,0)*0.475*44/12</f>
        <v>11.834934754194832</v>
      </c>
      <c r="AC72" s="24">
        <f t="shared" si="57"/>
        <v>473.18122686263854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382.00000000000028</v>
      </c>
      <c r="AJ72" s="14">
        <f>AI72*VLOOKUP('Données projet'!$B$10,Paramètres!$A$1:$I$89,3,0)*VLOOKUP('Données projet'!$B$10,Paramètres!$A$1:$I$89,5,0)</f>
        <v>208.57200000000014</v>
      </c>
      <c r="AK72" s="14">
        <f t="shared" si="89"/>
        <v>51.623407958239042</v>
      </c>
      <c r="AL72" s="22">
        <f t="shared" si="58"/>
        <v>453.17366886059989</v>
      </c>
      <c r="AM72" s="62">
        <f t="shared" si="59"/>
        <v>746.5070021939332</v>
      </c>
      <c r="AN72" s="62">
        <f ca="1">AVERAGE(OFFSET($AM$3,0,0,'Données projet'!$E$10+1,1))-AVERAGE(OFFSET($H$3,0,0,'Données projet'!$E$10+1,1))</f>
        <v>262.6671000229498</v>
      </c>
      <c r="AO72" s="62">
        <f t="shared" si="90"/>
        <v>289.30432245776024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39.403425313302321</v>
      </c>
      <c r="AV72" s="23">
        <f>EXP(-LN(2)/25)*AV71+(1-EXP(-LN(2)/25))/(LN(2)/25)*Calculateur!AQ72*Calculateur!AS72*VLOOKUP('Données projet'!$B$10,Paramètres!$A$1:$I$89,3,0)*0.475*44/12</f>
        <v>24.816809482083066</v>
      </c>
      <c r="AW72" s="23">
        <f>EXP(-LN(2)/2)*AW71+(1-EXP(-LN(2)/2))/(LN(2)/2)*AQ72*AT72*VLOOKUP('Données projet'!$B$10,Paramètres!$A$1:$I$89,3,0)*0.475*44/12</f>
        <v>0.52569120496176058</v>
      </c>
      <c r="AX72" s="23">
        <f t="shared" si="60"/>
        <v>64.74592600034714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</v>
      </c>
      <c r="CT72" s="13">
        <f>IF('Données projet'!$A$140&gt;35,CT71+CS72-DB71,IF(A72&lt;'Données projet'!$A$140,$CQ$205^A72,IF(A72='Données projet'!$A$140,'Données projet'!$B$140,CT71+CS72-DB71)))</f>
        <v>232</v>
      </c>
      <c r="CU72" s="18">
        <f>CT72*VLOOKUP('Données projet'!$B$13,Paramètres!$A$1:$I$89,3,0)*VLOOKUP('Données projet'!$B$13,Paramètres!$A$1:$I$89,5,0)</f>
        <v>202.67520000000002</v>
      </c>
      <c r="CV72" s="14">
        <f t="shared" si="95"/>
        <v>50.331640285313689</v>
      </c>
      <c r="CW72" s="22">
        <f t="shared" si="67"/>
        <v>440.653580163588</v>
      </c>
      <c r="CX72" s="62">
        <f t="shared" si="68"/>
        <v>733.98691349692126</v>
      </c>
      <c r="CY72" s="62">
        <f ca="1">AVERAGE(OFFSET($CX$3,0,0,'Données projet'!$E$13+1,1))-AVERAGE(OFFSET($H$3,0,0,'Données projet'!$E$13+1,1))</f>
        <v>268.27008134105046</v>
      </c>
      <c r="CZ72" s="62">
        <f t="shared" si="96"/>
        <v>252.36274686619709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19.203911833693702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19.203911833693702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4.5999999999999996</v>
      </c>
      <c r="DO72" s="13">
        <f>IF('Données projet'!$A$166&gt;35,DO71+DN72-DW71,IF(A72&lt;'Données projet'!$A$166,$DL$205^A72,IF(A72='Données projet'!$A$166,'Données projet'!$B$166,DO71+DN72-DW71)))</f>
        <v>311.39999999999992</v>
      </c>
      <c r="DP72" s="18">
        <f>DO72*VLOOKUP('Données projet'!$B$14,Paramètres!$A$1:$I$89,3,0)*VLOOKUP('Données projet'!$B$14,Paramètres!$A$1:$I$89,5,0)</f>
        <v>247.74983999999995</v>
      </c>
      <c r="DQ72" s="14">
        <f t="shared" si="97"/>
        <v>60.103849700617872</v>
      </c>
      <c r="DR72" s="22">
        <f t="shared" si="70"/>
        <v>536.17850956190932</v>
      </c>
      <c r="DS72" s="62">
        <f t="shared" si="71"/>
        <v>829.51184289524258</v>
      </c>
      <c r="DT72" s="62">
        <f ca="1">AVERAGE(OFFSET($DS$3,0,0,'Données projet'!$E$14+1,1))-AVERAGE(OFFSET($H$3,0,0,'Données projet'!$E$14+1,1))</f>
        <v>279.49721661620544</v>
      </c>
      <c r="DU72" s="62">
        <f t="shared" si="98"/>
        <v>275.18739333988754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20.828430046316196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20.828430046316196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11.8</v>
      </c>
      <c r="EJ72" s="13">
        <f>IF('Données projet'!$A$192&gt;35,EJ71+EI72-ER71,IF(A72&lt;'Données projet'!$A$192,$EG$205^A72,IF(A72='Données projet'!$A$192,'Données projet'!$B$192,EJ71+EI72-ER71)))</f>
        <v>375.2</v>
      </c>
      <c r="EK72" s="18">
        <f>EJ72*VLOOKUP('Données projet'!$B$15,Paramètres!$A$1:$I$89,3,0)*VLOOKUP('Données projet'!$B$15,Paramètres!$A$1:$I$89,5,0)</f>
        <v>321.92160000000001</v>
      </c>
      <c r="EL72" s="14">
        <f t="shared" si="99"/>
        <v>75.753040489321577</v>
      </c>
      <c r="EM72" s="22">
        <f t="shared" si="73"/>
        <v>692.61666551890175</v>
      </c>
      <c r="EN72" s="62">
        <f t="shared" si="74"/>
        <v>985.94999885223501</v>
      </c>
      <c r="EO72" s="62">
        <f ca="1">AVERAGE(OFFSET($EN$3,0,0,'Données projet'!$E$15+1,1))-AVERAGE(OFFSET($H$3,0,0,'Données projet'!$E$15+1,1))</f>
        <v>394.11074988418096</v>
      </c>
      <c r="EP72" s="62">
        <f t="shared" si="100"/>
        <v>241.85593029696236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30.030570678586621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30.030570678586621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4.5474735088646412E-13</v>
      </c>
      <c r="O73" s="14">
        <f>N73*VLOOKUP('Données projet'!$B$9,Paramètres!$A$1:$I$89,3,0)*VLOOKUP('Données projet'!$B$9,Paramètres!$A$1:$I$89,5,0)</f>
        <v>2.5420376914553347E-13</v>
      </c>
      <c r="P73" s="14">
        <f t="shared" si="87"/>
        <v>3.4258699088369875E-12</v>
      </c>
      <c r="Q73" s="22">
        <f t="shared" si="54"/>
        <v>6.4094616558195571E-12</v>
      </c>
      <c r="R73" s="62">
        <f t="shared" si="55"/>
        <v>293.33333333333974</v>
      </c>
      <c r="S73" s="62">
        <f ca="1">AVERAGE(OFFSET($R$3,0,0,'Données projet'!$E$9+1,1))-AVERAGE(OFFSET($H$3,0,0,'Données projet'!$E$9+1,1))</f>
        <v>539.2446452106276</v>
      </c>
      <c r="T73" s="62">
        <f t="shared" si="88"/>
        <v>596.73830276071465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387.40908999345226</v>
      </c>
      <c r="AA73" s="23">
        <f>EXP(-LN(2)/25)*AA72+(1-EXP(-LN(2)/25))/(LN(2)/25)*Calculateur!V73*Calculateur!X73*VLOOKUP('Données projet'!$B$9,Paramètres!$A$1:$I$89,3,0)*0.475*44/12</f>
        <v>64.37847161923456</v>
      </c>
      <c r="AB73" s="23">
        <f>EXP(-LN(2)/2)*AB72+(1-EXP(-LN(2)/2))/(LN(2)/2)*V73*Y73*VLOOKUP('Données projet'!$B$9,Paramètres!$A$1:$I$89,3,0)*0.475*44/12</f>
        <v>8.3685626195915113</v>
      </c>
      <c r="AC73" s="24">
        <f t="shared" si="57"/>
        <v>460.15612423227833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387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387.00000000000028</v>
      </c>
      <c r="AJ73" s="14">
        <f>AI73*VLOOKUP('Données projet'!$B$10,Paramètres!$A$1:$I$89,3,0)*VLOOKUP('Données projet'!$B$10,Paramètres!$A$1:$I$89,5,0)</f>
        <v>211.30200000000013</v>
      </c>
      <c r="AK73" s="14">
        <f t="shared" si="89"/>
        <v>52.220003026134179</v>
      </c>
      <c r="AL73" s="22">
        <f t="shared" si="58"/>
        <v>458.96748860385054</v>
      </c>
      <c r="AM73" s="62">
        <f t="shared" si="59"/>
        <v>752.30082193718385</v>
      </c>
      <c r="AN73" s="62">
        <f ca="1">AVERAGE(OFFSET($AM$3,0,0,'Données projet'!$E$10+1,1))-AVERAGE(OFFSET($H$3,0,0,'Données projet'!$E$10+1,1))</f>
        <v>262.6671000229498</v>
      </c>
      <c r="AO73" s="62">
        <f t="shared" si="90"/>
        <v>289.30432245776024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16</v>
      </c>
      <c r="AR73" s="17">
        <f>IF(ISNA(VLOOKUP(A73,'Données projet'!$A$61:$I$81,5,0)),0%,VLOOKUP(A73,'Données projet'!$A$61:$I$81,5,0)*VLOOKUP('Données projet'!$B$10,Paramètres!$A$1:$I$89,7,0))</f>
        <v>0.42</v>
      </c>
      <c r="AS73" s="17">
        <f>IF(ISNA(VLOOKUP(A73,'Données projet'!$A$61:$I$81,6,0)),0%,VLOOKUP(A73,'Données projet'!$A$61:$I$81,6,0)*VLOOKUP('Données projet'!$B$10,Paramètres!$A$1:$I$89,7,0))</f>
        <v>0.10200000000000001</v>
      </c>
      <c r="AT73" s="17">
        <f>IF(ISNA(VLOOKUP(A73,'Données projet'!$A$61:$I$81,7,0)),0%,VLOOKUP(A73,'Données projet'!$A$61:$I$81,7,0))</f>
        <v>0.13</v>
      </c>
      <c r="AU73" s="23">
        <f>EXP(-LN(2)/35)*AU72+(1-EXP(-LN(2)/35))/(LN(2)/35)*AQ73*AR73*VLOOKUP('Données projet'!$B$10,Paramètres!$A$1:$I$89,3,0)*0.475*44/12</f>
        <v>43.498072351367099</v>
      </c>
      <c r="AV73" s="23">
        <f>EXP(-LN(2)/25)*AV72+(1-EXP(-LN(2)/25))/(LN(2)/25)*Calculateur!AQ73*Calculateur!AS73*VLOOKUP('Données projet'!$B$10,Paramètres!$A$1:$I$89,3,0)*0.475*44/12</f>
        <v>25.315602726061897</v>
      </c>
      <c r="AW73" s="23">
        <f>EXP(-LN(2)/2)*AW72+(1-EXP(-LN(2)/2))/(LN(2)/2)*AQ73*AT73*VLOOKUP('Données projet'!$B$10,Paramètres!$A$1:$I$89,3,0)*0.475*44/12</f>
        <v>1.657573391493445</v>
      </c>
      <c r="AX73" s="23">
        <f t="shared" si="60"/>
        <v>70.47124846892244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237</v>
      </c>
      <c r="CR73" s="13">
        <f>VLOOKUP(A73,'Données projet'!$A$139:$I$159,9,0)</f>
        <v>5</v>
      </c>
      <c r="CS73" s="13">
        <f t="array" ref="CS73">INDEX(CR:CR,MIN(IF(ISNUMBER(CR73:CR269),ROW(CR73:CR269),"")))</f>
        <v>5</v>
      </c>
      <c r="CT73" s="13">
        <f>IF('Données projet'!$A$140&gt;35,CT72+CS73-DB72,IF(A73&lt;'Données projet'!$A$140,$CQ$205^A73,IF(A73='Données projet'!$A$140,'Données projet'!$B$140,CT72+CS73-DB72)))</f>
        <v>237</v>
      </c>
      <c r="CU73" s="18">
        <f>CT73*VLOOKUP('Données projet'!$B$13,Paramètres!$A$1:$I$89,3,0)*VLOOKUP('Données projet'!$B$13,Paramètres!$A$1:$I$89,5,0)</f>
        <v>207.04320000000001</v>
      </c>
      <c r="CV73" s="14">
        <f t="shared" si="95"/>
        <v>51.288918231806321</v>
      </c>
      <c r="CW73" s="22">
        <f t="shared" si="67"/>
        <v>449.92843925372944</v>
      </c>
      <c r="CX73" s="62">
        <f t="shared" si="68"/>
        <v>743.26177258706275</v>
      </c>
      <c r="CY73" s="62">
        <f ca="1">AVERAGE(OFFSET($CX$3,0,0,'Données projet'!$E$13+1,1))-AVERAGE(OFFSET($H$3,0,0,'Données projet'!$E$13+1,1))</f>
        <v>268.27008134105046</v>
      </c>
      <c r="CZ73" s="62">
        <f t="shared" si="96"/>
        <v>252.36274686619709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18</v>
      </c>
      <c r="DC73" s="17">
        <f>IF(ISNA(VLOOKUP(A73,'Données projet'!$A$139:$I$159,5,0)),0%,VLOOKUP(A73,'Données projet'!$A$139:$I$159,5,0)*VLOOKUP('Données projet'!$B$13,Paramètres!$A$1:$I$89,7,0))</f>
        <v>0.25800000000000001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23.312226396877172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23.312226396877172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316</v>
      </c>
      <c r="DM73" s="13">
        <f>VLOOKUP(A73,'Données projet'!$A$165:$I$185,9,0)</f>
        <v>4.5999999999999996</v>
      </c>
      <c r="DN73" s="13">
        <f t="array" ref="DN73">INDEX(DM:DM,MIN(IF(ISNUMBER(DM73:DM269),ROW(DM73:DM269),"")))</f>
        <v>4.5999999999999996</v>
      </c>
      <c r="DO73" s="13">
        <f>IF('Données projet'!$A$166&gt;35,DO72+DN73-DW72,IF(A73&lt;'Données projet'!$A$166,$DL$205^A73,IF(A73='Données projet'!$A$166,'Données projet'!$B$166,DO72+DN73-DW72)))</f>
        <v>315.99999999999994</v>
      </c>
      <c r="DP73" s="18">
        <f>DO73*VLOOKUP('Données projet'!$B$14,Paramètres!$A$1:$I$89,3,0)*VLOOKUP('Données projet'!$B$14,Paramètres!$A$1:$I$89,5,0)</f>
        <v>251.40959999999995</v>
      </c>
      <c r="DQ73" s="14">
        <f t="shared" si="97"/>
        <v>60.887686632376123</v>
      </c>
      <c r="DR73" s="22">
        <f t="shared" si="70"/>
        <v>543.917774218055</v>
      </c>
      <c r="DS73" s="62">
        <f t="shared" si="71"/>
        <v>837.25110755138826</v>
      </c>
      <c r="DT73" s="62">
        <f ca="1">AVERAGE(OFFSET($DS$3,0,0,'Données projet'!$E$14+1,1))-AVERAGE(OFFSET($H$3,0,0,'Données projet'!$E$14+1,1))</f>
        <v>279.49721661620544</v>
      </c>
      <c r="DU73" s="62">
        <f t="shared" si="98"/>
        <v>275.18739333988754</v>
      </c>
      <c r="DV73" s="16">
        <f>IF(ISNA(VLOOKUP(A73,'Données projet'!$A$165:$I$185,3,0)),0,VLOOKUP(A73,'Données projet'!$A$165:$I$185,3,0))</f>
        <v>13</v>
      </c>
      <c r="DW73" s="16">
        <f>IF(ISNA(VLOOKUP(A73,'Données projet'!$A$165:$I$185,4,0)),0,VLOOKUP(A73,'Données projet'!$A$165:$I$185,4,0))</f>
        <v>13</v>
      </c>
      <c r="DX73" s="17">
        <f>IF(ISNA(VLOOKUP(A73,'Données projet'!$A$165:$I$185,5,0)),0%,VLOOKUP(A73,'Données projet'!$A$165:$I$185,5,0)*VLOOKUP('Données projet'!$B$14,Paramètres!$A$1:$I$89,7,0))</f>
        <v>0.371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24.661884741567633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24.661884741567633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387</v>
      </c>
      <c r="EH73" s="13">
        <f>VLOOKUP(A73,'Données projet'!$A$191:$I$211,9,0)</f>
        <v>11.8</v>
      </c>
      <c r="EI73" s="13">
        <f t="array" ref="EI73">INDEX(EH:EH,MIN(IF(ISNUMBER(EH73:EH269),ROW(EH73:EH269),"")))</f>
        <v>11.8</v>
      </c>
      <c r="EJ73" s="13">
        <f>IF('Données projet'!$A$192&gt;35,EJ72+EI73-ER72,IF(A73&lt;'Données projet'!$A$192,$EG$205^A73,IF(A73='Données projet'!$A$192,'Données projet'!$B$192,EJ72+EI73-ER72)))</f>
        <v>387</v>
      </c>
      <c r="EK73" s="18">
        <f>EJ73*VLOOKUP('Données projet'!$B$15,Paramètres!$A$1:$I$89,3,0)*VLOOKUP('Données projet'!$B$15,Paramètres!$A$1:$I$89,5,0)</f>
        <v>332.04600000000005</v>
      </c>
      <c r="EL73" s="14">
        <f t="shared" si="99"/>
        <v>77.854342460208699</v>
      </c>
      <c r="EM73" s="22">
        <f t="shared" si="73"/>
        <v>713.90976311819679</v>
      </c>
      <c r="EN73" s="62">
        <f t="shared" si="74"/>
        <v>1007.2430964515302</v>
      </c>
      <c r="EO73" s="62">
        <f ca="1">AVERAGE(OFFSET($EN$3,0,0,'Données projet'!$E$15+1,1))-AVERAGE(OFFSET($H$3,0,0,'Données projet'!$E$15+1,1))</f>
        <v>394.11074988418096</v>
      </c>
      <c r="EP73" s="62">
        <f t="shared" si="100"/>
        <v>241.85593029696236</v>
      </c>
      <c r="EQ73" s="16">
        <f>IF(ISNA(VLOOKUP(A73,'Données projet'!$A$191:$I$211,3,0)),0,VLOOKUP(A73,'Données projet'!$A$191:$I$211,3,0))</f>
        <v>11</v>
      </c>
      <c r="ER73" s="16">
        <f>IF(ISNA(VLOOKUP(A73,'Données projet'!$A$191:$I$211,4,0)),0,VLOOKUP(A73,'Données projet'!$A$191:$I$211,4,0))</f>
        <v>35</v>
      </c>
      <c r="ES73" s="17">
        <f>IF(ISNA(VLOOKUP(A73,'Données projet'!$A$191:$I$211,5,0)),0%,VLOOKUP(A73,'Données projet'!$A$191:$I$211,5,0)*VLOOKUP('Données projet'!$B$15,Paramètres!$A$1:$I$89,7,0))</f>
        <v>0.26500000000000001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38.238967511223258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38.238967511223258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4.5474735088646412E-13</v>
      </c>
      <c r="O74" s="14">
        <f>N74*VLOOKUP('Données projet'!$B$9,Paramètres!$A$1:$I$89,3,0)*VLOOKUP('Données projet'!$B$9,Paramètres!$A$1:$I$89,5,0)</f>
        <v>2.5420376914553347E-13</v>
      </c>
      <c r="P74" s="14">
        <f t="shared" si="87"/>
        <v>3.4258699088369875E-12</v>
      </c>
      <c r="Q74" s="22">
        <f t="shared" si="54"/>
        <v>6.4094616558195571E-12</v>
      </c>
      <c r="R74" s="62">
        <f t="shared" si="55"/>
        <v>293.33333333333974</v>
      </c>
      <c r="S74" s="62">
        <f ca="1">AVERAGE(OFFSET($R$3,0,0,'Données projet'!$E$9+1,1))-AVERAGE(OFFSET($H$3,0,0,'Données projet'!$E$9+1,1))</f>
        <v>539.2446452106276</v>
      </c>
      <c r="T74" s="62">
        <f t="shared" si="88"/>
        <v>596.73830276071465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379.81223403489327</v>
      </c>
      <c r="AA74" s="23">
        <f>EXP(-LN(2)/25)*AA73+(1-EXP(-LN(2)/25))/(LN(2)/25)*Calculateur!V74*Calculateur!X74*VLOOKUP('Données projet'!$B$9,Paramètres!$A$1:$I$89,3,0)*0.475*44/12</f>
        <v>62.618038927289909</v>
      </c>
      <c r="AB74" s="23">
        <f>EXP(-LN(2)/2)*AB73+(1-EXP(-LN(2)/2))/(LN(2)/2)*V74*Y74*VLOOKUP('Données projet'!$B$9,Paramètres!$A$1:$I$89,3,0)*0.475*44/12</f>
        <v>5.9174673770974158</v>
      </c>
      <c r="AC74" s="24">
        <f t="shared" si="57"/>
        <v>448.34774033928056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4.4000000000000004</v>
      </c>
      <c r="AI74" s="14">
        <f>IF('Données projet'!$A$62&gt;35,AI73+AH74-AQ73,IF(A74&lt;'Données projet'!$A$62,$AF$205^A74,IF(A74='Données projet'!$A$62,'Données projet'!$B$62,AI73+AH74-AQ73)))</f>
        <v>375.40000000000026</v>
      </c>
      <c r="AJ74" s="14">
        <f>AI74*VLOOKUP('Données projet'!$B$10,Paramètres!$A$1:$I$89,3,0)*VLOOKUP('Données projet'!$B$10,Paramètres!$A$1:$I$89,5,0)</f>
        <v>204.96840000000012</v>
      </c>
      <c r="AK74" s="14">
        <f t="shared" si="89"/>
        <v>50.834507392607108</v>
      </c>
      <c r="AL74" s="22">
        <f t="shared" si="58"/>
        <v>445.52339704212415</v>
      </c>
      <c r="AM74" s="62">
        <f t="shared" si="59"/>
        <v>738.85673037545746</v>
      </c>
      <c r="AN74" s="62">
        <f ca="1">AVERAGE(OFFSET($AM$3,0,0,'Données projet'!$E$10+1,1))-AVERAGE(OFFSET($H$3,0,0,'Données projet'!$E$10+1,1))</f>
        <v>262.6671000229498</v>
      </c>
      <c r="AO74" s="62">
        <f t="shared" si="90"/>
        <v>289.30432245776024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42.645101683761183</v>
      </c>
      <c r="AV74" s="23">
        <f>EXP(-LN(2)/25)*AV73+(1-EXP(-LN(2)/25))/(LN(2)/25)*Calculateur!AQ74*Calculateur!AS74*VLOOKUP('Données projet'!$B$10,Paramètres!$A$1:$I$89,3,0)*0.475*44/12</f>
        <v>24.623346238228045</v>
      </c>
      <c r="AW74" s="23">
        <f>EXP(-LN(2)/2)*AW73+(1-EXP(-LN(2)/2))/(LN(2)/2)*AQ74*AT74*VLOOKUP('Données projet'!$B$10,Paramètres!$A$1:$I$89,3,0)*0.475*44/12</f>
        <v>1.172081385439399</v>
      </c>
      <c r="AX74" s="23">
        <f t="shared" si="60"/>
        <v>68.440529307428633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4.4000000000000004</v>
      </c>
      <c r="CT74" s="13">
        <f>IF('Données projet'!$A$140&gt;35,CT73+CS74-DB73,IF(A74&lt;'Données projet'!$A$140,$CQ$205^A74,IF(A74='Données projet'!$A$140,'Données projet'!$B$140,CT73+CS74-DB73)))</f>
        <v>223.4</v>
      </c>
      <c r="CU74" s="18">
        <f>CT74*VLOOKUP('Données projet'!$B$13,Paramètres!$A$1:$I$89,3,0)*VLOOKUP('Données projet'!$B$13,Paramètres!$A$1:$I$89,5,0)</f>
        <v>195.16224000000003</v>
      </c>
      <c r="CV74" s="14">
        <f t="shared" si="95"/>
        <v>48.67946410296608</v>
      </c>
      <c r="CW74" s="22">
        <f t="shared" si="67"/>
        <v>424.69096797933258</v>
      </c>
      <c r="CX74" s="62">
        <f t="shared" si="68"/>
        <v>718.0243013126659</v>
      </c>
      <c r="CY74" s="62">
        <f ca="1">AVERAGE(OFFSET($CX$3,0,0,'Données projet'!$E$13+1,1))-AVERAGE(OFFSET($H$3,0,0,'Données projet'!$E$13+1,1))</f>
        <v>268.27008134105046</v>
      </c>
      <c r="CZ74" s="62">
        <f t="shared" si="96"/>
        <v>252.36274686619709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22.855087856288499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22.855087856288499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4.2</v>
      </c>
      <c r="DO74" s="13">
        <f>IF('Données projet'!$A$166&gt;35,DO73+DN74-DW73,IF(A74&lt;'Données projet'!$A$166,$DL$205^A74,IF(A74='Données projet'!$A$166,'Données projet'!$B$166,DO73+DN74-DW73)))</f>
        <v>307.19999999999993</v>
      </c>
      <c r="DP74" s="18">
        <f>DO74*VLOOKUP('Données projet'!$B$14,Paramètres!$A$1:$I$89,3,0)*VLOOKUP('Données projet'!$B$14,Paramètres!$A$1:$I$89,5,0)</f>
        <v>244.40831999999995</v>
      </c>
      <c r="DQ74" s="14">
        <f t="shared" si="97"/>
        <v>59.38699493610541</v>
      </c>
      <c r="DR74" s="22">
        <f t="shared" si="70"/>
        <v>529.11017351371675</v>
      </c>
      <c r="DS74" s="62">
        <f t="shared" si="71"/>
        <v>822.44350684705</v>
      </c>
      <c r="DT74" s="62">
        <f ca="1">AVERAGE(OFFSET($DS$3,0,0,'Données projet'!$E$14+1,1))-AVERAGE(OFFSET($H$3,0,0,'Données projet'!$E$14+1,1))</f>
        <v>279.49721661620544</v>
      </c>
      <c r="DU74" s="62">
        <f t="shared" si="98"/>
        <v>275.18739333988754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24.178280224049885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24.178280224049885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11</v>
      </c>
      <c r="EJ74" s="13">
        <f>IF('Données projet'!$A$192&gt;35,EJ73+EI74-ER73,IF(A74&lt;'Données projet'!$A$192,$EG$205^A74,IF(A74='Données projet'!$A$192,'Données projet'!$B$192,EJ73+EI74-ER73)))</f>
        <v>363</v>
      </c>
      <c r="EK74" s="18">
        <f>EJ74*VLOOKUP('Données projet'!$B$15,Paramètres!$A$1:$I$89,3,0)*VLOOKUP('Données projet'!$B$15,Paramètres!$A$1:$I$89,5,0)</f>
        <v>311.45400000000001</v>
      </c>
      <c r="EL74" s="14">
        <f t="shared" si="99"/>
        <v>73.572400496659426</v>
      </c>
      <c r="EM74" s="22">
        <f t="shared" si="73"/>
        <v>670.58764753168191</v>
      </c>
      <c r="EN74" s="62">
        <f t="shared" si="74"/>
        <v>963.92098086501528</v>
      </c>
      <c r="EO74" s="62">
        <f ca="1">AVERAGE(OFFSET($EN$3,0,0,'Données projet'!$E$15+1,1))-AVERAGE(OFFSET($H$3,0,0,'Données projet'!$E$15+1,1))</f>
        <v>394.11074988418096</v>
      </c>
      <c r="EP74" s="62">
        <f t="shared" si="100"/>
        <v>241.85593029696236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37.489124681795353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37.489124681795353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4.5474735088646412E-13</v>
      </c>
      <c r="O75" s="14">
        <f>N75*VLOOKUP('Données projet'!$B$9,Paramètres!$A$1:$I$89,3,0)*VLOOKUP('Données projet'!$B$9,Paramètres!$A$1:$I$89,5,0)</f>
        <v>2.5420376914553347E-13</v>
      </c>
      <c r="P75" s="14">
        <f t="shared" si="87"/>
        <v>3.4258699088369875E-12</v>
      </c>
      <c r="Q75" s="22">
        <f t="shared" si="54"/>
        <v>6.4094616558195571E-12</v>
      </c>
      <c r="R75" s="62">
        <f t="shared" si="55"/>
        <v>293.33333333333974</v>
      </c>
      <c r="S75" s="62">
        <f ca="1">AVERAGE(OFFSET($R$3,0,0,'Données projet'!$E$9+1,1))-AVERAGE(OFFSET($H$3,0,0,'Données projet'!$E$9+1,1))</f>
        <v>539.2446452106276</v>
      </c>
      <c r="T75" s="62">
        <f t="shared" si="88"/>
        <v>596.73830276071465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372.36434778805699</v>
      </c>
      <c r="AA75" s="23">
        <f>EXP(-LN(2)/25)*AA74+(1-EXP(-LN(2)/25))/(LN(2)/25)*Calculateur!V75*Calculateur!X75*VLOOKUP('Données projet'!$B$9,Paramètres!$A$1:$I$89,3,0)*0.475*44/12</f>
        <v>60.905745359883618</v>
      </c>
      <c r="AB75" s="23">
        <f>EXP(-LN(2)/2)*AB74+(1-EXP(-LN(2)/2))/(LN(2)/2)*V75*Y75*VLOOKUP('Données projet'!$B$9,Paramètres!$A$1:$I$89,3,0)*0.475*44/12</f>
        <v>4.1842813097957556</v>
      </c>
      <c r="AC75" s="24">
        <f t="shared" si="57"/>
        <v>437.45437445773638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4.4000000000000004</v>
      </c>
      <c r="AI75" s="14">
        <f>IF('Données projet'!$A$62&gt;35,AI74+AH75-AQ74,IF(A75&lt;'Données projet'!$A$62,$AF$205^A75,IF(A75='Données projet'!$A$62,'Données projet'!$B$62,AI74+AH75-AQ74)))</f>
        <v>379.80000000000024</v>
      </c>
      <c r="AJ75" s="14">
        <f>AI75*VLOOKUP('Données projet'!$B$10,Paramètres!$A$1:$I$89,3,0)*VLOOKUP('Données projet'!$B$10,Paramètres!$A$1:$I$89,5,0)</f>
        <v>207.37080000000014</v>
      </c>
      <c r="AK75" s="14">
        <f t="shared" si="89"/>
        <v>51.360618733786772</v>
      </c>
      <c r="AL75" s="22">
        <f t="shared" si="58"/>
        <v>450.62388762801226</v>
      </c>
      <c r="AM75" s="62">
        <f t="shared" si="59"/>
        <v>743.95722096134557</v>
      </c>
      <c r="AN75" s="62">
        <f ca="1">AVERAGE(OFFSET($AM$3,0,0,'Données projet'!$E$10+1,1))-AVERAGE(OFFSET($H$3,0,0,'Données projet'!$E$10+1,1))</f>
        <v>262.6671000229498</v>
      </c>
      <c r="AO75" s="62">
        <f t="shared" si="90"/>
        <v>289.30432245776024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41.808857250686287</v>
      </c>
      <c r="AV75" s="23">
        <f>EXP(-LN(2)/25)*AV74+(1-EXP(-LN(2)/25))/(LN(2)/25)*Calculateur!AQ75*Calculateur!AS75*VLOOKUP('Données projet'!$B$10,Paramètres!$A$1:$I$89,3,0)*0.475*44/12</f>
        <v>23.950019540458197</v>
      </c>
      <c r="AW75" s="23">
        <f>EXP(-LN(2)/2)*AW74+(1-EXP(-LN(2)/2))/(LN(2)/2)*AQ75*AT75*VLOOKUP('Données projet'!$B$10,Paramètres!$A$1:$I$89,3,0)*0.475*44/12</f>
        <v>0.82878669574672259</v>
      </c>
      <c r="AX75" s="23">
        <f t="shared" si="60"/>
        <v>66.587663486891216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4.4000000000000004</v>
      </c>
      <c r="CT75" s="13">
        <f>IF('Données projet'!$A$140&gt;35,CT74+CS75-DB74,IF(A75&lt;'Données projet'!$A$140,$CQ$205^A75,IF(A75='Données projet'!$A$140,'Données projet'!$B$140,CT74+CS75-DB74)))</f>
        <v>227.8</v>
      </c>
      <c r="CU75" s="18">
        <f>CT75*VLOOKUP('Données projet'!$B$13,Paramètres!$A$1:$I$89,3,0)*VLOOKUP('Données projet'!$B$13,Paramètres!$A$1:$I$89,5,0)</f>
        <v>199.00608000000003</v>
      </c>
      <c r="CV75" s="14">
        <f t="shared" si="95"/>
        <v>49.525670897515027</v>
      </c>
      <c r="CW75" s="22">
        <f t="shared" si="67"/>
        <v>432.85946614650538</v>
      </c>
      <c r="CX75" s="62">
        <f t="shared" si="68"/>
        <v>726.19279947983864</v>
      </c>
      <c r="CY75" s="62">
        <f ca="1">AVERAGE(OFFSET($CX$3,0,0,'Données projet'!$E$13+1,1))-AVERAGE(OFFSET($H$3,0,0,'Données projet'!$E$13+1,1))</f>
        <v>268.27008134105046</v>
      </c>
      <c r="CZ75" s="62">
        <f t="shared" si="96"/>
        <v>252.36274686619709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22.406913523653792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22.406913523653792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4.2</v>
      </c>
      <c r="DO75" s="13">
        <f>IF('Données projet'!$A$166&gt;35,DO74+DN75-DW74,IF(A75&lt;'Données projet'!$A$166,$DL$205^A75,IF(A75='Données projet'!$A$166,'Données projet'!$B$166,DO74+DN75-DW74)))</f>
        <v>311.39999999999992</v>
      </c>
      <c r="DP75" s="18">
        <f>DO75*VLOOKUP('Données projet'!$B$14,Paramètres!$A$1:$I$89,3,0)*VLOOKUP('Données projet'!$B$14,Paramètres!$A$1:$I$89,5,0)</f>
        <v>247.74983999999995</v>
      </c>
      <c r="DQ75" s="14">
        <f t="shared" si="97"/>
        <v>60.103849700617872</v>
      </c>
      <c r="DR75" s="22">
        <f t="shared" si="70"/>
        <v>536.17850956190932</v>
      </c>
      <c r="DS75" s="62">
        <f t="shared" si="71"/>
        <v>829.51184289524258</v>
      </c>
      <c r="DT75" s="62">
        <f ca="1">AVERAGE(OFFSET($DS$3,0,0,'Données projet'!$E$14+1,1))-AVERAGE(OFFSET($H$3,0,0,'Données projet'!$E$14+1,1))</f>
        <v>279.49721661620544</v>
      </c>
      <c r="DU75" s="62">
        <f t="shared" si="98"/>
        <v>275.18739333988754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23.704158896151029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23.704158896151029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11</v>
      </c>
      <c r="EJ75" s="13">
        <f>IF('Données projet'!$A$192&gt;35,EJ74+EI75-ER74,IF(A75&lt;'Données projet'!$A$192,$EG$205^A75,IF(A75='Données projet'!$A$192,'Données projet'!$B$192,EJ74+EI75-ER74)))</f>
        <v>374</v>
      </c>
      <c r="EK75" s="18">
        <f>EJ75*VLOOKUP('Données projet'!$B$15,Paramètres!$A$1:$I$89,3,0)*VLOOKUP('Données projet'!$B$15,Paramètres!$A$1:$I$89,5,0)</f>
        <v>320.89200000000005</v>
      </c>
      <c r="EL75" s="14">
        <f t="shared" si="99"/>
        <v>75.538921531436799</v>
      </c>
      <c r="EM75" s="22">
        <f t="shared" si="73"/>
        <v>690.45052166725247</v>
      </c>
      <c r="EN75" s="62">
        <f t="shared" si="74"/>
        <v>983.78385500058585</v>
      </c>
      <c r="EO75" s="62">
        <f ca="1">AVERAGE(OFFSET($EN$3,0,0,'Données projet'!$E$15+1,1))-AVERAGE(OFFSET($H$3,0,0,'Données projet'!$E$15+1,1))</f>
        <v>394.11074988418096</v>
      </c>
      <c r="EP75" s="62">
        <f t="shared" si="100"/>
        <v>241.85593029696236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36.753985812893561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36.753985812893561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4.5474735088646412E-13</v>
      </c>
      <c r="O76" s="14">
        <f>N76*VLOOKUP('Données projet'!$B$9,Paramètres!$A$1:$I$89,3,0)*VLOOKUP('Données projet'!$B$9,Paramètres!$A$1:$I$89,5,0)</f>
        <v>2.5420376914553347E-13</v>
      </c>
      <c r="P76" s="14">
        <f t="shared" si="87"/>
        <v>3.4258699088369875E-12</v>
      </c>
      <c r="Q76" s="22">
        <f t="shared" si="54"/>
        <v>6.4094616558195571E-12</v>
      </c>
      <c r="R76" s="62">
        <f t="shared" si="55"/>
        <v>293.33333333333974</v>
      </c>
      <c r="S76" s="62">
        <f ca="1">AVERAGE(OFFSET($R$3,0,0,'Données projet'!$E$9+1,1))-AVERAGE(OFFSET($H$3,0,0,'Données projet'!$E$9+1,1))</f>
        <v>539.2446452106276</v>
      </c>
      <c r="T76" s="62">
        <f t="shared" si="88"/>
        <v>596.73830276071465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365.06251004775913</v>
      </c>
      <c r="AA76" s="23">
        <f>EXP(-LN(2)/25)*AA75+(1-EXP(-LN(2)/25))/(LN(2)/25)*Calculateur!V76*Calculateur!X76*VLOOKUP('Données projet'!$B$9,Paramètres!$A$1:$I$89,3,0)*0.475*44/12</f>
        <v>59.240274550123651</v>
      </c>
      <c r="AB76" s="23">
        <f>EXP(-LN(2)/2)*AB75+(1-EXP(-LN(2)/2))/(LN(2)/2)*V76*Y76*VLOOKUP('Données projet'!$B$9,Paramètres!$A$1:$I$89,3,0)*0.475*44/12</f>
        <v>2.9587336885487079</v>
      </c>
      <c r="AC76" s="24">
        <f t="shared" si="57"/>
        <v>427.26151828643151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4.4000000000000004</v>
      </c>
      <c r="AI76" s="14">
        <f>IF('Données projet'!$A$62&gt;35,AI75+AH76-AQ75,IF(A76&lt;'Données projet'!$A$62,$AF$205^A76,IF(A76='Données projet'!$A$62,'Données projet'!$B$62,AI75+AH76-AQ75)))</f>
        <v>384.20000000000022</v>
      </c>
      <c r="AJ76" s="14">
        <f>AI76*VLOOKUP('Données projet'!$B$10,Paramètres!$A$1:$I$89,3,0)*VLOOKUP('Données projet'!$B$10,Paramètres!$A$1:$I$89,5,0)</f>
        <v>209.77320000000012</v>
      </c>
      <c r="AK76" s="14">
        <f t="shared" si="89"/>
        <v>51.886021075605321</v>
      </c>
      <c r="AL76" s="22">
        <f t="shared" si="58"/>
        <v>455.72314337334615</v>
      </c>
      <c r="AM76" s="62">
        <f t="shared" si="59"/>
        <v>749.0564767066794</v>
      </c>
      <c r="AN76" s="62">
        <f ca="1">AVERAGE(OFFSET($AM$3,0,0,'Données projet'!$E$10+1,1))-AVERAGE(OFFSET($H$3,0,0,'Données projet'!$E$10+1,1))</f>
        <v>262.6671000229498</v>
      </c>
      <c r="AO76" s="62">
        <f t="shared" si="90"/>
        <v>289.30432245776024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40.989011060885247</v>
      </c>
      <c r="AV76" s="23">
        <f>EXP(-LN(2)/25)*AV75+(1-EXP(-LN(2)/25))/(LN(2)/25)*Calculateur!AQ76*Calculateur!AS76*VLOOKUP('Données projet'!$B$10,Paramètres!$A$1:$I$89,3,0)*0.475*44/12</f>
        <v>23.295104996647577</v>
      </c>
      <c r="AW76" s="23">
        <f>EXP(-LN(2)/2)*AW75+(1-EXP(-LN(2)/2))/(LN(2)/2)*AQ76*AT76*VLOOKUP('Données projet'!$B$10,Paramètres!$A$1:$I$89,3,0)*0.475*44/12</f>
        <v>0.5860406927196995</v>
      </c>
      <c r="AX76" s="23">
        <f t="shared" si="60"/>
        <v>64.870156750252534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4.4000000000000004</v>
      </c>
      <c r="CT76" s="13">
        <f>IF('Données projet'!$A$140&gt;35,CT75+CS76-DB75,IF(A76&lt;'Données projet'!$A$140,$CQ$205^A76,IF(A76='Données projet'!$A$140,'Données projet'!$B$140,CT75+CS76-DB75)))</f>
        <v>232.20000000000002</v>
      </c>
      <c r="CU76" s="18">
        <f>CT76*VLOOKUP('Données projet'!$B$13,Paramètres!$A$1:$I$89,3,0)*VLOOKUP('Données projet'!$B$13,Paramètres!$A$1:$I$89,5,0)</f>
        <v>202.84992000000003</v>
      </c>
      <c r="CV76" s="14">
        <f t="shared" si="95"/>
        <v>50.369977187686075</v>
      </c>
      <c r="CW76" s="22">
        <f t="shared" si="67"/>
        <v>441.02465426855332</v>
      </c>
      <c r="CX76" s="62">
        <f t="shared" si="68"/>
        <v>734.35798760188663</v>
      </c>
      <c r="CY76" s="62">
        <f ca="1">AVERAGE(OFFSET($CX$3,0,0,'Données projet'!$E$13+1,1))-AVERAGE(OFFSET($H$3,0,0,'Données projet'!$E$13+1,1))</f>
        <v>268.27008134105046</v>
      </c>
      <c r="CZ76" s="62">
        <f t="shared" si="96"/>
        <v>252.36274686619709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21.967527616322698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21.967527616322698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4.2</v>
      </c>
      <c r="DO76" s="13">
        <f>IF('Données projet'!$A$166&gt;35,DO75+DN76-DW75,IF(A76&lt;'Données projet'!$A$166,$DL$205^A76,IF(A76='Données projet'!$A$166,'Données projet'!$B$166,DO75+DN76-DW75)))</f>
        <v>315.59999999999991</v>
      </c>
      <c r="DP76" s="18">
        <f>DO76*VLOOKUP('Données projet'!$B$14,Paramètres!$A$1:$I$89,3,0)*VLOOKUP('Données projet'!$B$14,Paramètres!$A$1:$I$89,5,0)</f>
        <v>251.09135999999995</v>
      </c>
      <c r="DQ76" s="14">
        <f t="shared" si="97"/>
        <v>60.81957989149403</v>
      </c>
      <c r="DR76" s="22">
        <f t="shared" si="70"/>
        <v>543.24488697768527</v>
      </c>
      <c r="DS76" s="62">
        <f t="shared" si="71"/>
        <v>836.57822031101864</v>
      </c>
      <c r="DT76" s="62">
        <f ca="1">AVERAGE(OFFSET($DS$3,0,0,'Données projet'!$E$14+1,1))-AVERAGE(OFFSET($H$3,0,0,'Données projet'!$E$14+1,1))</f>
        <v>279.49721661620544</v>
      </c>
      <c r="DU76" s="62">
        <f t="shared" si="98"/>
        <v>275.18739333988754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23.239334798306814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23.239334798306814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11</v>
      </c>
      <c r="EJ76" s="13">
        <f>IF('Données projet'!$A$192&gt;35,EJ75+EI76-ER75,IF(A76&lt;'Données projet'!$A$192,$EG$205^A76,IF(A76='Données projet'!$A$192,'Données projet'!$B$192,EJ75+EI76-ER75)))</f>
        <v>385</v>
      </c>
      <c r="EK76" s="18">
        <f>EJ76*VLOOKUP('Données projet'!$B$15,Paramètres!$A$1:$I$89,3,0)*VLOOKUP('Données projet'!$B$15,Paramètres!$A$1:$I$89,5,0)</f>
        <v>330.33000000000004</v>
      </c>
      <c r="EL76" s="14">
        <f t="shared" si="99"/>
        <v>77.498720610826084</v>
      </c>
      <c r="EM76" s="22">
        <f t="shared" si="73"/>
        <v>710.30168839718874</v>
      </c>
      <c r="EN76" s="62">
        <f t="shared" si="74"/>
        <v>1003.6350217305221</v>
      </c>
      <c r="EO76" s="62">
        <f ca="1">AVERAGE(OFFSET($EN$3,0,0,'Données projet'!$E$15+1,1))-AVERAGE(OFFSET($H$3,0,0,'Données projet'!$E$15+1,1))</f>
        <v>394.11074988418096</v>
      </c>
      <c r="EP76" s="62">
        <f t="shared" si="100"/>
        <v>241.85593029696236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36.033262568820497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36.033262568820497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4.5474735088646412E-13</v>
      </c>
      <c r="O77" s="14">
        <f>N77*VLOOKUP('Données projet'!$B$9,Paramètres!$A$1:$I$89,3,0)*VLOOKUP('Données projet'!$B$9,Paramètres!$A$1:$I$89,5,0)</f>
        <v>2.5420376914553347E-13</v>
      </c>
      <c r="P77" s="14">
        <f t="shared" si="87"/>
        <v>3.4258699088369875E-12</v>
      </c>
      <c r="Q77" s="22">
        <f t="shared" si="54"/>
        <v>6.4094616558195571E-12</v>
      </c>
      <c r="R77" s="62">
        <f t="shared" si="55"/>
        <v>293.33333333333974</v>
      </c>
      <c r="S77" s="62">
        <f ca="1">AVERAGE(OFFSET($R$3,0,0,'Données projet'!$E$9+1,1))-AVERAGE(OFFSET($H$3,0,0,'Données projet'!$E$9+1,1))</f>
        <v>539.2446452106276</v>
      </c>
      <c r="T77" s="62">
        <f t="shared" si="88"/>
        <v>596.73830276071465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357.90385689186724</v>
      </c>
      <c r="AA77" s="23">
        <f>EXP(-LN(2)/25)*AA76+(1-EXP(-LN(2)/25))/(LN(2)/25)*Calculateur!V77*Calculateur!X77*VLOOKUP('Données projet'!$B$9,Paramètres!$A$1:$I$89,3,0)*0.475*44/12</f>
        <v>57.620346127239877</v>
      </c>
      <c r="AB77" s="23">
        <f>EXP(-LN(2)/2)*AB76+(1-EXP(-LN(2)/2))/(LN(2)/2)*V77*Y77*VLOOKUP('Données projet'!$B$9,Paramètres!$A$1:$I$89,3,0)*0.475*44/12</f>
        <v>2.0921406548978778</v>
      </c>
      <c r="AC77" s="24">
        <f t="shared" si="57"/>
        <v>417.61634367400501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4.4000000000000004</v>
      </c>
      <c r="AI77" s="14">
        <f>IF('Données projet'!$A$62&gt;35,AI76+AH77-AQ76,IF(A77&lt;'Données projet'!$A$62,$AF$205^A77,IF(A77='Données projet'!$A$62,'Données projet'!$B$62,AI76+AH77-AQ76)))</f>
        <v>388.60000000000019</v>
      </c>
      <c r="AJ77" s="14">
        <f>AI77*VLOOKUP('Données projet'!$B$10,Paramètres!$A$1:$I$89,3,0)*VLOOKUP('Données projet'!$B$10,Paramètres!$A$1:$I$89,5,0)</f>
        <v>212.17560000000012</v>
      </c>
      <c r="AK77" s="14">
        <f t="shared" si="89"/>
        <v>52.410723477279205</v>
      </c>
      <c r="AL77" s="22">
        <f t="shared" si="58"/>
        <v>460.82118005626148</v>
      </c>
      <c r="AM77" s="62">
        <f t="shared" si="59"/>
        <v>754.15451338959474</v>
      </c>
      <c r="AN77" s="62">
        <f ca="1">AVERAGE(OFFSET($AM$3,0,0,'Données projet'!$E$10+1,1))-AVERAGE(OFFSET($H$3,0,0,'Données projet'!$E$10+1,1))</f>
        <v>262.6671000229498</v>
      </c>
      <c r="AO77" s="62">
        <f t="shared" si="90"/>
        <v>289.30432245776024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40.185241554809409</v>
      </c>
      <c r="AV77" s="23">
        <f>EXP(-LN(2)/25)*AV76+(1-EXP(-LN(2)/25))/(LN(2)/25)*Calculateur!AQ77*Calculateur!AS77*VLOOKUP('Données projet'!$B$10,Paramètres!$A$1:$I$89,3,0)*0.475*44/12</f>
        <v>22.658099125477918</v>
      </c>
      <c r="AW77" s="23">
        <f>EXP(-LN(2)/2)*AW76+(1-EXP(-LN(2)/2))/(LN(2)/2)*AQ77*AT77*VLOOKUP('Données projet'!$B$10,Paramètres!$A$1:$I$89,3,0)*0.475*44/12</f>
        <v>0.4143933478733613</v>
      </c>
      <c r="AX77" s="23">
        <f t="shared" si="60"/>
        <v>63.257734028160691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4.4000000000000004</v>
      </c>
      <c r="CT77" s="13">
        <f>IF('Données projet'!$A$140&gt;35,CT76+CS77-DB76,IF(A77&lt;'Données projet'!$A$140,$CQ$205^A77,IF(A77='Données projet'!$A$140,'Données projet'!$B$140,CT76+CS77-DB76)))</f>
        <v>236.60000000000002</v>
      </c>
      <c r="CU77" s="18">
        <f>CT77*VLOOKUP('Données projet'!$B$13,Paramètres!$A$1:$I$89,3,0)*VLOOKUP('Données projet'!$B$13,Paramètres!$A$1:$I$89,5,0)</f>
        <v>206.69376000000005</v>
      </c>
      <c r="CV77" s="14">
        <f t="shared" si="95"/>
        <v>51.212423138937325</v>
      </c>
      <c r="CW77" s="22">
        <f t="shared" si="67"/>
        <v>449.18660230031583</v>
      </c>
      <c r="CX77" s="62">
        <f t="shared" si="68"/>
        <v>742.51993563364908</v>
      </c>
      <c r="CY77" s="62">
        <f ca="1">AVERAGE(OFFSET($CX$3,0,0,'Données projet'!$E$13+1,1))-AVERAGE(OFFSET($H$3,0,0,'Données projet'!$E$13+1,1))</f>
        <v>268.27008134105046</v>
      </c>
      <c r="CZ77" s="62">
        <f t="shared" si="96"/>
        <v>252.36274686619709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21.536757798635428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21.536757798635428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4.2</v>
      </c>
      <c r="DO77" s="13">
        <f>IF('Données projet'!$A$166&gt;35,DO76+DN77-DW76,IF(A77&lt;'Données projet'!$A$166,$DL$205^A77,IF(A77='Données projet'!$A$166,'Données projet'!$B$166,DO76+DN77-DW76)))</f>
        <v>319.7999999999999</v>
      </c>
      <c r="DP77" s="18">
        <f>DO77*VLOOKUP('Données projet'!$B$14,Paramètres!$A$1:$I$89,3,0)*VLOOKUP('Données projet'!$B$14,Paramètres!$A$1:$I$89,5,0)</f>
        <v>254.43287999999995</v>
      </c>
      <c r="DQ77" s="14">
        <f t="shared" si="97"/>
        <v>61.534202204620392</v>
      </c>
      <c r="DR77" s="22">
        <f t="shared" si="70"/>
        <v>550.30933483971376</v>
      </c>
      <c r="DS77" s="62">
        <f t="shared" si="71"/>
        <v>843.64266817304701</v>
      </c>
      <c r="DT77" s="62">
        <f ca="1">AVERAGE(OFFSET($DS$3,0,0,'Données projet'!$E$14+1,1))-AVERAGE(OFFSET($H$3,0,0,'Données projet'!$E$14+1,1))</f>
        <v>279.49721661620544</v>
      </c>
      <c r="DU77" s="62">
        <f t="shared" si="98"/>
        <v>275.18739333988754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22.783625617506619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22.783625617506619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11</v>
      </c>
      <c r="EJ77" s="13">
        <f>IF('Données projet'!$A$192&gt;35,EJ76+EI77-ER76,IF(A77&lt;'Données projet'!$A$192,$EG$205^A77,IF(A77='Données projet'!$A$192,'Données projet'!$B$192,EJ76+EI77-ER76)))</f>
        <v>396</v>
      </c>
      <c r="EK77" s="18">
        <f>EJ77*VLOOKUP('Données projet'!$B$15,Paramètres!$A$1:$I$89,3,0)*VLOOKUP('Données projet'!$B$15,Paramètres!$A$1:$I$89,5,0)</f>
        <v>339.76800000000003</v>
      </c>
      <c r="EL77" s="14">
        <f t="shared" si="99"/>
        <v>79.452011848891914</v>
      </c>
      <c r="EM77" s="22">
        <f t="shared" si="73"/>
        <v>730.14152063682013</v>
      </c>
      <c r="EN77" s="62">
        <f t="shared" si="74"/>
        <v>1023.4748539701534</v>
      </c>
      <c r="EO77" s="62">
        <f ca="1">AVERAGE(OFFSET($EN$3,0,0,'Données projet'!$E$15+1,1))-AVERAGE(OFFSET($H$3,0,0,'Données projet'!$E$15+1,1))</f>
        <v>394.11074988418096</v>
      </c>
      <c r="EP77" s="62">
        <f t="shared" si="100"/>
        <v>241.85593029696236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35.326672267965932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35.326672267965932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4.5474735088646412E-13</v>
      </c>
      <c r="O78" s="14">
        <f>N78*VLOOKUP('Données projet'!$B$9,Paramètres!$A$1:$I$89,3,0)*VLOOKUP('Données projet'!$B$9,Paramètres!$A$1:$I$89,5,0)</f>
        <v>2.5420376914553347E-13</v>
      </c>
      <c r="P78" s="14">
        <f t="shared" si="87"/>
        <v>3.4258699088369875E-12</v>
      </c>
      <c r="Q78" s="22">
        <f t="shared" si="54"/>
        <v>6.4094616558195571E-12</v>
      </c>
      <c r="R78" s="62">
        <f t="shared" si="55"/>
        <v>293.33333333333974</v>
      </c>
      <c r="S78" s="62">
        <f ca="1">AVERAGE(OFFSET($R$3,0,0,'Données projet'!$E$9+1,1))-AVERAGE(OFFSET($H$3,0,0,'Données projet'!$E$9+1,1))</f>
        <v>539.2446452106276</v>
      </c>
      <c r="T78" s="62">
        <f t="shared" si="88"/>
        <v>596.73830276071465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350.88558055801514</v>
      </c>
      <c r="AA78" s="23">
        <f>EXP(-LN(2)/25)*AA77+(1-EXP(-LN(2)/25))/(LN(2)/25)*Calculateur!V78*Calculateur!X78*VLOOKUP('Données projet'!$B$9,Paramètres!$A$1:$I$89,3,0)*0.475*44/12</f>
        <v>56.04471473226819</v>
      </c>
      <c r="AB78" s="23">
        <f>EXP(-LN(2)/2)*AB77+(1-EXP(-LN(2)/2))/(LN(2)/2)*V78*Y78*VLOOKUP('Données projet'!$B$9,Paramètres!$A$1:$I$89,3,0)*0.475*44/12</f>
        <v>1.4793668442743539</v>
      </c>
      <c r="AC78" s="24">
        <f t="shared" si="57"/>
        <v>408.40966213455766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393</v>
      </c>
      <c r="AG78" s="13">
        <f>VLOOKUP(A78,'Données projet'!$A$61:$I$81,9,0)</f>
        <v>4.4000000000000004</v>
      </c>
      <c r="AH78" s="13">
        <f t="array" ref="AH78">INDEX(AG:AG,MIN(IF(ISNUMBER(AG78:AG274),ROW(AG78:AG274),"")))</f>
        <v>4.4000000000000004</v>
      </c>
      <c r="AI78" s="14">
        <f>IF('Données projet'!$A$62&gt;35,AI77+AH78-AQ77,IF(A78&lt;'Données projet'!$A$62,$AF$205^A78,IF(A78='Données projet'!$A$62,'Données projet'!$B$62,AI77+AH78-AQ77)))</f>
        <v>393.00000000000017</v>
      </c>
      <c r="AJ78" s="14">
        <f>AI78*VLOOKUP('Données projet'!$B$10,Paramètres!$A$1:$I$89,3,0)*VLOOKUP('Données projet'!$B$10,Paramètres!$A$1:$I$89,5,0)</f>
        <v>214.57800000000009</v>
      </c>
      <c r="AK78" s="14">
        <f t="shared" si="89"/>
        <v>52.934734781064783</v>
      </c>
      <c r="AL78" s="22">
        <f t="shared" si="58"/>
        <v>465.91801307702127</v>
      </c>
      <c r="AM78" s="62">
        <f t="shared" si="59"/>
        <v>759.25134641035459</v>
      </c>
      <c r="AN78" s="62">
        <f ca="1">AVERAGE(OFFSET($AM$3,0,0,'Données projet'!$E$10+1,1))-AVERAGE(OFFSET($H$3,0,0,'Données projet'!$E$10+1,1))</f>
        <v>262.6671000229498</v>
      </c>
      <c r="AO78" s="62">
        <f t="shared" si="90"/>
        <v>289.30432245776024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15</v>
      </c>
      <c r="AR78" s="17">
        <f>IF(ISNA(VLOOKUP(A78,'Données projet'!$A$61:$I$81,5,0)),0%,VLOOKUP(A78,'Données projet'!$A$61:$I$81,5,0)*VLOOKUP('Données projet'!$B$10,Paramètres!$A$1:$I$89,7,0))</f>
        <v>0.48</v>
      </c>
      <c r="AS78" s="17">
        <f>IF(ISNA(VLOOKUP(A78,'Données projet'!$A$61:$I$81,6,0)),0%,VLOOKUP(A78,'Données projet'!$A$61:$I$81,6,0)*VLOOKUP('Données projet'!$B$10,Paramètres!$A$1:$I$89,7,0))</f>
        <v>6.6000000000000003E-2</v>
      </c>
      <c r="AT78" s="17">
        <f>IF(ISNA(VLOOKUP(A78,'Données projet'!$A$61:$I$81,7,0)),0%,VLOOKUP(A78,'Données projet'!$A$61:$I$81,7,0))</f>
        <v>0.09</v>
      </c>
      <c r="AU78" s="23">
        <f>EXP(-LN(2)/35)*AU77+(1-EXP(-LN(2)/35))/(LN(2)/35)*AQ78*AR78*VLOOKUP('Données projet'!$B$10,Paramètres!$A$1:$I$89,3,0)*0.475*44/12</f>
        <v>44.612223665720641</v>
      </c>
      <c r="AV78" s="23">
        <f>EXP(-LN(2)/25)*AV77+(1-EXP(-LN(2)/25))/(LN(2)/25)*Calculateur!AQ78*Calculateur!AS78*VLOOKUP('Données projet'!$B$10,Paramètres!$A$1:$I$89,3,0)*0.475*44/12</f>
        <v>22.752750021125173</v>
      </c>
      <c r="AW78" s="23">
        <f>EXP(-LN(2)/2)*AW77+(1-EXP(-LN(2)/2))/(LN(2)/2)*AQ78*AT78*VLOOKUP('Données projet'!$B$10,Paramètres!$A$1:$I$89,3,0)*0.475*44/12</f>
        <v>1.1275887728666076</v>
      </c>
      <c r="AX78" s="23">
        <f t="shared" si="60"/>
        <v>68.492562459712417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241</v>
      </c>
      <c r="CR78" s="13">
        <f>VLOOKUP(A78,'Données projet'!$A$139:$I$159,9,0)</f>
        <v>4.4000000000000004</v>
      </c>
      <c r="CS78" s="13">
        <f t="array" ref="CS78">INDEX(CR:CR,MIN(IF(ISNUMBER(CR78:CR274),ROW(CR78:CR274),"")))</f>
        <v>4.4000000000000004</v>
      </c>
      <c r="CT78" s="13">
        <f>IF('Données projet'!$A$140&gt;35,CT77+CS78-DB77,IF(A78&lt;'Données projet'!$A$140,$CQ$205^A78,IF(A78='Données projet'!$A$140,'Données projet'!$B$140,CT77+CS78-DB77)))</f>
        <v>241.00000000000003</v>
      </c>
      <c r="CU78" s="18">
        <f>CT78*VLOOKUP('Données projet'!$B$13,Paramètres!$A$1:$I$89,3,0)*VLOOKUP('Données projet'!$B$13,Paramètres!$A$1:$I$89,5,0)</f>
        <v>210.53760000000005</v>
      </c>
      <c r="CV78" s="14">
        <f t="shared" si="95"/>
        <v>52.053047337322276</v>
      </c>
      <c r="CW78" s="22">
        <f t="shared" si="67"/>
        <v>457.34537744583628</v>
      </c>
      <c r="CX78" s="62">
        <f t="shared" si="68"/>
        <v>750.67871077916959</v>
      </c>
      <c r="CY78" s="62">
        <f ca="1">AVERAGE(OFFSET($CX$3,0,0,'Données projet'!$E$13+1,1))-AVERAGE(OFFSET($H$3,0,0,'Données projet'!$E$13+1,1))</f>
        <v>268.27008134105046</v>
      </c>
      <c r="CZ78" s="62">
        <f t="shared" si="96"/>
        <v>252.36274686619709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16</v>
      </c>
      <c r="DC78" s="17">
        <f>IF(ISNA(VLOOKUP(A78,'Données projet'!$A$139:$I$159,5,0)),0%,VLOOKUP(A78,'Données projet'!$A$139:$I$159,5,0)*VLOOKUP('Données projet'!$B$13,Paramètres!$A$1:$I$89,7,0))</f>
        <v>0.25800000000000001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25.10100539078498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25.10100539078498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324</v>
      </c>
      <c r="DM78" s="13">
        <f>VLOOKUP(A78,'Données projet'!$A$165:$I$185,9,0)</f>
        <v>4.2</v>
      </c>
      <c r="DN78" s="13">
        <f t="array" ref="DN78">INDEX(DM:DM,MIN(IF(ISNUMBER(DM78:DM274),ROW(DM78:DM274),"")))</f>
        <v>4.2</v>
      </c>
      <c r="DO78" s="13">
        <f>IF('Données projet'!$A$166&gt;35,DO77+DN78-DW77,IF(A78&lt;'Données projet'!$A$166,$DL$205^A78,IF(A78='Données projet'!$A$166,'Données projet'!$B$166,DO77+DN78-DW77)))</f>
        <v>323.99999999999989</v>
      </c>
      <c r="DP78" s="18">
        <f>DO78*VLOOKUP('Données projet'!$B$14,Paramètres!$A$1:$I$89,3,0)*VLOOKUP('Données projet'!$B$14,Paramètres!$A$1:$I$89,5,0)</f>
        <v>257.77439999999996</v>
      </c>
      <c r="DQ78" s="14">
        <f t="shared" si="97"/>
        <v>62.247732872134293</v>
      </c>
      <c r="DR78" s="22">
        <f t="shared" si="70"/>
        <v>557.37188141896718</v>
      </c>
      <c r="DS78" s="62">
        <f t="shared" si="71"/>
        <v>850.70521475230044</v>
      </c>
      <c r="DT78" s="62">
        <f ca="1">AVERAGE(OFFSET($DS$3,0,0,'Données projet'!$E$14+1,1))-AVERAGE(OFFSET($H$3,0,0,'Données projet'!$E$14+1,1))</f>
        <v>279.49721661620544</v>
      </c>
      <c r="DU78" s="62">
        <f t="shared" si="98"/>
        <v>275.18739333988754</v>
      </c>
      <c r="DV78" s="16">
        <f>IF(ISNA(VLOOKUP(A78,'Données projet'!$A$165:$I$185,3,0)),0,VLOOKUP(A78,'Données projet'!$A$165:$I$185,3,0))</f>
        <v>14</v>
      </c>
      <c r="DW78" s="16">
        <f>IF(ISNA(VLOOKUP(A78,'Données projet'!$A$165:$I$185,4,0)),0,VLOOKUP(A78,'Données projet'!$A$165:$I$185,4,0))</f>
        <v>12</v>
      </c>
      <c r="DX78" s="17">
        <f>IF(ISNA(VLOOKUP(A78,'Données projet'!$A$165:$I$185,5,0)),0%,VLOOKUP(A78,'Données projet'!$A$165:$I$185,5,0)*VLOOKUP('Données projet'!$B$14,Paramètres!$A$1:$I$89,7,0))</f>
        <v>0.42400000000000004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26.811810862157003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26.811810862157003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407</v>
      </c>
      <c r="EH78" s="13">
        <f>VLOOKUP(A78,'Données projet'!$A$191:$I$211,9,0)</f>
        <v>11</v>
      </c>
      <c r="EI78" s="13">
        <f t="array" ref="EI78">INDEX(EH:EH,MIN(IF(ISNUMBER(EH78:EH274),ROW(EH78:EH274),"")))</f>
        <v>11</v>
      </c>
      <c r="EJ78" s="13">
        <f>IF('Données projet'!$A$192&gt;35,EJ77+EI78-ER77,IF(A78&lt;'Données projet'!$A$192,$EG$205^A78,IF(A78='Données projet'!$A$192,'Données projet'!$B$192,EJ77+EI78-ER77)))</f>
        <v>407</v>
      </c>
      <c r="EK78" s="18">
        <f>EJ78*VLOOKUP('Données projet'!$B$15,Paramètres!$A$1:$I$89,3,0)*VLOOKUP('Données projet'!$B$15,Paramètres!$A$1:$I$89,5,0)</f>
        <v>349.20600000000007</v>
      </c>
      <c r="EL78" s="14">
        <f t="shared" si="99"/>
        <v>81.398996787610969</v>
      </c>
      <c r="EM78" s="22">
        <f t="shared" si="73"/>
        <v>749.97036940508917</v>
      </c>
      <c r="EN78" s="62">
        <f t="shared" si="74"/>
        <v>1043.3037027384225</v>
      </c>
      <c r="EO78" s="62">
        <f ca="1">AVERAGE(OFFSET($EN$3,0,0,'Données projet'!$E$15+1,1))-AVERAGE(OFFSET($H$3,0,0,'Données projet'!$E$15+1,1))</f>
        <v>394.11074988418096</v>
      </c>
      <c r="EP78" s="62">
        <f t="shared" si="100"/>
        <v>241.85593029696236</v>
      </c>
      <c r="EQ78" s="16">
        <f>IF(ISNA(VLOOKUP(A78,'Données projet'!$A$191:$I$211,3,0)),0,VLOOKUP(A78,'Données projet'!$A$191:$I$211,3,0))</f>
        <v>12</v>
      </c>
      <c r="ER78" s="16">
        <f>IF(ISNA(VLOOKUP(A78,'Données projet'!$A$191:$I$211,4,0)),0,VLOOKUP(A78,'Données projet'!$A$191:$I$211,4,0))</f>
        <v>35</v>
      </c>
      <c r="ES78" s="17">
        <f>IF(ISNA(VLOOKUP(A78,'Données projet'!$A$191:$I$211,5,0)),0%,VLOOKUP(A78,'Données projet'!$A$191:$I$211,5,0)*VLOOKUP('Données projet'!$B$15,Paramètres!$A$1:$I$89,7,0))</f>
        <v>0.318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45.190671380098692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45.190671380098692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4.5474735088646412E-13</v>
      </c>
      <c r="O79" s="14">
        <f>N79*VLOOKUP('Données projet'!$B$9,Paramètres!$A$1:$I$89,3,0)*VLOOKUP('Données projet'!$B$9,Paramètres!$A$1:$I$89,5,0)</f>
        <v>2.5420376914553347E-13</v>
      </c>
      <c r="P79" s="14">
        <f t="shared" si="87"/>
        <v>3.4258699088369875E-12</v>
      </c>
      <c r="Q79" s="22">
        <f t="shared" si="54"/>
        <v>6.4094616558195571E-12</v>
      </c>
      <c r="R79" s="62">
        <f t="shared" si="55"/>
        <v>293.33333333333974</v>
      </c>
      <c r="S79" s="62">
        <f ca="1">AVERAGE(OFFSET($R$3,0,0,'Données projet'!$E$9+1,1))-AVERAGE(OFFSET($H$3,0,0,'Données projet'!$E$9+1,1))</f>
        <v>539.2446452106276</v>
      </c>
      <c r="T79" s="62">
        <f t="shared" si="88"/>
        <v>596.73830276071465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344.00492834234399</v>
      </c>
      <c r="AA79" s="23">
        <f>EXP(-LN(2)/25)*AA78+(1-EXP(-LN(2)/25))/(LN(2)/25)*Calculateur!V79*Calculateur!X79*VLOOKUP('Données projet'!$B$9,Paramètres!$A$1:$I$89,3,0)*0.475*44/12</f>
        <v>54.512169060650862</v>
      </c>
      <c r="AB79" s="23">
        <f>EXP(-LN(2)/2)*AB78+(1-EXP(-LN(2)/2))/(LN(2)/2)*V79*Y79*VLOOKUP('Données projet'!$B$9,Paramètres!$A$1:$I$89,3,0)*0.475*44/12</f>
        <v>1.0460703274489389</v>
      </c>
      <c r="AC79" s="24">
        <f t="shared" si="57"/>
        <v>399.56316773044381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4.4000000000000004</v>
      </c>
      <c r="AI79" s="14">
        <f>IF('Données projet'!$A$62&gt;35,AI78+AH79-AQ78,IF(A79&lt;'Données projet'!$A$62,$AF$205^A79,IF(A79='Données projet'!$A$62,'Données projet'!$B$62,AI78+AH79-AQ78)))</f>
        <v>382.40000000000015</v>
      </c>
      <c r="AJ79" s="14">
        <f>AI79*VLOOKUP('Données projet'!$B$10,Paramètres!$A$1:$I$89,3,0)*VLOOKUP('Données projet'!$B$10,Paramètres!$A$1:$I$89,5,0)</f>
        <v>208.79040000000009</v>
      </c>
      <c r="AK79" s="14">
        <f t="shared" si="89"/>
        <v>51.671168863475195</v>
      </c>
      <c r="AL79" s="22">
        <f t="shared" si="58"/>
        <v>453.63723243721944</v>
      </c>
      <c r="AM79" s="62">
        <f t="shared" si="59"/>
        <v>746.97056577055275</v>
      </c>
      <c r="AN79" s="62">
        <f ca="1">AVERAGE(OFFSET($AM$3,0,0,'Données projet'!$E$10+1,1))-AVERAGE(OFFSET($H$3,0,0,'Données projet'!$E$10+1,1))</f>
        <v>262.6671000229498</v>
      </c>
      <c r="AO79" s="62">
        <f t="shared" si="90"/>
        <v>289.30432245776024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43.737405170405452</v>
      </c>
      <c r="AV79" s="23">
        <f>EXP(-LN(2)/25)*AV78+(1-EXP(-LN(2)/25))/(LN(2)/25)*Calculateur!AQ79*Calculateur!AS79*VLOOKUP('Données projet'!$B$10,Paramètres!$A$1:$I$89,3,0)*0.475*44/12</f>
        <v>22.130574875282385</v>
      </c>
      <c r="AW79" s="23">
        <f>EXP(-LN(2)/2)*AW78+(1-EXP(-LN(2)/2))/(LN(2)/2)*AQ79*AT79*VLOOKUP('Données projet'!$B$10,Paramètres!$A$1:$I$89,3,0)*0.475*44/12</f>
        <v>0.79732566768379598</v>
      </c>
      <c r="AX79" s="23">
        <f t="shared" si="60"/>
        <v>66.665305713371623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</v>
      </c>
      <c r="CT79" s="13">
        <f>IF('Données projet'!$A$140&gt;35,CT78+CS79-DB78,IF(A79&lt;'Données projet'!$A$140,$CQ$205^A79,IF(A79='Données projet'!$A$140,'Données projet'!$B$140,CT78+CS79-DB78)))</f>
        <v>229.00000000000003</v>
      </c>
      <c r="CU79" s="18">
        <f>CT79*VLOOKUP('Données projet'!$B$13,Paramètres!$A$1:$I$89,3,0)*VLOOKUP('Données projet'!$B$13,Paramètres!$A$1:$I$89,5,0)</f>
        <v>200.05440000000007</v>
      </c>
      <c r="CV79" s="14">
        <f t="shared" si="95"/>
        <v>49.756123009618236</v>
      </c>
      <c r="CW79" s="22">
        <f t="shared" si="67"/>
        <v>435.08666090841854</v>
      </c>
      <c r="CX79" s="62">
        <f t="shared" si="68"/>
        <v>728.41999424175185</v>
      </c>
      <c r="CY79" s="62">
        <f ca="1">AVERAGE(OFFSET($CX$3,0,0,'Données projet'!$E$13+1,1))-AVERAGE(OFFSET($H$3,0,0,'Données projet'!$E$13+1,1))</f>
        <v>268.27008134105046</v>
      </c>
      <c r="CZ79" s="62">
        <f t="shared" si="96"/>
        <v>252.36274686619709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24.608789985173228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24.608789985173228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3.6</v>
      </c>
      <c r="DO79" s="13">
        <f>IF('Données projet'!$A$166&gt;35,DO78+DN79-DW78,IF(A79&lt;'Données projet'!$A$166,$DL$205^A79,IF(A79='Données projet'!$A$166,'Données projet'!$B$166,DO78+DN79-DW78)))</f>
        <v>315.59999999999991</v>
      </c>
      <c r="DP79" s="18">
        <f>DO79*VLOOKUP('Données projet'!$B$14,Paramètres!$A$1:$I$89,3,0)*VLOOKUP('Données projet'!$B$14,Paramètres!$A$1:$I$89,5,0)</f>
        <v>251.09135999999995</v>
      </c>
      <c r="DQ79" s="14">
        <f t="shared" si="97"/>
        <v>60.81957989149403</v>
      </c>
      <c r="DR79" s="22">
        <f t="shared" si="70"/>
        <v>543.24488697768527</v>
      </c>
      <c r="DS79" s="62">
        <f t="shared" si="71"/>
        <v>836.57822031101864</v>
      </c>
      <c r="DT79" s="62">
        <f ca="1">AVERAGE(OFFSET($DS$3,0,0,'Données projet'!$E$14+1,1))-AVERAGE(OFFSET($H$3,0,0,'Données projet'!$E$14+1,1))</f>
        <v>279.49721661620544</v>
      </c>
      <c r="DU79" s="62">
        <f t="shared" si="98"/>
        <v>275.18739333988754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26.286047604739949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26.286047604739949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10.4</v>
      </c>
      <c r="EJ79" s="13">
        <f>IF('Données projet'!$A$192&gt;35,EJ78+EI79-ER78,IF(A79&lt;'Données projet'!$A$192,$EG$205^A79,IF(A79='Données projet'!$A$192,'Données projet'!$B$192,EJ78+EI79-ER78)))</f>
        <v>382.4</v>
      </c>
      <c r="EK79" s="18">
        <f>EJ79*VLOOKUP('Données projet'!$B$15,Paramètres!$A$1:$I$89,3,0)*VLOOKUP('Données projet'!$B$15,Paramètres!$A$1:$I$89,5,0)</f>
        <v>328.0992</v>
      </c>
      <c r="EL79" s="14">
        <f t="shared" si="99"/>
        <v>77.036090442258086</v>
      </c>
      <c r="EM79" s="22">
        <f t="shared" si="73"/>
        <v>705.61063085359956</v>
      </c>
      <c r="EN79" s="62">
        <f t="shared" si="74"/>
        <v>998.94396418693282</v>
      </c>
      <c r="EO79" s="62">
        <f ca="1">AVERAGE(OFFSET($EN$3,0,0,'Données projet'!$E$15+1,1))-AVERAGE(OFFSET($H$3,0,0,'Données projet'!$E$15+1,1))</f>
        <v>394.11074988418096</v>
      </c>
      <c r="EP79" s="62">
        <f t="shared" si="100"/>
        <v>241.85593029696236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44.304509877922818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44.304509877922818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4.5474735088646412E-13</v>
      </c>
      <c r="O80" s="14">
        <f>N80*VLOOKUP('Données projet'!$B$9,Paramètres!$A$1:$I$89,3,0)*VLOOKUP('Données projet'!$B$9,Paramètres!$A$1:$I$89,5,0)</f>
        <v>2.5420376914553347E-13</v>
      </c>
      <c r="P80" s="14">
        <f t="shared" si="87"/>
        <v>3.4258699088369875E-12</v>
      </c>
      <c r="Q80" s="22">
        <f t="shared" si="54"/>
        <v>6.4094616558195571E-12</v>
      </c>
      <c r="R80" s="62">
        <f t="shared" si="55"/>
        <v>293.33333333333974</v>
      </c>
      <c r="S80" s="62">
        <f ca="1">AVERAGE(OFFSET($R$3,0,0,'Données projet'!$E$9+1,1))-AVERAGE(OFFSET($H$3,0,0,'Données projet'!$E$9+1,1))</f>
        <v>539.2446452106276</v>
      </c>
      <c r="T80" s="62">
        <f t="shared" si="88"/>
        <v>596.73830276071465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337.25920151983865</v>
      </c>
      <c r="AA80" s="23">
        <f>EXP(-LN(2)/25)*AA79+(1-EXP(-LN(2)/25))/(LN(2)/25)*Calculateur!V80*Calculateur!X80*VLOOKUP('Données projet'!$B$9,Paramètres!$A$1:$I$89,3,0)*0.475*44/12</f>
        <v>53.021530931016983</v>
      </c>
      <c r="AB80" s="23">
        <f>EXP(-LN(2)/2)*AB79+(1-EXP(-LN(2)/2))/(LN(2)/2)*V80*Y80*VLOOKUP('Données projet'!$B$9,Paramètres!$A$1:$I$89,3,0)*0.475*44/12</f>
        <v>0.73968342213717697</v>
      </c>
      <c r="AC80" s="24">
        <f t="shared" si="57"/>
        <v>391.02041587299283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4.4000000000000004</v>
      </c>
      <c r="AI80" s="14">
        <f>IF('Données projet'!$A$62&gt;35,AI79+AH80-AQ79,IF(A80&lt;'Données projet'!$A$62,$AF$205^A80,IF(A80='Données projet'!$A$62,'Données projet'!$B$62,AI79+AH80-AQ79)))</f>
        <v>386.80000000000013</v>
      </c>
      <c r="AJ80" s="14">
        <f>AI80*VLOOKUP('Données projet'!$B$10,Paramètres!$A$1:$I$89,3,0)*VLOOKUP('Données projet'!$B$10,Paramètres!$A$1:$I$89,5,0)</f>
        <v>211.19280000000006</v>
      </c>
      <c r="AK80" s="14">
        <f t="shared" si="89"/>
        <v>52.196156523412959</v>
      </c>
      <c r="AL80" s="22">
        <f t="shared" si="58"/>
        <v>458.73576594494438</v>
      </c>
      <c r="AM80" s="62">
        <f t="shared" si="59"/>
        <v>752.06909927827769</v>
      </c>
      <c r="AN80" s="62">
        <f ca="1">AVERAGE(OFFSET($AM$3,0,0,'Données projet'!$E$10+1,1))-AVERAGE(OFFSET($H$3,0,0,'Données projet'!$E$10+1,1))</f>
        <v>262.6671000229498</v>
      </c>
      <c r="AO80" s="62">
        <f t="shared" si="90"/>
        <v>289.30432245776024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42.879741332196801</v>
      </c>
      <c r="AV80" s="23">
        <f>EXP(-LN(2)/25)*AV79+(1-EXP(-LN(2)/25))/(LN(2)/25)*Calculateur!AQ80*Calculateur!AS80*VLOOKUP('Données projet'!$B$10,Paramètres!$A$1:$I$89,3,0)*0.475*44/12</f>
        <v>21.525413141521437</v>
      </c>
      <c r="AW80" s="23">
        <f>EXP(-LN(2)/2)*AW79+(1-EXP(-LN(2)/2))/(LN(2)/2)*AQ80*AT80*VLOOKUP('Données projet'!$B$10,Paramètres!$A$1:$I$89,3,0)*0.475*44/12</f>
        <v>0.56379438643330382</v>
      </c>
      <c r="AX80" s="23">
        <f t="shared" si="60"/>
        <v>64.968948860151542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</v>
      </c>
      <c r="CT80" s="13">
        <f>IF('Données projet'!$A$140&gt;35,CT79+CS80-DB79,IF(A80&lt;'Données projet'!$A$140,$CQ$205^A80,IF(A80='Données projet'!$A$140,'Données projet'!$B$140,CT79+CS80-DB79)))</f>
        <v>233.00000000000003</v>
      </c>
      <c r="CU80" s="18">
        <f>CT80*VLOOKUP('Données projet'!$B$13,Paramètres!$A$1:$I$89,3,0)*VLOOKUP('Données projet'!$B$13,Paramètres!$A$1:$I$89,5,0)</f>
        <v>203.54880000000003</v>
      </c>
      <c r="CV80" s="14">
        <f t="shared" si="95"/>
        <v>50.523286400023487</v>
      </c>
      <c r="CW80" s="22">
        <f t="shared" si="67"/>
        <v>442.50888381337427</v>
      </c>
      <c r="CX80" s="62">
        <f t="shared" si="68"/>
        <v>735.84221714670753</v>
      </c>
      <c r="CY80" s="62">
        <f ca="1">AVERAGE(OFFSET($CX$3,0,0,'Données projet'!$E$13+1,1))-AVERAGE(OFFSET($H$3,0,0,'Données projet'!$E$13+1,1))</f>
        <v>268.27008134105046</v>
      </c>
      <c r="CZ80" s="62">
        <f t="shared" si="96"/>
        <v>252.36274686619709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24.12622662344377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24.12622662344377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3.6</v>
      </c>
      <c r="DO80" s="13">
        <f>IF('Données projet'!$A$166&gt;35,DO79+DN80-DW79,IF(A80&lt;'Données projet'!$A$166,$DL$205^A80,IF(A80='Données projet'!$A$166,'Données projet'!$B$166,DO79+DN80-DW79)))</f>
        <v>319.19999999999993</v>
      </c>
      <c r="DP80" s="18">
        <f>DO80*VLOOKUP('Données projet'!$B$14,Paramètres!$A$1:$I$89,3,0)*VLOOKUP('Données projet'!$B$14,Paramètres!$A$1:$I$89,5,0)</f>
        <v>253.95551999999998</v>
      </c>
      <c r="DQ80" s="14">
        <f t="shared" si="97"/>
        <v>61.432180511879253</v>
      </c>
      <c r="DR80" s="22">
        <f t="shared" si="70"/>
        <v>549.30024505818972</v>
      </c>
      <c r="DS80" s="62">
        <f t="shared" si="71"/>
        <v>842.63357839152309</v>
      </c>
      <c r="DT80" s="62">
        <f ca="1">AVERAGE(OFFSET($DS$3,0,0,'Données projet'!$E$14+1,1))-AVERAGE(OFFSET($H$3,0,0,'Données projet'!$E$14+1,1))</f>
        <v>279.49721661620544</v>
      </c>
      <c r="DU80" s="62">
        <f t="shared" si="98"/>
        <v>275.18739333988754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25.770594244116918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25.770594244116918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10.4</v>
      </c>
      <c r="EJ80" s="13">
        <f>IF('Données projet'!$A$192&gt;35,EJ79+EI80-ER79,IF(A80&lt;'Données projet'!$A$192,$EG$205^A80,IF(A80='Données projet'!$A$192,'Données projet'!$B$192,EJ79+EI80-ER79)))</f>
        <v>392.79999999999995</v>
      </c>
      <c r="EK80" s="18">
        <f>EJ80*VLOOKUP('Données projet'!$B$15,Paramètres!$A$1:$I$89,3,0)*VLOOKUP('Données projet'!$B$15,Paramètres!$A$1:$I$89,5,0)</f>
        <v>337.0224</v>
      </c>
      <c r="EL80" s="14">
        <f t="shared" si="99"/>
        <v>78.884440823098231</v>
      </c>
      <c r="EM80" s="22">
        <f t="shared" si="73"/>
        <v>724.37108110022939</v>
      </c>
      <c r="EN80" s="62">
        <f t="shared" si="74"/>
        <v>1017.7044144335628</v>
      </c>
      <c r="EO80" s="62">
        <f ca="1">AVERAGE(OFFSET($EN$3,0,0,'Données projet'!$E$15+1,1))-AVERAGE(OFFSET($H$3,0,0,'Données projet'!$E$15+1,1))</f>
        <v>394.11074988418096</v>
      </c>
      <c r="EP80" s="62">
        <f t="shared" si="100"/>
        <v>241.85593029696236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43.435725462299473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43.435725462299473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4.5474735088646412E-13</v>
      </c>
      <c r="O81" s="14">
        <f>N81*VLOOKUP('Données projet'!$B$9,Paramètres!$A$1:$I$89,3,0)*VLOOKUP('Données projet'!$B$9,Paramètres!$A$1:$I$89,5,0)</f>
        <v>2.5420376914553347E-13</v>
      </c>
      <c r="P81" s="14">
        <f t="shared" si="87"/>
        <v>3.4258699088369875E-12</v>
      </c>
      <c r="Q81" s="22">
        <f t="shared" si="54"/>
        <v>6.4094616558195571E-12</v>
      </c>
      <c r="R81" s="62">
        <f t="shared" si="55"/>
        <v>293.33333333333974</v>
      </c>
      <c r="S81" s="62">
        <f ca="1">AVERAGE(OFFSET($R$3,0,0,'Données projet'!$E$9+1,1))-AVERAGE(OFFSET($H$3,0,0,'Données projet'!$E$9+1,1))</f>
        <v>539.2446452106276</v>
      </c>
      <c r="T81" s="62">
        <f t="shared" si="88"/>
        <v>596.73830276071465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330.64575428583561</v>
      </c>
      <c r="AA81" s="23">
        <f>EXP(-LN(2)/25)*AA80+(1-EXP(-LN(2)/25))/(LN(2)/25)*Calculateur!V81*Calculateur!X81*VLOOKUP('Données projet'!$B$9,Paramètres!$A$1:$I$89,3,0)*0.475*44/12</f>
        <v>51.571654379427194</v>
      </c>
      <c r="AB81" s="23">
        <f>EXP(-LN(2)/2)*AB80+(1-EXP(-LN(2)/2))/(LN(2)/2)*V81*Y81*VLOOKUP('Données projet'!$B$9,Paramètres!$A$1:$I$89,3,0)*0.475*44/12</f>
        <v>0.52303516372446945</v>
      </c>
      <c r="AC81" s="24">
        <f t="shared" si="57"/>
        <v>382.74044382898722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4.4000000000000004</v>
      </c>
      <c r="AI81" s="14">
        <f>IF('Données projet'!$A$62&gt;35,AI80+AH81-AQ80,IF(A81&lt;'Données projet'!$A$62,$AF$205^A81,IF(A81='Données projet'!$A$62,'Données projet'!$B$62,AI80+AH81-AQ80)))</f>
        <v>391.2000000000001</v>
      </c>
      <c r="AJ81" s="14">
        <f>AI81*VLOOKUP('Données projet'!$B$10,Paramètres!$A$1:$I$89,3,0)*VLOOKUP('Données projet'!$B$10,Paramètres!$A$1:$I$89,5,0)</f>
        <v>213.59520000000003</v>
      </c>
      <c r="AK81" s="14">
        <f t="shared" si="89"/>
        <v>52.720449493906273</v>
      </c>
      <c r="AL81" s="22">
        <f t="shared" si="58"/>
        <v>463.83308953522015</v>
      </c>
      <c r="AM81" s="62">
        <f t="shared" si="59"/>
        <v>757.16642286855347</v>
      </c>
      <c r="AN81" s="62">
        <f ca="1">AVERAGE(OFFSET($AM$3,0,0,'Données projet'!$E$10+1,1))-AVERAGE(OFFSET($H$3,0,0,'Données projet'!$E$10+1,1))</f>
        <v>262.6671000229498</v>
      </c>
      <c r="AO81" s="62">
        <f t="shared" si="90"/>
        <v>289.30432245776024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42.038895758732139</v>
      </c>
      <c r="AV81" s="23">
        <f>EXP(-LN(2)/25)*AV80+(1-EXP(-LN(2)/25))/(LN(2)/25)*Calculateur!AQ81*Calculateur!AS81*VLOOKUP('Données projet'!$B$10,Paramètres!$A$1:$I$89,3,0)*0.475*44/12</f>
        <v>20.936799587194251</v>
      </c>
      <c r="AW81" s="23">
        <f>EXP(-LN(2)/2)*AW80+(1-EXP(-LN(2)/2))/(LN(2)/2)*AQ81*AT81*VLOOKUP('Données projet'!$B$10,Paramètres!$A$1:$I$89,3,0)*0.475*44/12</f>
        <v>0.39866283384189799</v>
      </c>
      <c r="AX81" s="23">
        <f t="shared" si="60"/>
        <v>63.374358179768286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</v>
      </c>
      <c r="CT81" s="13">
        <f>IF('Données projet'!$A$140&gt;35,CT80+CS81-DB80,IF(A81&lt;'Données projet'!$A$140,$CQ$205^A81,IF(A81='Données projet'!$A$140,'Données projet'!$B$140,CT80+CS81-DB80)))</f>
        <v>237.00000000000003</v>
      </c>
      <c r="CU81" s="18">
        <f>CT81*VLOOKUP('Données projet'!$B$13,Paramètres!$A$1:$I$89,3,0)*VLOOKUP('Données projet'!$B$13,Paramètres!$A$1:$I$89,5,0)</f>
        <v>207.04320000000004</v>
      </c>
      <c r="CV81" s="14">
        <f t="shared" si="95"/>
        <v>51.288918231806321</v>
      </c>
      <c r="CW81" s="22">
        <f t="shared" si="67"/>
        <v>449.92843925372944</v>
      </c>
      <c r="CX81" s="62">
        <f t="shared" si="68"/>
        <v>743.26177258706275</v>
      </c>
      <c r="CY81" s="62">
        <f ca="1">AVERAGE(OFFSET($CX$3,0,0,'Données projet'!$E$13+1,1))-AVERAGE(OFFSET($H$3,0,0,'Données projet'!$E$13+1,1))</f>
        <v>268.27008134105046</v>
      </c>
      <c r="CZ81" s="62">
        <f t="shared" si="96"/>
        <v>252.36274686619709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23.653126034903238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23.653126034903238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3.6</v>
      </c>
      <c r="DO81" s="13">
        <f>IF('Données projet'!$A$166&gt;35,DO80+DN81-DW80,IF(A81&lt;'Données projet'!$A$166,$DL$205^A81,IF(A81='Données projet'!$A$166,'Données projet'!$B$166,DO80+DN81-DW80)))</f>
        <v>322.79999999999995</v>
      </c>
      <c r="DP81" s="18">
        <f>DO81*VLOOKUP('Données projet'!$B$14,Paramètres!$A$1:$I$89,3,0)*VLOOKUP('Données projet'!$B$14,Paramètres!$A$1:$I$89,5,0)</f>
        <v>256.81968000000001</v>
      </c>
      <c r="DQ81" s="14">
        <f t="shared" si="97"/>
        <v>62.043977430851903</v>
      </c>
      <c r="DR81" s="22">
        <f t="shared" si="70"/>
        <v>555.35420335873368</v>
      </c>
      <c r="DS81" s="62">
        <f t="shared" si="71"/>
        <v>848.68753669206694</v>
      </c>
      <c r="DT81" s="62">
        <f ca="1">AVERAGE(OFFSET($DS$3,0,0,'Données projet'!$E$14+1,1))-AVERAGE(OFFSET($H$3,0,0,'Données projet'!$E$14+1,1))</f>
        <v>279.49721661620544</v>
      </c>
      <c r="DU81" s="62">
        <f t="shared" si="98"/>
        <v>275.18739333988754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25.265248609500201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25.265248609500201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10.4</v>
      </c>
      <c r="EJ81" s="13">
        <f>IF('Données projet'!$A$192&gt;35,EJ80+EI81-ER80,IF(A81&lt;'Données projet'!$A$192,$EG$205^A81,IF(A81='Données projet'!$A$192,'Données projet'!$B$192,EJ80+EI81-ER80)))</f>
        <v>403.19999999999993</v>
      </c>
      <c r="EK81" s="18">
        <f>EJ81*VLOOKUP('Données projet'!$B$15,Paramètres!$A$1:$I$89,3,0)*VLOOKUP('Données projet'!$B$15,Paramètres!$A$1:$I$89,5,0)</f>
        <v>345.94560000000001</v>
      </c>
      <c r="EL81" s="14">
        <f t="shared" si="99"/>
        <v>80.727102887907222</v>
      </c>
      <c r="EM81" s="22">
        <f t="shared" si="73"/>
        <v>743.12162419643846</v>
      </c>
      <c r="EN81" s="62">
        <f t="shared" si="74"/>
        <v>1036.4549575297717</v>
      </c>
      <c r="EO81" s="62">
        <f ca="1">AVERAGE(OFFSET($EN$3,0,0,'Données projet'!$E$15+1,1))-AVERAGE(OFFSET($H$3,0,0,'Données projet'!$E$15+1,1))</f>
        <v>394.11074988418096</v>
      </c>
      <c r="EP81" s="62">
        <f t="shared" si="100"/>
        <v>241.85593029696236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42.583977379160331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42.583977379160331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4.5474735088646412E-13</v>
      </c>
      <c r="O82" s="14">
        <f>N82*VLOOKUP('Données projet'!$B$9,Paramètres!$A$1:$I$89,3,0)*VLOOKUP('Données projet'!$B$9,Paramètres!$A$1:$I$89,5,0)</f>
        <v>2.5420376914553347E-13</v>
      </c>
      <c r="P82" s="14">
        <f t="shared" si="87"/>
        <v>3.4258699088369875E-12</v>
      </c>
      <c r="Q82" s="22">
        <f t="shared" si="54"/>
        <v>6.4094616558195571E-12</v>
      </c>
      <c r="R82" s="62">
        <f t="shared" si="55"/>
        <v>293.33333333333974</v>
      </c>
      <c r="S82" s="62">
        <f ca="1">AVERAGE(OFFSET($R$3,0,0,'Données projet'!$E$9+1,1))-AVERAGE(OFFSET($H$3,0,0,'Données projet'!$E$9+1,1))</f>
        <v>539.2446452106276</v>
      </c>
      <c r="T82" s="62">
        <f t="shared" si="88"/>
        <v>596.73830276071465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324.16199271828685</v>
      </c>
      <c r="AA82" s="23">
        <f>EXP(-LN(2)/25)*AA81+(1-EXP(-LN(2)/25))/(LN(2)/25)*Calculateur!V82*Calculateur!X82*VLOOKUP('Données projet'!$B$9,Paramètres!$A$1:$I$89,3,0)*0.475*44/12</f>
        <v>50.161424778386319</v>
      </c>
      <c r="AB82" s="23">
        <f>EXP(-LN(2)/2)*AB81+(1-EXP(-LN(2)/2))/(LN(2)/2)*V82*Y82*VLOOKUP('Données projet'!$B$9,Paramètres!$A$1:$I$89,3,0)*0.475*44/12</f>
        <v>0.36984171106858849</v>
      </c>
      <c r="AC82" s="24">
        <f t="shared" si="57"/>
        <v>374.69325920774179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4.4000000000000004</v>
      </c>
      <c r="AI82" s="14">
        <f>IF('Données projet'!$A$62&gt;35,AI81+AH82-AQ81,IF(A82&lt;'Données projet'!$A$62,$AF$205^A82,IF(A82='Données projet'!$A$62,'Données projet'!$B$62,AI81+AH82-AQ81)))</f>
        <v>395.60000000000008</v>
      </c>
      <c r="AJ82" s="14">
        <f>AI82*VLOOKUP('Données projet'!$B$10,Paramètres!$A$1:$I$89,3,0)*VLOOKUP('Données projet'!$B$10,Paramètres!$A$1:$I$89,5,0)</f>
        <v>215.99760000000003</v>
      </c>
      <c r="AK82" s="14">
        <f t="shared" si="89"/>
        <v>53.244056492586679</v>
      </c>
      <c r="AL82" s="22">
        <f t="shared" si="58"/>
        <v>468.92921839125512</v>
      </c>
      <c r="AM82" s="62">
        <f t="shared" si="59"/>
        <v>762.26255172458843</v>
      </c>
      <c r="AN82" s="62">
        <f ca="1">AVERAGE(OFFSET($AM$3,0,0,'Données projet'!$E$10+1,1))-AVERAGE(OFFSET($H$3,0,0,'Données projet'!$E$10+1,1))</f>
        <v>262.6671000229498</v>
      </c>
      <c r="AO82" s="62">
        <f t="shared" si="90"/>
        <v>289.30432245776024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41.214538654097957</v>
      </c>
      <c r="AV82" s="23">
        <f>EXP(-LN(2)/25)*AV81+(1-EXP(-LN(2)/25))/(LN(2)/25)*Calculateur!AQ82*Calculateur!AS82*VLOOKUP('Données projet'!$B$10,Paramètres!$A$1:$I$89,3,0)*0.475*44/12</f>
        <v>20.364281701463987</v>
      </c>
      <c r="AW82" s="23">
        <f>EXP(-LN(2)/2)*AW81+(1-EXP(-LN(2)/2))/(LN(2)/2)*AQ82*AT82*VLOOKUP('Données projet'!$B$10,Paramètres!$A$1:$I$89,3,0)*0.475*44/12</f>
        <v>0.28189719321665191</v>
      </c>
      <c r="AX82" s="23">
        <f t="shared" si="60"/>
        <v>61.860717548778595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</v>
      </c>
      <c r="CT82" s="13">
        <f>IF('Données projet'!$A$140&gt;35,CT81+CS82-DB81,IF(A82&lt;'Données projet'!$A$140,$CQ$205^A82,IF(A82='Données projet'!$A$140,'Données projet'!$B$140,CT81+CS82-DB81)))</f>
        <v>241.00000000000003</v>
      </c>
      <c r="CU82" s="18">
        <f>CT82*VLOOKUP('Données projet'!$B$13,Paramètres!$A$1:$I$89,3,0)*VLOOKUP('Données projet'!$B$13,Paramètres!$A$1:$I$89,5,0)</f>
        <v>210.53760000000005</v>
      </c>
      <c r="CV82" s="14">
        <f t="shared" si="95"/>
        <v>52.053047337322276</v>
      </c>
      <c r="CW82" s="22">
        <f t="shared" si="67"/>
        <v>457.34537744583628</v>
      </c>
      <c r="CX82" s="62">
        <f t="shared" si="68"/>
        <v>750.67871077916959</v>
      </c>
      <c r="CY82" s="62">
        <f ca="1">AVERAGE(OFFSET($CX$3,0,0,'Données projet'!$E$13+1,1))-AVERAGE(OFFSET($H$3,0,0,'Données projet'!$E$13+1,1))</f>
        <v>268.27008134105046</v>
      </c>
      <c r="CZ82" s="62">
        <f t="shared" si="96"/>
        <v>252.36274686619709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23.18930266034112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23.18930266034112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3.6</v>
      </c>
      <c r="DO82" s="13">
        <f>IF('Données projet'!$A$166&gt;35,DO81+DN82-DW81,IF(A82&lt;'Données projet'!$A$166,$DL$205^A82,IF(A82='Données projet'!$A$166,'Données projet'!$B$166,DO81+DN82-DW81)))</f>
        <v>326.39999999999998</v>
      </c>
      <c r="DP82" s="18">
        <f>DO82*VLOOKUP('Données projet'!$B$14,Paramètres!$A$1:$I$89,3,0)*VLOOKUP('Données projet'!$B$14,Paramètres!$A$1:$I$89,5,0)</f>
        <v>259.68384000000003</v>
      </c>
      <c r="DQ82" s="14">
        <f t="shared" si="97"/>
        <v>62.654980648867358</v>
      </c>
      <c r="DR82" s="22">
        <f t="shared" si="70"/>
        <v>561.40677929677736</v>
      </c>
      <c r="DS82" s="62">
        <f t="shared" si="71"/>
        <v>854.74011263011062</v>
      </c>
      <c r="DT82" s="62">
        <f ca="1">AVERAGE(OFFSET($DS$3,0,0,'Données projet'!$E$14+1,1))-AVERAGE(OFFSET($H$3,0,0,'Données projet'!$E$14+1,1))</f>
        <v>279.49721661620544</v>
      </c>
      <c r="DU82" s="62">
        <f t="shared" si="98"/>
        <v>275.18739333988754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24.769812494547914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24.769812494547914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10.4</v>
      </c>
      <c r="EJ82" s="13">
        <f>IF('Données projet'!$A$192&gt;35,EJ81+EI82-ER81,IF(A82&lt;'Données projet'!$A$192,$EG$205^A82,IF(A82='Données projet'!$A$192,'Données projet'!$B$192,EJ81+EI82-ER81)))</f>
        <v>413.59999999999991</v>
      </c>
      <c r="EK82" s="18">
        <f>EJ82*VLOOKUP('Données projet'!$B$15,Paramètres!$A$1:$I$89,3,0)*VLOOKUP('Données projet'!$B$15,Paramètres!$A$1:$I$89,5,0)</f>
        <v>354.86879999999996</v>
      </c>
      <c r="EL82" s="14">
        <f t="shared" si="99"/>
        <v>82.564240228675203</v>
      </c>
      <c r="EM82" s="22">
        <f t="shared" si="73"/>
        <v>761.86254506494254</v>
      </c>
      <c r="EN82" s="62">
        <f t="shared" si="74"/>
        <v>1055.1958783982759</v>
      </c>
      <c r="EO82" s="62">
        <f ca="1">AVERAGE(OFFSET($EN$3,0,0,'Données projet'!$E$15+1,1))-AVERAGE(OFFSET($H$3,0,0,'Données projet'!$E$15+1,1))</f>
        <v>394.11074988418096</v>
      </c>
      <c r="EP82" s="62">
        <f t="shared" si="100"/>
        <v>241.85593029696236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41.748931556416515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41.748931556416515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4.5474735088646412E-13</v>
      </c>
      <c r="O83" s="14">
        <f>N83*VLOOKUP('Données projet'!$B$9,Paramètres!$A$1:$I$89,3,0)*VLOOKUP('Données projet'!$B$9,Paramètres!$A$1:$I$89,5,0)</f>
        <v>2.5420376914553347E-13</v>
      </c>
      <c r="P83" s="14">
        <f t="shared" si="87"/>
        <v>3.4258699088369875E-12</v>
      </c>
      <c r="Q83" s="22">
        <f t="shared" si="54"/>
        <v>6.4094616558195571E-12</v>
      </c>
      <c r="R83" s="62">
        <f t="shared" si="55"/>
        <v>293.33333333333974</v>
      </c>
      <c r="S83" s="62">
        <f ca="1">AVERAGE(OFFSET($R$3,0,0,'Données projet'!$E$9+1,1))-AVERAGE(OFFSET($H$3,0,0,'Données projet'!$E$9+1,1))</f>
        <v>539.2446452106276</v>
      </c>
      <c r="T83" s="62">
        <f t="shared" si="88"/>
        <v>596.73830276071465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317.80537376037364</v>
      </c>
      <c r="AA83" s="23">
        <f>EXP(-LN(2)/25)*AA82+(1-EXP(-LN(2)/25))/(LN(2)/25)*Calculateur!V83*Calculateur!X83*VLOOKUP('Données projet'!$B$9,Paramètres!$A$1:$I$89,3,0)*0.475*44/12</f>
        <v>48.789757979946664</v>
      </c>
      <c r="AB83" s="23">
        <f>EXP(-LN(2)/2)*AB82+(1-EXP(-LN(2)/2))/(LN(2)/2)*V83*Y83*VLOOKUP('Données projet'!$B$9,Paramètres!$A$1:$I$89,3,0)*0.475*44/12</f>
        <v>0.26151758186223473</v>
      </c>
      <c r="AC83" s="24">
        <f t="shared" si="57"/>
        <v>366.85664932218253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400</v>
      </c>
      <c r="AG83" s="13">
        <f>VLOOKUP(A83,'Données projet'!$A$61:$I$81,9,0)</f>
        <v>4.4000000000000004</v>
      </c>
      <c r="AH83" s="13">
        <f t="array" ref="AH83">INDEX(AG:AG,MIN(IF(ISNUMBER(AG83:AG279),ROW(AG83:AG279),"")))</f>
        <v>4.4000000000000004</v>
      </c>
      <c r="AI83" s="14">
        <f>IF('Données projet'!$A$62&gt;35,AI82+AH83-AQ82,IF(A83&lt;'Données projet'!$A$62,$AF$205^A83,IF(A83='Données projet'!$A$62,'Données projet'!$B$62,AI82+AH83-AQ82)))</f>
        <v>400.00000000000006</v>
      </c>
      <c r="AJ83" s="14">
        <f>AI83*VLOOKUP('Données projet'!$B$10,Paramètres!$A$1:$I$89,3,0)*VLOOKUP('Données projet'!$B$10,Paramètres!$A$1:$I$89,5,0)</f>
        <v>218.40000000000003</v>
      </c>
      <c r="AK83" s="14">
        <f t="shared" si="89"/>
        <v>53.76698603199852</v>
      </c>
      <c r="AL83" s="22">
        <f t="shared" si="58"/>
        <v>474.02416733906404</v>
      </c>
      <c r="AM83" s="62">
        <f t="shared" si="59"/>
        <v>767.35750067239735</v>
      </c>
      <c r="AN83" s="62">
        <f ca="1">AVERAGE(OFFSET($AM$3,0,0,'Données projet'!$E$10+1,1))-AVERAGE(OFFSET($H$3,0,0,'Données projet'!$E$10+1,1))</f>
        <v>262.6671000229498</v>
      </c>
      <c r="AO83" s="62">
        <f t="shared" si="90"/>
        <v>289.30432245776024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400</v>
      </c>
      <c r="AR83" s="17">
        <f>IF(ISNA(VLOOKUP(A83,'Données projet'!$A$61:$I$81,5,0)),0%,VLOOKUP(A83,'Données projet'!$A$61:$I$81,5,0)*VLOOKUP('Données projet'!$B$10,Paramètres!$A$1:$I$89,7,0))</f>
        <v>0.48</v>
      </c>
      <c r="AS83" s="17">
        <f>IF(ISNA(VLOOKUP(A83,'Données projet'!$A$61:$I$81,6,0)),0%,VLOOKUP(A83,'Données projet'!$A$61:$I$81,6,0)*VLOOKUP('Données projet'!$B$10,Paramètres!$A$1:$I$89,7,0))</f>
        <v>6.6000000000000003E-2</v>
      </c>
      <c r="AT83" s="17">
        <f>IF(ISNA(VLOOKUP(A83,'Données projet'!$A$61:$I$81,7,0)),0%,VLOOKUP(A83,'Données projet'!$A$61:$I$81,7,0))</f>
        <v>0.09</v>
      </c>
      <c r="AU83" s="23">
        <f>EXP(-LN(2)/35)*AU82+(1-EXP(-LN(2)/35))/(LN(2)/35)*AQ83*AR83*VLOOKUP('Données projet'!$B$10,Paramètres!$A$1:$I$89,3,0)*0.475*44/12</f>
        <v>179.47275168211533</v>
      </c>
      <c r="AV83" s="23">
        <f>EXP(-LN(2)/25)*AV82+(1-EXP(-LN(2)/25))/(LN(2)/25)*Calculateur!AQ83*Calculateur!AS83*VLOOKUP('Données projet'!$B$10,Paramètres!$A$1:$I$89,3,0)*0.475*44/12</f>
        <v>38.853760887988933</v>
      </c>
      <c r="AW83" s="23">
        <f>EXP(-LN(2)/2)*AW82+(1-EXP(-LN(2)/2))/(LN(2)/2)*AQ83*AT83*VLOOKUP('Données projet'!$B$10,Paramètres!$A$1:$I$89,3,0)*0.475*44/12</f>
        <v>22.454489457101158</v>
      </c>
      <c r="AX83" s="23">
        <f t="shared" si="60"/>
        <v>240.7810020272054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245</v>
      </c>
      <c r="CR83" s="13">
        <f>VLOOKUP(A83,'Données projet'!$A$139:$I$159,9,0)</f>
        <v>4</v>
      </c>
      <c r="CS83" s="13">
        <f t="array" ref="CS83">INDEX(CR:CR,MIN(IF(ISNUMBER(CR83:CR279),ROW(CR83:CR279),"")))</f>
        <v>4</v>
      </c>
      <c r="CT83" s="13">
        <f>IF('Données projet'!$A$140&gt;35,CT82+CS83-DB82,IF(A83&lt;'Données projet'!$A$140,$CQ$205^A83,IF(A83='Données projet'!$A$140,'Données projet'!$B$140,CT82+CS83-DB82)))</f>
        <v>245.00000000000003</v>
      </c>
      <c r="CU83" s="18">
        <f>CT83*VLOOKUP('Données projet'!$B$13,Paramètres!$A$1:$I$89,3,0)*VLOOKUP('Données projet'!$B$13,Paramètres!$A$1:$I$89,5,0)</f>
        <v>214.03200000000004</v>
      </c>
      <c r="CV83" s="14">
        <f t="shared" si="95"/>
        <v>52.815701536972242</v>
      </c>
      <c r="CW83" s="22">
        <f t="shared" si="67"/>
        <v>464.75974684356009</v>
      </c>
      <c r="CX83" s="62">
        <f t="shared" si="68"/>
        <v>758.09308017689341</v>
      </c>
      <c r="CY83" s="62">
        <f ca="1">AVERAGE(OFFSET($CX$3,0,0,'Données projet'!$E$13+1,1))-AVERAGE(OFFSET($H$3,0,0,'Données projet'!$E$13+1,1))</f>
        <v>268.27008134105046</v>
      </c>
      <c r="CZ83" s="62">
        <f t="shared" si="96"/>
        <v>252.36274686619709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15</v>
      </c>
      <c r="DC83" s="17">
        <f>IF(ISNA(VLOOKUP(A83,'Données projet'!$A$139:$I$159,5,0)),0%,VLOOKUP(A83,'Données projet'!$A$139:$I$159,5,0)*VLOOKUP('Données projet'!$B$13,Paramètres!$A$1:$I$89,7,0))</f>
        <v>0.30099999999999999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27.094885819123174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27.094885819123174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330</v>
      </c>
      <c r="DM83" s="13">
        <f>VLOOKUP(A83,'Données projet'!$A$165:$I$185,9,0)</f>
        <v>3.6</v>
      </c>
      <c r="DN83" s="13">
        <f t="array" ref="DN83">INDEX(DM:DM,MIN(IF(ISNUMBER(DM83:DM279),ROW(DM83:DM279),"")))</f>
        <v>3.6</v>
      </c>
      <c r="DO83" s="13">
        <f>IF('Données projet'!$A$166&gt;35,DO82+DN83-DW82,IF(A83&lt;'Données projet'!$A$166,$DL$205^A83,IF(A83='Données projet'!$A$166,'Données projet'!$B$166,DO82+DN83-DW82)))</f>
        <v>330</v>
      </c>
      <c r="DP83" s="18">
        <f>DO83*VLOOKUP('Données projet'!$B$14,Paramètres!$A$1:$I$89,3,0)*VLOOKUP('Données projet'!$B$14,Paramètres!$A$1:$I$89,5,0)</f>
        <v>262.548</v>
      </c>
      <c r="DQ83" s="14">
        <f t="shared" si="97"/>
        <v>63.265199933079444</v>
      </c>
      <c r="DR83" s="22">
        <f t="shared" si="70"/>
        <v>567.45798988344666</v>
      </c>
      <c r="DS83" s="62">
        <f t="shared" si="71"/>
        <v>860.79132321678003</v>
      </c>
      <c r="DT83" s="62">
        <f ca="1">AVERAGE(OFFSET($DS$3,0,0,'Données projet'!$E$14+1,1))-AVERAGE(OFFSET($H$3,0,0,'Données projet'!$E$14+1,1))</f>
        <v>279.49721661620544</v>
      </c>
      <c r="DU83" s="62">
        <f t="shared" si="98"/>
        <v>275.18739333988754</v>
      </c>
      <c r="DV83" s="16">
        <f>IF(ISNA(VLOOKUP(A83,'Données projet'!$A$165:$I$185,3,0)),0,VLOOKUP(A83,'Données projet'!$A$165:$I$185,3,0))</f>
        <v>15</v>
      </c>
      <c r="DW83" s="16">
        <f>IF(ISNA(VLOOKUP(A83,'Données projet'!$A$165:$I$185,4,0)),0,VLOOKUP(A83,'Données projet'!$A$165:$I$185,4,0))</f>
        <v>330</v>
      </c>
      <c r="DX83" s="17">
        <f>IF(ISNA(VLOOKUP(A83,'Données projet'!$A$165:$I$185,5,0)),0%,VLOOKUP(A83,'Données projet'!$A$165:$I$185,5,0)*VLOOKUP('Données projet'!$B$14,Paramètres!$A$1:$I$89,7,0))</f>
        <v>0.42400000000000004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147.34544335480527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147.34544335480527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424</v>
      </c>
      <c r="EH83" s="13">
        <f>VLOOKUP(A83,'Données projet'!$A$191:$I$211,9,0)</f>
        <v>10.4</v>
      </c>
      <c r="EI83" s="13">
        <f t="array" ref="EI83">INDEX(EH:EH,MIN(IF(ISNUMBER(EH83:EH279),ROW(EH83:EH279),"")))</f>
        <v>10.4</v>
      </c>
      <c r="EJ83" s="13">
        <f>IF('Données projet'!$A$192&gt;35,EJ82+EI83-ER82,IF(A83&lt;'Données projet'!$A$192,$EG$205^A83,IF(A83='Données projet'!$A$192,'Données projet'!$B$192,EJ82+EI83-ER82)))</f>
        <v>423.99999999999989</v>
      </c>
      <c r="EK83" s="18">
        <f>EJ83*VLOOKUP('Données projet'!$B$15,Paramètres!$A$1:$I$89,3,0)*VLOOKUP('Données projet'!$B$15,Paramètres!$A$1:$I$89,5,0)</f>
        <v>363.79199999999997</v>
      </c>
      <c r="EL83" s="14">
        <f t="shared" si="99"/>
        <v>84.396007741478684</v>
      </c>
      <c r="EM83" s="22">
        <f t="shared" si="73"/>
        <v>780.59411348307538</v>
      </c>
      <c r="EN83" s="62">
        <f t="shared" si="74"/>
        <v>1073.9274468164087</v>
      </c>
      <c r="EO83" s="62">
        <f ca="1">AVERAGE(OFFSET($EN$3,0,0,'Données projet'!$E$15+1,1))-AVERAGE(OFFSET($H$3,0,0,'Données projet'!$E$15+1,1))</f>
        <v>394.11074988418096</v>
      </c>
      <c r="EP83" s="62">
        <f t="shared" si="100"/>
        <v>241.85593029696236</v>
      </c>
      <c r="EQ83" s="16">
        <f>IF(ISNA(VLOOKUP(A83,'Données projet'!$A$191:$I$211,3,0)),0,VLOOKUP(A83,'Données projet'!$A$191:$I$211,3,0))</f>
        <v>13</v>
      </c>
      <c r="ER83" s="16">
        <f>IF(ISNA(VLOOKUP(A83,'Données projet'!$A$191:$I$211,4,0)),0,VLOOKUP(A83,'Données projet'!$A$191:$I$211,4,0))</f>
        <v>34</v>
      </c>
      <c r="ES83" s="17">
        <f>IF(ISNA(VLOOKUP(A83,'Données projet'!$A$191:$I$211,5,0)),0%,VLOOKUP(A83,'Données projet'!$A$191:$I$211,5,0)*VLOOKUP('Données projet'!$B$15,Paramètres!$A$1:$I$89,7,0))</f>
        <v>0.318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51.185373120860845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51.185373120860845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4.5474735088646412E-13</v>
      </c>
      <c r="O84" s="14">
        <f>N84*VLOOKUP('Données projet'!$B$9,Paramètres!$A$1:$I$89,3,0)*VLOOKUP('Données projet'!$B$9,Paramètres!$A$1:$I$89,5,0)</f>
        <v>2.5420376914553347E-13</v>
      </c>
      <c r="P84" s="14">
        <f t="shared" si="87"/>
        <v>3.4258699088369875E-12</v>
      </c>
      <c r="Q84" s="22">
        <f t="shared" si="54"/>
        <v>6.4094616558195571E-12</v>
      </c>
      <c r="R84" s="62">
        <f t="shared" si="55"/>
        <v>293.33333333333974</v>
      </c>
      <c r="S84" s="62">
        <f ca="1">AVERAGE(OFFSET($R$3,0,0,'Données projet'!$E$9+1,1))-AVERAGE(OFFSET($H$3,0,0,'Données projet'!$E$9+1,1))</f>
        <v>539.2446452106276</v>
      </c>
      <c r="T84" s="62">
        <f t="shared" si="88"/>
        <v>596.73830276071465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311.57340422307038</v>
      </c>
      <c r="AA84" s="23">
        <f>EXP(-LN(2)/25)*AA83+(1-EXP(-LN(2)/25))/(LN(2)/25)*Calculateur!V84*Calculateur!X84*VLOOKUP('Données projet'!$B$9,Paramètres!$A$1:$I$89,3,0)*0.475*44/12</f>
        <v>47.455599482243159</v>
      </c>
      <c r="AB84" s="23">
        <f>EXP(-LN(2)/2)*AB83+(1-EXP(-LN(2)/2))/(LN(2)/2)*V84*Y84*VLOOKUP('Données projet'!$B$9,Paramètres!$A$1:$I$89,3,0)*0.475*44/12</f>
        <v>0.18492085553429424</v>
      </c>
      <c r="AC84" s="24">
        <f t="shared" si="57"/>
        <v>359.21392456084783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3.1036506698001178E-14</v>
      </c>
      <c r="AK84" s="14">
        <f t="shared" si="89"/>
        <v>5.3428243983771088E-13</v>
      </c>
      <c r="AL84" s="22">
        <f t="shared" si="58"/>
        <v>9.8459716521636505E-13</v>
      </c>
      <c r="AM84" s="62">
        <f t="shared" si="59"/>
        <v>293.33333333333428</v>
      </c>
      <c r="AN84" s="62">
        <f ca="1">AVERAGE(OFFSET($AM$3,0,0,'Données projet'!$E$10+1,1))-AVERAGE(OFFSET($H$3,0,0,'Données projet'!$E$10+1,1))</f>
        <v>262.6671000229498</v>
      </c>
      <c r="AO84" s="62">
        <f t="shared" si="90"/>
        <v>289.30432245776024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175.95340048919854</v>
      </c>
      <c r="AV84" s="23">
        <f>EXP(-LN(2)/25)*AV83+(1-EXP(-LN(2)/25))/(LN(2)/25)*Calculateur!AQ84*Calculateur!AS84*VLOOKUP('Données projet'!$B$10,Paramètres!$A$1:$I$89,3,0)*0.475*44/12</f>
        <v>37.791302753276391</v>
      </c>
      <c r="AW84" s="23">
        <f>EXP(-LN(2)/2)*AW83+(1-EXP(-LN(2)/2))/(LN(2)/2)*AQ84*AT84*VLOOKUP('Données projet'!$B$10,Paramètres!$A$1:$I$89,3,0)*0.475*44/12</f>
        <v>15.877721763198068</v>
      </c>
      <c r="AX84" s="23">
        <f t="shared" si="60"/>
        <v>229.62242500567299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3.6</v>
      </c>
      <c r="CT84" s="13">
        <f>IF('Données projet'!$A$140&gt;35,CT83+CS84-DB83,IF(A84&lt;'Données projet'!$A$140,$CQ$205^A84,IF(A84='Données projet'!$A$140,'Données projet'!$B$140,CT83+CS84-DB83)))</f>
        <v>233.60000000000002</v>
      </c>
      <c r="CU84" s="18">
        <f>CT84*VLOOKUP('Données projet'!$B$13,Paramètres!$A$1:$I$89,3,0)*VLOOKUP('Données projet'!$B$13,Paramètres!$A$1:$I$89,5,0)</f>
        <v>204.07296000000005</v>
      </c>
      <c r="CV84" s="14">
        <f t="shared" si="95"/>
        <v>50.638228095278635</v>
      </c>
      <c r="CW84" s="22">
        <f t="shared" si="67"/>
        <v>443.62198593261041</v>
      </c>
      <c r="CX84" s="62">
        <f t="shared" si="68"/>
        <v>736.95531926594367</v>
      </c>
      <c r="CY84" s="62">
        <f ca="1">AVERAGE(OFFSET($CX$3,0,0,'Données projet'!$E$13+1,1))-AVERAGE(OFFSET($H$3,0,0,'Données projet'!$E$13+1,1))</f>
        <v>268.27008134105046</v>
      </c>
      <c r="CZ84" s="62">
        <f t="shared" si="96"/>
        <v>252.36274686619709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26.563571634458686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26.563571634458686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>
        <f>DO84*VLOOKUP('Données projet'!$B$14,Paramètres!$A$1:$I$89,3,0)*VLOOKUP('Données projet'!$B$14,Paramètres!$A$1:$I$89,5,0)</f>
        <v>0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279.49721661620544</v>
      </c>
      <c r="DU84" s="62">
        <f t="shared" si="98"/>
        <v>275.18739333988754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144.45608908246388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144.45608908246388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9.6</v>
      </c>
      <c r="EJ84" s="13">
        <f>IF('Données projet'!$A$192&gt;35,EJ83+EI84-ER83,IF(A84&lt;'Données projet'!$A$192,$EG$205^A84,IF(A84='Données projet'!$A$192,'Données projet'!$B$192,EJ83+EI84-ER83)))</f>
        <v>399.59999999999991</v>
      </c>
      <c r="EK84" s="18">
        <f>EJ84*VLOOKUP('Données projet'!$B$15,Paramètres!$A$1:$I$89,3,0)*VLOOKUP('Données projet'!$B$15,Paramètres!$A$1:$I$89,5,0)</f>
        <v>342.85679999999996</v>
      </c>
      <c r="EL84" s="14">
        <f t="shared" si="99"/>
        <v>80.089891653777826</v>
      </c>
      <c r="EM84" s="22">
        <f t="shared" si="73"/>
        <v>736.63215463032964</v>
      </c>
      <c r="EN84" s="62">
        <f t="shared" si="74"/>
        <v>1029.965487963663</v>
      </c>
      <c r="EO84" s="62">
        <f ca="1">AVERAGE(OFFSET($EN$3,0,0,'Données projet'!$E$15+1,1))-AVERAGE(OFFSET($H$3,0,0,'Données projet'!$E$15+1,1))</f>
        <v>394.11074988418096</v>
      </c>
      <c r="EP84" s="62">
        <f t="shared" si="100"/>
        <v>241.85593029696236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50.181659173955651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50.181659173955651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4.5474735088646412E-13</v>
      </c>
      <c r="O85" s="14">
        <f>N85*VLOOKUP('Données projet'!$B$9,Paramètres!$A$1:$I$89,3,0)*VLOOKUP('Données projet'!$B$9,Paramètres!$A$1:$I$89,5,0)</f>
        <v>2.5420376914553347E-13</v>
      </c>
      <c r="P85" s="14">
        <f t="shared" si="87"/>
        <v>3.4258699088369875E-12</v>
      </c>
      <c r="Q85" s="22">
        <f t="shared" si="54"/>
        <v>6.4094616558195571E-12</v>
      </c>
      <c r="R85" s="62">
        <f t="shared" si="55"/>
        <v>293.33333333333974</v>
      </c>
      <c r="S85" s="62">
        <f ca="1">AVERAGE(OFFSET($R$3,0,0,'Données projet'!$E$9+1,1))-AVERAGE(OFFSET($H$3,0,0,'Données projet'!$E$9+1,1))</f>
        <v>539.2446452106276</v>
      </c>
      <c r="T85" s="62">
        <f t="shared" si="88"/>
        <v>596.73830276071465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305.46363980726755</v>
      </c>
      <c r="AA85" s="23">
        <f>EXP(-LN(2)/25)*AA84+(1-EXP(-LN(2)/25))/(LN(2)/25)*Calculateur!V85*Calculateur!X85*VLOOKUP('Données projet'!$B$9,Paramètres!$A$1:$I$89,3,0)*0.475*44/12</f>
        <v>46.157923618819702</v>
      </c>
      <c r="AB85" s="23">
        <f>EXP(-LN(2)/2)*AB84+(1-EXP(-LN(2)/2))/(LN(2)/2)*V85*Y85*VLOOKUP('Données projet'!$B$9,Paramètres!$A$1:$I$89,3,0)*0.475*44/12</f>
        <v>0.13075879093111736</v>
      </c>
      <c r="AC85" s="24">
        <f t="shared" si="57"/>
        <v>351.75232221701839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3.1036506698001178E-14</v>
      </c>
      <c r="AK85" s="14">
        <f t="shared" si="89"/>
        <v>5.3428243983771088E-13</v>
      </c>
      <c r="AL85" s="22">
        <f t="shared" si="58"/>
        <v>9.8459716521636505E-13</v>
      </c>
      <c r="AM85" s="62">
        <f t="shared" si="59"/>
        <v>293.33333333333428</v>
      </c>
      <c r="AN85" s="62">
        <f ca="1">AVERAGE(OFFSET($AM$3,0,0,'Données projet'!$E$10+1,1))-AVERAGE(OFFSET($H$3,0,0,'Données projet'!$E$10+1,1))</f>
        <v>262.6671000229498</v>
      </c>
      <c r="AO85" s="62">
        <f t="shared" si="90"/>
        <v>289.30432245776024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172.50306162658259</v>
      </c>
      <c r="AV85" s="23">
        <f>EXP(-LN(2)/25)*AV84+(1-EXP(-LN(2)/25))/(LN(2)/25)*Calculateur!AQ85*Calculateur!AS85*VLOOKUP('Données projet'!$B$10,Paramètres!$A$1:$I$89,3,0)*0.475*44/12</f>
        <v>36.757897592129808</v>
      </c>
      <c r="AW85" s="23">
        <f>EXP(-LN(2)/2)*AW84+(1-EXP(-LN(2)/2))/(LN(2)/2)*AQ85*AT85*VLOOKUP('Données projet'!$B$10,Paramètres!$A$1:$I$89,3,0)*0.475*44/12</f>
        <v>11.227244728550581</v>
      </c>
      <c r="AX85" s="23">
        <f t="shared" si="60"/>
        <v>220.48820394726297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3.6</v>
      </c>
      <c r="CT85" s="13">
        <f>IF('Données projet'!$A$140&gt;35,CT84+CS85-DB84,IF(A85&lt;'Données projet'!$A$140,$CQ$205^A85,IF(A85='Données projet'!$A$140,'Données projet'!$B$140,CT84+CS85-DB84)))</f>
        <v>237.20000000000002</v>
      </c>
      <c r="CU85" s="18">
        <f>CT85*VLOOKUP('Données projet'!$B$13,Paramètres!$A$1:$I$89,3,0)*VLOOKUP('Données projet'!$B$13,Paramètres!$A$1:$I$89,5,0)</f>
        <v>207.21792000000005</v>
      </c>
      <c r="CV85" s="14">
        <f t="shared" si="95"/>
        <v>51.327160141561521</v>
      </c>
      <c r="CW85" s="22">
        <f t="shared" si="67"/>
        <v>450.29934791321972</v>
      </c>
      <c r="CX85" s="62">
        <f t="shared" si="68"/>
        <v>743.63268124655303</v>
      </c>
      <c r="CY85" s="62">
        <f ca="1">AVERAGE(OFFSET($CX$3,0,0,'Données projet'!$E$13+1,1))-AVERAGE(OFFSET($H$3,0,0,'Données projet'!$E$13+1,1))</f>
        <v>268.27008134105046</v>
      </c>
      <c r="CZ85" s="62">
        <f t="shared" si="96"/>
        <v>252.36274686619709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26.042676196885814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26.042676196885814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>
        <f>DO85*VLOOKUP('Données projet'!$B$14,Paramètres!$A$1:$I$89,3,0)*VLOOKUP('Données projet'!$B$14,Paramètres!$A$1:$I$89,5,0)</f>
        <v>0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279.49721661620544</v>
      </c>
      <c r="DU85" s="62">
        <f t="shared" si="98"/>
        <v>275.18739333988754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141.62339328507102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141.62339328507102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9.6</v>
      </c>
      <c r="EJ85" s="13">
        <f>IF('Données projet'!$A$192&gt;35,EJ84+EI85-ER84,IF(A85&lt;'Données projet'!$A$192,$EG$205^A85,IF(A85='Données projet'!$A$192,'Données projet'!$B$192,EJ84+EI85-ER84)))</f>
        <v>409.19999999999993</v>
      </c>
      <c r="EK85" s="18">
        <f>EJ85*VLOOKUP('Données projet'!$B$15,Paramètres!$A$1:$I$89,3,0)*VLOOKUP('Données projet'!$B$15,Paramètres!$A$1:$I$89,5,0)</f>
        <v>351.09359999999998</v>
      </c>
      <c r="EL85" s="14">
        <f t="shared" si="99"/>
        <v>81.787653933539033</v>
      </c>
      <c r="EM85" s="22">
        <f t="shared" si="73"/>
        <v>753.93485060091371</v>
      </c>
      <c r="EN85" s="62">
        <f t="shared" si="74"/>
        <v>1047.268183934247</v>
      </c>
      <c r="EO85" s="62">
        <f ca="1">AVERAGE(OFFSET($EN$3,0,0,'Données projet'!$E$15+1,1))-AVERAGE(OFFSET($H$3,0,0,'Données projet'!$E$15+1,1))</f>
        <v>394.11074988418096</v>
      </c>
      <c r="EP85" s="62">
        <f t="shared" si="100"/>
        <v>241.85593029696236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49.19762744534421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49.19762744534421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4.5474735088646412E-13</v>
      </c>
      <c r="O86" s="14">
        <f>N86*VLOOKUP('Données projet'!$B$9,Paramètres!$A$1:$I$89,3,0)*VLOOKUP('Données projet'!$B$9,Paramètres!$A$1:$I$89,5,0)</f>
        <v>2.5420376914553347E-13</v>
      </c>
      <c r="P86" s="14">
        <f t="shared" si="87"/>
        <v>3.4258699088369875E-12</v>
      </c>
      <c r="Q86" s="22">
        <f t="shared" si="54"/>
        <v>6.4094616558195571E-12</v>
      </c>
      <c r="R86" s="62">
        <f t="shared" si="55"/>
        <v>293.33333333333974</v>
      </c>
      <c r="S86" s="62">
        <f ca="1">AVERAGE(OFFSET($R$3,0,0,'Données projet'!$E$9+1,1))-AVERAGE(OFFSET($H$3,0,0,'Données projet'!$E$9+1,1))</f>
        <v>539.2446452106276</v>
      </c>
      <c r="T86" s="62">
        <f t="shared" si="88"/>
        <v>596.73830276071465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299.47368414507031</v>
      </c>
      <c r="AA86" s="23">
        <f>EXP(-LN(2)/25)*AA85+(1-EXP(-LN(2)/25))/(LN(2)/25)*Calculateur!V86*Calculateur!X86*VLOOKUP('Données projet'!$B$9,Paramètres!$A$1:$I$89,3,0)*0.475*44/12</f>
        <v>44.895732770123367</v>
      </c>
      <c r="AB86" s="23">
        <f>EXP(-LN(2)/2)*AB85+(1-EXP(-LN(2)/2))/(LN(2)/2)*V86*Y86*VLOOKUP('Données projet'!$B$9,Paramètres!$A$1:$I$89,3,0)*0.475*44/12</f>
        <v>9.2460427767147121E-2</v>
      </c>
      <c r="AC86" s="24">
        <f t="shared" si="57"/>
        <v>344.4618773429608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3.1036506698001178E-14</v>
      </c>
      <c r="AK86" s="14">
        <f t="shared" si="89"/>
        <v>5.3428243983771088E-13</v>
      </c>
      <c r="AL86" s="22">
        <f t="shared" si="58"/>
        <v>9.8459716521636505E-13</v>
      </c>
      <c r="AM86" s="62">
        <f t="shared" si="59"/>
        <v>293.33333333333428</v>
      </c>
      <c r="AN86" s="62">
        <f ca="1">AVERAGE(OFFSET($AM$3,0,0,'Données projet'!$E$10+1,1))-AVERAGE(OFFSET($H$3,0,0,'Données projet'!$E$10+1,1))</f>
        <v>262.6671000229498</v>
      </c>
      <c r="AO86" s="62">
        <f t="shared" si="90"/>
        <v>289.30432245776024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169.12038180456364</v>
      </c>
      <c r="AV86" s="23">
        <f>EXP(-LN(2)/25)*AV85+(1-EXP(-LN(2)/25))/(LN(2)/25)*Calculateur!AQ86*Calculateur!AS86*VLOOKUP('Données projet'!$B$10,Paramètres!$A$1:$I$89,3,0)*0.475*44/12</f>
        <v>35.752750949459198</v>
      </c>
      <c r="AW86" s="23">
        <f>EXP(-LN(2)/2)*AW85+(1-EXP(-LN(2)/2))/(LN(2)/2)*AQ86*AT86*VLOOKUP('Données projet'!$B$10,Paramètres!$A$1:$I$89,3,0)*0.475*44/12</f>
        <v>7.9388608815990347</v>
      </c>
      <c r="AX86" s="23">
        <f t="shared" si="60"/>
        <v>212.81199363562186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3.6</v>
      </c>
      <c r="CT86" s="13">
        <f>IF('Données projet'!$A$140&gt;35,CT85+CS86-DB85,IF(A86&lt;'Données projet'!$A$140,$CQ$205^A86,IF(A86='Données projet'!$A$140,'Données projet'!$B$140,CT85+CS86-DB85)))</f>
        <v>240.8</v>
      </c>
      <c r="CU86" s="18">
        <f>CT86*VLOOKUP('Données projet'!$B$13,Paramètres!$A$1:$I$89,3,0)*VLOOKUP('Données projet'!$B$13,Paramètres!$A$1:$I$89,5,0)</f>
        <v>210.36288000000002</v>
      </c>
      <c r="CV86" s="14">
        <f t="shared" si="95"/>
        <v>52.014876138342963</v>
      </c>
      <c r="CW86" s="22">
        <f t="shared" si="67"/>
        <v>456.97459194094728</v>
      </c>
      <c r="CX86" s="62">
        <f t="shared" si="68"/>
        <v>750.30792527428059</v>
      </c>
      <c r="CY86" s="62">
        <f ca="1">AVERAGE(OFFSET($CX$3,0,0,'Données projet'!$E$13+1,1))-AVERAGE(OFFSET($H$3,0,0,'Données projet'!$E$13+1,1))</f>
        <v>268.27008134105046</v>
      </c>
      <c r="CZ86" s="62">
        <f t="shared" si="96"/>
        <v>252.36274686619709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25.531995201128904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25.531995201128904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>
        <f>DO86*VLOOKUP('Données projet'!$B$14,Paramètres!$A$1:$I$89,3,0)*VLOOKUP('Données projet'!$B$14,Paramètres!$A$1:$I$89,5,0)</f>
        <v>0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279.49721661620544</v>
      </c>
      <c r="DU86" s="62">
        <f t="shared" si="98"/>
        <v>275.18739333988754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138.8462449244912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138.8462449244912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9.6</v>
      </c>
      <c r="EJ86" s="13">
        <f>IF('Données projet'!$A$192&gt;35,EJ85+EI86-ER85,IF(A86&lt;'Données projet'!$A$192,$EG$205^A86,IF(A86='Données projet'!$A$192,'Données projet'!$B$192,EJ85+EI86-ER85)))</f>
        <v>418.79999999999995</v>
      </c>
      <c r="EK86" s="18">
        <f>EJ86*VLOOKUP('Données projet'!$B$15,Paramètres!$A$1:$I$89,3,0)*VLOOKUP('Données projet'!$B$15,Paramètres!$A$1:$I$89,5,0)</f>
        <v>359.3304</v>
      </c>
      <c r="EL86" s="14">
        <f t="shared" si="99"/>
        <v>83.48078585362731</v>
      </c>
      <c r="EM86" s="22">
        <f t="shared" si="73"/>
        <v>771.22948202840087</v>
      </c>
      <c r="EN86" s="62">
        <f t="shared" si="74"/>
        <v>1064.5628153617342</v>
      </c>
      <c r="EO86" s="62">
        <f ca="1">AVERAGE(OFFSET($EN$3,0,0,'Données projet'!$E$15+1,1))-AVERAGE(OFFSET($H$3,0,0,'Données projet'!$E$15+1,1))</f>
        <v>394.11074988418096</v>
      </c>
      <c r="EP86" s="62">
        <f t="shared" si="100"/>
        <v>241.85593029696236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48.232891978730748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48.232891978730748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4.5474735088646412E-13</v>
      </c>
      <c r="O87" s="14">
        <f>N87*VLOOKUP('Données projet'!$B$9,Paramètres!$A$1:$I$89,3,0)*VLOOKUP('Données projet'!$B$9,Paramètres!$A$1:$I$89,5,0)</f>
        <v>2.5420376914553347E-13</v>
      </c>
      <c r="P87" s="14">
        <f t="shared" si="87"/>
        <v>3.4258699088369875E-12</v>
      </c>
      <c r="Q87" s="22">
        <f t="shared" si="54"/>
        <v>6.4094616558195571E-12</v>
      </c>
      <c r="R87" s="62">
        <f t="shared" si="55"/>
        <v>293.33333333333974</v>
      </c>
      <c r="S87" s="62">
        <f ca="1">AVERAGE(OFFSET($R$3,0,0,'Données projet'!$E$9+1,1))-AVERAGE(OFFSET($H$3,0,0,'Données projet'!$E$9+1,1))</f>
        <v>539.2446452106276</v>
      </c>
      <c r="T87" s="62">
        <f t="shared" si="88"/>
        <v>596.73830276071465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293.60118785989653</v>
      </c>
      <c r="AA87" s="23">
        <f>EXP(-LN(2)/25)*AA86+(1-EXP(-LN(2)/25))/(LN(2)/25)*Calculateur!V87*Calculateur!X87*VLOOKUP('Données projet'!$B$9,Paramètres!$A$1:$I$89,3,0)*0.475*44/12</f>
        <v>43.668056596560369</v>
      </c>
      <c r="AB87" s="23">
        <f>EXP(-LN(2)/2)*AB86+(1-EXP(-LN(2)/2))/(LN(2)/2)*V87*Y87*VLOOKUP('Données projet'!$B$9,Paramètres!$A$1:$I$89,3,0)*0.475*44/12</f>
        <v>6.5379395465558682E-2</v>
      </c>
      <c r="AC87" s="24">
        <f t="shared" si="57"/>
        <v>337.33462385192246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3.1036506698001178E-14</v>
      </c>
      <c r="AK87" s="14">
        <f t="shared" si="89"/>
        <v>5.3428243983771088E-13</v>
      </c>
      <c r="AL87" s="22">
        <f t="shared" si="58"/>
        <v>9.8459716521636505E-13</v>
      </c>
      <c r="AM87" s="62">
        <f t="shared" si="59"/>
        <v>293.33333333333428</v>
      </c>
      <c r="AN87" s="62">
        <f ca="1">AVERAGE(OFFSET($AM$3,0,0,'Données projet'!$E$10+1,1))-AVERAGE(OFFSET($H$3,0,0,'Données projet'!$E$10+1,1))</f>
        <v>262.6671000229498</v>
      </c>
      <c r="AO87" s="62">
        <f t="shared" si="90"/>
        <v>289.30432245776024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165.8040342706235</v>
      </c>
      <c r="AV87" s="23">
        <f>EXP(-LN(2)/25)*AV86+(1-EXP(-LN(2)/25))/(LN(2)/25)*Calculateur!AQ87*Calculateur!AS87*VLOOKUP('Données projet'!$B$10,Paramètres!$A$1:$I$89,3,0)*0.475*44/12</f>
        <v>34.77509009459078</v>
      </c>
      <c r="AW87" s="23">
        <f>EXP(-LN(2)/2)*AW86+(1-EXP(-LN(2)/2))/(LN(2)/2)*AQ87*AT87*VLOOKUP('Données projet'!$B$10,Paramètres!$A$1:$I$89,3,0)*0.475*44/12</f>
        <v>5.6136223642752912</v>
      </c>
      <c r="AX87" s="23">
        <f t="shared" si="60"/>
        <v>206.19274672948958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3.6</v>
      </c>
      <c r="CT87" s="13">
        <f>IF('Données projet'!$A$140&gt;35,CT86+CS87-DB86,IF(A87&lt;'Données projet'!$A$140,$CQ$205^A87,IF(A87='Données projet'!$A$140,'Données projet'!$B$140,CT86+CS87-DB86)))</f>
        <v>244.4</v>
      </c>
      <c r="CU87" s="18">
        <f>CT87*VLOOKUP('Données projet'!$B$13,Paramètres!$A$1:$I$89,3,0)*VLOOKUP('Données projet'!$B$13,Paramètres!$A$1:$I$89,5,0)</f>
        <v>213.50784000000002</v>
      </c>
      <c r="CV87" s="14">
        <f t="shared" si="95"/>
        <v>52.701396365805124</v>
      </c>
      <c r="CW87" s="22">
        <f t="shared" si="67"/>
        <v>463.6477533371106</v>
      </c>
      <c r="CX87" s="62">
        <f t="shared" si="68"/>
        <v>756.98108667044391</v>
      </c>
      <c r="CY87" s="62">
        <f ca="1">AVERAGE(OFFSET($CX$3,0,0,'Données projet'!$E$13+1,1))-AVERAGE(OFFSET($H$3,0,0,'Données projet'!$E$13+1,1))</f>
        <v>268.27008134105046</v>
      </c>
      <c r="CZ87" s="62">
        <f t="shared" si="96"/>
        <v>252.36274686619709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25.031328348214135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25.031328348214135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>
        <f>DO87*VLOOKUP('Données projet'!$B$14,Paramètres!$A$1:$I$89,3,0)*VLOOKUP('Données projet'!$B$14,Paramètres!$A$1:$I$89,5,0)</f>
        <v>0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279.49721661620544</v>
      </c>
      <c r="DU87" s="62">
        <f t="shared" si="98"/>
        <v>275.18739333988754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136.12355474936911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136.12355474936911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9.6</v>
      </c>
      <c r="EJ87" s="13">
        <f>IF('Données projet'!$A$192&gt;35,EJ86+EI87-ER86,IF(A87&lt;'Données projet'!$A$192,$EG$205^A87,IF(A87='Données projet'!$A$192,'Données projet'!$B$192,EJ86+EI87-ER86)))</f>
        <v>428.4</v>
      </c>
      <c r="EK87" s="18">
        <f>EJ87*VLOOKUP('Données projet'!$B$15,Paramètres!$A$1:$I$89,3,0)*VLOOKUP('Données projet'!$B$15,Paramètres!$A$1:$I$89,5,0)</f>
        <v>367.56720000000001</v>
      </c>
      <c r="EL87" s="14">
        <f t="shared" si="99"/>
        <v>85.169405771799362</v>
      </c>
      <c r="EM87" s="22">
        <f t="shared" si="73"/>
        <v>788.5162550525506</v>
      </c>
      <c r="EN87" s="62">
        <f t="shared" si="74"/>
        <v>1081.8495883858839</v>
      </c>
      <c r="EO87" s="62">
        <f ca="1">AVERAGE(OFFSET($EN$3,0,0,'Données projet'!$E$15+1,1))-AVERAGE(OFFSET($H$3,0,0,'Données projet'!$E$15+1,1))</f>
        <v>394.11074988418096</v>
      </c>
      <c r="EP87" s="62">
        <f t="shared" si="100"/>
        <v>241.85593029696236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47.287074386187044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47.287074386187044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4.5474735088646412E-13</v>
      </c>
      <c r="O88" s="14">
        <f>N88*VLOOKUP('Données projet'!$B$9,Paramètres!$A$1:$I$89,3,0)*VLOOKUP('Données projet'!$B$9,Paramètres!$A$1:$I$89,5,0)</f>
        <v>2.5420376914553347E-13</v>
      </c>
      <c r="P88" s="14">
        <f t="shared" si="87"/>
        <v>3.4258699088369875E-12</v>
      </c>
      <c r="Q88" s="22">
        <f t="shared" si="54"/>
        <v>6.4094616558195571E-12</v>
      </c>
      <c r="R88" s="62">
        <f t="shared" si="55"/>
        <v>293.33333333333974</v>
      </c>
      <c r="S88" s="62">
        <f ca="1">AVERAGE(OFFSET($R$3,0,0,'Données projet'!$E$9+1,1))-AVERAGE(OFFSET($H$3,0,0,'Données projet'!$E$9+1,1))</f>
        <v>539.2446452106276</v>
      </c>
      <c r="T88" s="62">
        <f t="shared" si="88"/>
        <v>596.73830276071465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287.84384764500595</v>
      </c>
      <c r="AA88" s="23">
        <f>EXP(-LN(2)/25)*AA87+(1-EXP(-LN(2)/25))/(LN(2)/25)*Calculateur!V88*Calculateur!X88*VLOOKUP('Données projet'!$B$9,Paramètres!$A$1:$I$89,3,0)*0.475*44/12</f>
        <v>42.473951292524134</v>
      </c>
      <c r="AB88" s="23">
        <f>EXP(-LN(2)/2)*AB87+(1-EXP(-LN(2)/2))/(LN(2)/2)*V88*Y88*VLOOKUP('Données projet'!$B$9,Paramètres!$A$1:$I$89,3,0)*0.475*44/12</f>
        <v>4.6230213883573561E-2</v>
      </c>
      <c r="AC88" s="24">
        <f t="shared" si="57"/>
        <v>330.36402915141366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3.1036506698001178E-14</v>
      </c>
      <c r="AK88" s="14">
        <f t="shared" si="89"/>
        <v>5.3428243983771088E-13</v>
      </c>
      <c r="AL88" s="22">
        <f t="shared" si="58"/>
        <v>9.8459716521636505E-13</v>
      </c>
      <c r="AM88" s="62">
        <f t="shared" si="59"/>
        <v>293.33333333333428</v>
      </c>
      <c r="AN88" s="62">
        <f ca="1">AVERAGE(OFFSET($AM$3,0,0,'Données projet'!$E$10+1,1))-AVERAGE(OFFSET($H$3,0,0,'Données projet'!$E$10+1,1))</f>
        <v>262.6671000229498</v>
      </c>
      <c r="AO88" s="62">
        <f t="shared" si="90"/>
        <v>289.30432245776024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162.55271828905168</v>
      </c>
      <c r="AV88" s="23">
        <f>EXP(-LN(2)/25)*AV87+(1-EXP(-LN(2)/25))/(LN(2)/25)*Calculateur!AQ88*Calculateur!AS88*VLOOKUP('Données projet'!$B$10,Paramètres!$A$1:$I$89,3,0)*0.475*44/12</f>
        <v>33.824163427211687</v>
      </c>
      <c r="AW88" s="23">
        <f>EXP(-LN(2)/2)*AW87+(1-EXP(-LN(2)/2))/(LN(2)/2)*AQ88*AT88*VLOOKUP('Données projet'!$B$10,Paramètres!$A$1:$I$89,3,0)*0.475*44/12</f>
        <v>3.9694304407995182</v>
      </c>
      <c r="AX88" s="23">
        <f t="shared" si="60"/>
        <v>200.3463121570629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248</v>
      </c>
      <c r="CR88" s="13">
        <f>VLOOKUP(A88,'Données projet'!$A$139:$I$159,9,0)</f>
        <v>3.6</v>
      </c>
      <c r="CS88" s="13">
        <f t="array" ref="CS88">INDEX(CR:CR,MIN(IF(ISNUMBER(CR88:CR284),ROW(CR88:CR284),"")))</f>
        <v>3.6</v>
      </c>
      <c r="CT88" s="13">
        <f>IF('Données projet'!$A$140&gt;35,CT87+CS88-DB87,IF(A88&lt;'Données projet'!$A$140,$CQ$205^A88,IF(A88='Données projet'!$A$140,'Données projet'!$B$140,CT87+CS88-DB87)))</f>
        <v>248</v>
      </c>
      <c r="CU88" s="18">
        <f>CT88*VLOOKUP('Données projet'!$B$13,Paramètres!$A$1:$I$89,3,0)*VLOOKUP('Données projet'!$B$13,Paramètres!$A$1:$I$89,5,0)</f>
        <v>216.65280000000004</v>
      </c>
      <c r="CV88" s="14">
        <f t="shared" si="95"/>
        <v>53.38674047237982</v>
      </c>
      <c r="CW88" s="22">
        <f t="shared" si="67"/>
        <v>470.3188663227283</v>
      </c>
      <c r="CX88" s="62">
        <f t="shared" si="68"/>
        <v>763.65219965606161</v>
      </c>
      <c r="CY88" s="62">
        <f ca="1">AVERAGE(OFFSET($CX$3,0,0,'Données projet'!$E$13+1,1))-AVERAGE(OFFSET($H$3,0,0,'Données projet'!$E$13+1,1))</f>
        <v>268.27008134105046</v>
      </c>
      <c r="CZ88" s="62">
        <f t="shared" si="96"/>
        <v>252.36274686619709</v>
      </c>
      <c r="DA88" s="16">
        <f>IF(ISNA(VLOOKUP(A88,'Données projet'!$A$139:$I$159,3,0)),0,VLOOKUP(A88,'Données projet'!$A$139:$I$159,3,0))</f>
        <v>16</v>
      </c>
      <c r="DB88" s="16">
        <f>IF(ISNA(VLOOKUP(A88,'Données projet'!$A$139:$I$159,4,0)),0,VLOOKUP(A88,'Données projet'!$A$139:$I$159,4,0))</f>
        <v>14</v>
      </c>
      <c r="DC88" s="17">
        <f>IF(ISNA(VLOOKUP(A88,'Données projet'!$A$139:$I$159,5,0)),0%,VLOOKUP(A88,'Données projet'!$A$139:$I$159,5,0)*VLOOKUP('Données projet'!$B$13,Paramètres!$A$1:$I$89,7,0))</f>
        <v>0.30099999999999999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28.610103090790176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28.610103090790176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>
        <f>DO88*VLOOKUP('Données projet'!$B$14,Paramètres!$A$1:$I$89,3,0)*VLOOKUP('Données projet'!$B$14,Paramètres!$A$1:$I$89,5,0)</f>
        <v>0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279.49721661620544</v>
      </c>
      <c r="DU88" s="62">
        <f t="shared" si="98"/>
        <v>275.18739333988754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133.45425486790413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133.45425486790413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438</v>
      </c>
      <c r="EH88" s="13">
        <f>VLOOKUP(A88,'Données projet'!$A$191:$I$211,9,0)</f>
        <v>9.6</v>
      </c>
      <c r="EI88" s="13">
        <f t="array" ref="EI88">INDEX(EH:EH,MIN(IF(ISNUMBER(EH88:EH284),ROW(EH88:EH284),"")))</f>
        <v>9.6</v>
      </c>
      <c r="EJ88" s="13">
        <f>IF('Données projet'!$A$192&gt;35,EJ87+EI88-ER87,IF(A88&lt;'Données projet'!$A$192,$EG$205^A88,IF(A88='Données projet'!$A$192,'Données projet'!$B$192,EJ87+EI88-ER87)))</f>
        <v>438</v>
      </c>
      <c r="EK88" s="18">
        <f>EJ88*VLOOKUP('Données projet'!$B$15,Paramètres!$A$1:$I$89,3,0)*VLOOKUP('Données projet'!$B$15,Paramètres!$A$1:$I$89,5,0)</f>
        <v>375.80400000000003</v>
      </c>
      <c r="EL88" s="14">
        <f t="shared" si="99"/>
        <v>86.853626438441253</v>
      </c>
      <c r="EM88" s="22">
        <f t="shared" si="73"/>
        <v>805.79536604695193</v>
      </c>
      <c r="EN88" s="62">
        <f t="shared" si="74"/>
        <v>1099.1286993802853</v>
      </c>
      <c r="EO88" s="62">
        <f ca="1">AVERAGE(OFFSET($EN$3,0,0,'Données projet'!$E$15+1,1))-AVERAGE(OFFSET($H$3,0,0,'Données projet'!$E$15+1,1))</f>
        <v>394.11074988418096</v>
      </c>
      <c r="EP88" s="62">
        <f t="shared" si="100"/>
        <v>241.85593029696236</v>
      </c>
      <c r="EQ88" s="16">
        <f>IF(ISNA(VLOOKUP(A88,'Données projet'!$A$191:$I$211,3,0)),0,VLOOKUP(A88,'Données projet'!$A$191:$I$211,3,0))</f>
        <v>14</v>
      </c>
      <c r="ER88" s="16">
        <f>IF(ISNA(VLOOKUP(A88,'Données projet'!$A$191:$I$211,4,0)),0,VLOOKUP(A88,'Données projet'!$A$191:$I$211,4,0))</f>
        <v>33</v>
      </c>
      <c r="ES88" s="17">
        <f>IF(ISNA(VLOOKUP(A88,'Données projet'!$A$191:$I$211,5,0)),0%,VLOOKUP(A88,'Données projet'!$A$191:$I$211,5,0)*VLOOKUP('Données projet'!$B$15,Paramètres!$A$1:$I$89,7,0))</f>
        <v>0.371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57.972210668722951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57.972210668722951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4.5474735088646412E-13</v>
      </c>
      <c r="O89" s="14">
        <f>N89*VLOOKUP('Données projet'!$B$9,Paramètres!$A$1:$I$89,3,0)*VLOOKUP('Données projet'!$B$9,Paramètres!$A$1:$I$89,5,0)</f>
        <v>2.5420376914553347E-13</v>
      </c>
      <c r="P89" s="14">
        <f t="shared" si="87"/>
        <v>3.4258699088369875E-12</v>
      </c>
      <c r="Q89" s="22">
        <f t="shared" si="54"/>
        <v>6.4094616558195571E-12</v>
      </c>
      <c r="R89" s="62">
        <f t="shared" si="55"/>
        <v>293.33333333333974</v>
      </c>
      <c r="S89" s="62">
        <f ca="1">AVERAGE(OFFSET($R$3,0,0,'Données projet'!$E$9+1,1))-AVERAGE(OFFSET($H$3,0,0,'Données projet'!$E$9+1,1))</f>
        <v>539.2446452106276</v>
      </c>
      <c r="T89" s="62">
        <f t="shared" si="88"/>
        <v>596.73830276071465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282.19940536009858</v>
      </c>
      <c r="AA89" s="23">
        <f>EXP(-LN(2)/25)*AA88+(1-EXP(-LN(2)/25))/(LN(2)/25)*Calculateur!V89*Calculateur!X89*VLOOKUP('Données projet'!$B$9,Paramètres!$A$1:$I$89,3,0)*0.475*44/12</f>
        <v>41.312498860822039</v>
      </c>
      <c r="AB89" s="23">
        <f>EXP(-LN(2)/2)*AB88+(1-EXP(-LN(2)/2))/(LN(2)/2)*V89*Y89*VLOOKUP('Données projet'!$B$9,Paramètres!$A$1:$I$89,3,0)*0.475*44/12</f>
        <v>3.2689697732779341E-2</v>
      </c>
      <c r="AC89" s="24">
        <f t="shared" si="57"/>
        <v>323.54459391865339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3.1036506698001178E-14</v>
      </c>
      <c r="AK89" s="14">
        <f t="shared" si="89"/>
        <v>5.3428243983771088E-13</v>
      </c>
      <c r="AL89" s="22">
        <f t="shared" si="58"/>
        <v>9.8459716521636505E-13</v>
      </c>
      <c r="AM89" s="62">
        <f t="shared" si="59"/>
        <v>293.33333333333428</v>
      </c>
      <c r="AN89" s="62">
        <f ca="1">AVERAGE(OFFSET($AM$3,0,0,'Données projet'!$E$10+1,1))-AVERAGE(OFFSET($H$3,0,0,'Données projet'!$E$10+1,1))</f>
        <v>262.6671000229498</v>
      </c>
      <c r="AO89" s="62">
        <f t="shared" si="90"/>
        <v>289.30432245776024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159.36515863077153</v>
      </c>
      <c r="AV89" s="23">
        <f>EXP(-LN(2)/25)*AV88+(1-EXP(-LN(2)/25))/(LN(2)/25)*Calculateur!AQ89*Calculateur!AS89*VLOOKUP('Données projet'!$B$10,Paramètres!$A$1:$I$89,3,0)*0.475*44/12</f>
        <v>32.899239899559134</v>
      </c>
      <c r="AW89" s="23">
        <f>EXP(-LN(2)/2)*AW88+(1-EXP(-LN(2)/2))/(LN(2)/2)*AQ89*AT89*VLOOKUP('Données projet'!$B$10,Paramètres!$A$1:$I$89,3,0)*0.475*44/12</f>
        <v>2.806811182137646</v>
      </c>
      <c r="AX89" s="23">
        <f t="shared" si="60"/>
        <v>195.07120971246829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</v>
      </c>
      <c r="CT89" s="13">
        <f>IF('Données projet'!$A$140&gt;35,CT88+CS89-DB88,IF(A89&lt;'Données projet'!$A$140,$CQ$205^A89,IF(A89='Données projet'!$A$140,'Données projet'!$B$140,CT88+CS89-DB88)))</f>
        <v>237</v>
      </c>
      <c r="CU89" s="18">
        <f>CT89*VLOOKUP('Données projet'!$B$13,Paramètres!$A$1:$I$89,3,0)*VLOOKUP('Données projet'!$B$13,Paramètres!$A$1:$I$89,5,0)</f>
        <v>207.04320000000001</v>
      </c>
      <c r="CV89" s="14">
        <f t="shared" si="95"/>
        <v>51.288918231806321</v>
      </c>
      <c r="CW89" s="22">
        <f t="shared" si="67"/>
        <v>449.92843925372944</v>
      </c>
      <c r="CX89" s="62">
        <f t="shared" si="68"/>
        <v>743.26177258706275</v>
      </c>
      <c r="CY89" s="62">
        <f ca="1">AVERAGE(OFFSET($CX$3,0,0,'Données projet'!$E$13+1,1))-AVERAGE(OFFSET($H$3,0,0,'Données projet'!$E$13+1,1))</f>
        <v>268.27008134105046</v>
      </c>
      <c r="CZ89" s="62">
        <f t="shared" si="96"/>
        <v>252.36274686619709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28.049076419619578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28.049076419619578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>
        <f>DO89*VLOOKUP('Données projet'!$B$14,Paramètres!$A$1:$I$89,3,0)*VLOOKUP('Données projet'!$B$14,Paramètres!$A$1:$I$89,5,0)</f>
        <v>0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279.49721661620544</v>
      </c>
      <c r="DU89" s="62">
        <f t="shared" si="98"/>
        <v>275.18739333988754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130.83729832900249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130.83729832900249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9.1999999999999993</v>
      </c>
      <c r="EJ89" s="13">
        <f>IF('Données projet'!$A$192&gt;35,EJ88+EI89-ER88,IF(A89&lt;'Données projet'!$A$192,$EG$205^A89,IF(A89='Données projet'!$A$192,'Données projet'!$B$192,EJ88+EI89-ER88)))</f>
        <v>414.2</v>
      </c>
      <c r="EK89" s="18">
        <f>EJ89*VLOOKUP('Données projet'!$B$15,Paramètres!$A$1:$I$89,3,0)*VLOOKUP('Données projet'!$B$15,Paramètres!$A$1:$I$89,5,0)</f>
        <v>355.3836</v>
      </c>
      <c r="EL89" s="14">
        <f t="shared" si="99"/>
        <v>82.670063642426967</v>
      </c>
      <c r="EM89" s="22">
        <f t="shared" si="73"/>
        <v>762.94346417722682</v>
      </c>
      <c r="EN89" s="62">
        <f t="shared" si="74"/>
        <v>1056.2767975105601</v>
      </c>
      <c r="EO89" s="62">
        <f ca="1">AVERAGE(OFFSET($EN$3,0,0,'Données projet'!$E$15+1,1))-AVERAGE(OFFSET($H$3,0,0,'Données projet'!$E$15+1,1))</f>
        <v>394.11074988418096</v>
      </c>
      <c r="EP89" s="62">
        <f t="shared" si="100"/>
        <v>241.85593029696236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56.835410977066338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56.835410977066338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4.5474735088646412E-13</v>
      </c>
      <c r="O90" s="14">
        <f>N90*VLOOKUP('Données projet'!$B$9,Paramètres!$A$1:$I$89,3,0)*VLOOKUP('Données projet'!$B$9,Paramètres!$A$1:$I$89,5,0)</f>
        <v>2.5420376914553347E-13</v>
      </c>
      <c r="P90" s="14">
        <f t="shared" si="87"/>
        <v>3.4258699088369875E-12</v>
      </c>
      <c r="Q90" s="22">
        <f t="shared" si="54"/>
        <v>6.4094616558195571E-12</v>
      </c>
      <c r="R90" s="62">
        <f t="shared" si="55"/>
        <v>293.33333333333974</v>
      </c>
      <c r="S90" s="62">
        <f ca="1">AVERAGE(OFFSET($R$3,0,0,'Données projet'!$E$9+1,1))-AVERAGE(OFFSET($H$3,0,0,'Données projet'!$E$9+1,1))</f>
        <v>539.2446452106276</v>
      </c>
      <c r="T90" s="62">
        <f t="shared" si="88"/>
        <v>596.73830276071465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276.66564714562844</v>
      </c>
      <c r="AA90" s="23">
        <f>EXP(-LN(2)/25)*AA89+(1-EXP(-LN(2)/25))/(LN(2)/25)*Calculateur!V90*Calculateur!X90*VLOOKUP('Données projet'!$B$9,Paramètres!$A$1:$I$89,3,0)*0.475*44/12</f>
        <v>40.182806406942966</v>
      </c>
      <c r="AB90" s="23">
        <f>EXP(-LN(2)/2)*AB89+(1-EXP(-LN(2)/2))/(LN(2)/2)*V90*Y90*VLOOKUP('Données projet'!$B$9,Paramètres!$A$1:$I$89,3,0)*0.475*44/12</f>
        <v>2.311510694178678E-2</v>
      </c>
      <c r="AC90" s="24">
        <f t="shared" si="57"/>
        <v>316.87156865951317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3.1036506698001178E-14</v>
      </c>
      <c r="AK90" s="14">
        <f t="shared" si="89"/>
        <v>5.3428243983771088E-13</v>
      </c>
      <c r="AL90" s="22">
        <f t="shared" si="58"/>
        <v>9.8459716521636505E-13</v>
      </c>
      <c r="AM90" s="62">
        <f t="shared" si="59"/>
        <v>293.33333333333428</v>
      </c>
      <c r="AN90" s="62">
        <f ca="1">AVERAGE(OFFSET($AM$3,0,0,'Données projet'!$E$10+1,1))-AVERAGE(OFFSET($H$3,0,0,'Données projet'!$E$10+1,1))</f>
        <v>262.6671000229498</v>
      </c>
      <c r="AO90" s="62">
        <f t="shared" si="90"/>
        <v>289.30432245776024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156.24010507317087</v>
      </c>
      <c r="AV90" s="23">
        <f>EXP(-LN(2)/25)*AV89+(1-EXP(-LN(2)/25))/(LN(2)/25)*Calculateur!AQ90*Calculateur!AS90*VLOOKUP('Données projet'!$B$10,Paramètres!$A$1:$I$89,3,0)*0.475*44/12</f>
        <v>31.999608454409856</v>
      </c>
      <c r="AW90" s="23">
        <f>EXP(-LN(2)/2)*AW89+(1-EXP(-LN(2)/2))/(LN(2)/2)*AQ90*AT90*VLOOKUP('Données projet'!$B$10,Paramètres!$A$1:$I$89,3,0)*0.475*44/12</f>
        <v>1.9847152203997593</v>
      </c>
      <c r="AX90" s="23">
        <f t="shared" si="60"/>
        <v>190.22442874798048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</v>
      </c>
      <c r="CT90" s="13">
        <f>IF('Données projet'!$A$140&gt;35,CT89+CS90-DB89,IF(A90&lt;'Données projet'!$A$140,$CQ$205^A90,IF(A90='Données projet'!$A$140,'Données projet'!$B$140,CT89+CS90-DB89)))</f>
        <v>240</v>
      </c>
      <c r="CU90" s="18">
        <f>CT90*VLOOKUP('Données projet'!$B$13,Paramètres!$A$1:$I$89,3,0)*VLOOKUP('Données projet'!$B$13,Paramètres!$A$1:$I$89,5,0)</f>
        <v>209.66400000000002</v>
      </c>
      <c r="CV90" s="14">
        <f t="shared" si="95"/>
        <v>51.862154403304537</v>
      </c>
      <c r="CW90" s="22">
        <f t="shared" si="67"/>
        <v>455.49138558575538</v>
      </c>
      <c r="CX90" s="62">
        <f t="shared" si="68"/>
        <v>748.8247189190887</v>
      </c>
      <c r="CY90" s="62">
        <f ca="1">AVERAGE(OFFSET($CX$3,0,0,'Données projet'!$E$13+1,1))-AVERAGE(OFFSET($H$3,0,0,'Données projet'!$E$13+1,1))</f>
        <v>268.27008134105046</v>
      </c>
      <c r="CZ90" s="62">
        <f t="shared" si="96"/>
        <v>252.36274686619709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27.499051139278155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27.499051139278155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>
        <f>DO90*VLOOKUP('Données projet'!$B$14,Paramètres!$A$1:$I$89,3,0)*VLOOKUP('Données projet'!$B$14,Paramètres!$A$1:$I$89,5,0)</f>
        <v>0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279.49721661620544</v>
      </c>
      <c r="DU90" s="62">
        <f t="shared" si="98"/>
        <v>275.18739333988754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128.27165871164286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128.27165871164286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9.1999999999999993</v>
      </c>
      <c r="EJ90" s="13">
        <f>IF('Données projet'!$A$192&gt;35,EJ89+EI90-ER89,IF(A90&lt;'Données projet'!$A$192,$EG$205^A90,IF(A90='Données projet'!$A$192,'Données projet'!$B$192,EJ89+EI90-ER89)))</f>
        <v>423.4</v>
      </c>
      <c r="EK90" s="18">
        <f>EJ90*VLOOKUP('Données projet'!$B$15,Paramètres!$A$1:$I$89,3,0)*VLOOKUP('Données projet'!$B$15,Paramètres!$A$1:$I$89,5,0)</f>
        <v>363.27719999999999</v>
      </c>
      <c r="EL90" s="14">
        <f t="shared" si="99"/>
        <v>84.290472188638873</v>
      </c>
      <c r="EM90" s="22">
        <f t="shared" si="73"/>
        <v>779.51369572854594</v>
      </c>
      <c r="EN90" s="62">
        <f t="shared" si="74"/>
        <v>1072.8470290618793</v>
      </c>
      <c r="EO90" s="62">
        <f ca="1">AVERAGE(OFFSET($EN$3,0,0,'Données projet'!$E$15+1,1))-AVERAGE(OFFSET($H$3,0,0,'Données projet'!$E$15+1,1))</f>
        <v>394.11074988418096</v>
      </c>
      <c r="EP90" s="62">
        <f t="shared" si="100"/>
        <v>241.85593029696236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55.720903233983762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55.720903233983762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4.5474735088646412E-13</v>
      </c>
      <c r="O91" s="14">
        <f>N91*VLOOKUP('Données projet'!$B$9,Paramètres!$A$1:$I$89,3,0)*VLOOKUP('Données projet'!$B$9,Paramètres!$A$1:$I$89,5,0)</f>
        <v>2.5420376914553347E-13</v>
      </c>
      <c r="P91" s="14">
        <f t="shared" si="87"/>
        <v>3.4258699088369875E-12</v>
      </c>
      <c r="Q91" s="22">
        <f t="shared" si="54"/>
        <v>6.4094616558195571E-12</v>
      </c>
      <c r="R91" s="62">
        <f t="shared" si="55"/>
        <v>293.33333333333974</v>
      </c>
      <c r="S91" s="62">
        <f ca="1">AVERAGE(OFFSET($R$3,0,0,'Données projet'!$E$9+1,1))-AVERAGE(OFFSET($H$3,0,0,'Données projet'!$E$9+1,1))</f>
        <v>539.2446452106276</v>
      </c>
      <c r="T91" s="62">
        <f t="shared" si="88"/>
        <v>596.73830276071465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271.24040255448483</v>
      </c>
      <c r="AA91" s="23">
        <f>EXP(-LN(2)/25)*AA90+(1-EXP(-LN(2)/25))/(LN(2)/25)*Calculateur!V91*Calculateur!X91*VLOOKUP('Données projet'!$B$9,Paramètres!$A$1:$I$89,3,0)*0.475*44/12</f>
        <v>39.08400545262316</v>
      </c>
      <c r="AB91" s="23">
        <f>EXP(-LN(2)/2)*AB90+(1-EXP(-LN(2)/2))/(LN(2)/2)*V91*Y91*VLOOKUP('Données projet'!$B$9,Paramètres!$A$1:$I$89,3,0)*0.475*44/12</f>
        <v>1.634484886638967E-2</v>
      </c>
      <c r="AC91" s="24">
        <f t="shared" si="57"/>
        <v>310.34075285597436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3.1036506698001178E-14</v>
      </c>
      <c r="AK91" s="14">
        <f t="shared" si="89"/>
        <v>5.3428243983771088E-13</v>
      </c>
      <c r="AL91" s="22">
        <f t="shared" si="58"/>
        <v>9.8459716521636505E-13</v>
      </c>
      <c r="AM91" s="62">
        <f t="shared" si="59"/>
        <v>293.33333333333428</v>
      </c>
      <c r="AN91" s="62">
        <f ca="1">AVERAGE(OFFSET($AM$3,0,0,'Données projet'!$E$10+1,1))-AVERAGE(OFFSET($H$3,0,0,'Données projet'!$E$10+1,1))</f>
        <v>262.6671000229498</v>
      </c>
      <c r="AO91" s="62">
        <f t="shared" si="90"/>
        <v>289.30432245776024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153.17633190974027</v>
      </c>
      <c r="AV91" s="23">
        <f>EXP(-LN(2)/25)*AV90+(1-EXP(-LN(2)/25))/(LN(2)/25)*Calculateur!AQ91*Calculateur!AS91*VLOOKUP('Données projet'!$B$10,Paramètres!$A$1:$I$89,3,0)*0.475*44/12</f>
        <v>31.124577478437747</v>
      </c>
      <c r="AW91" s="23">
        <f>EXP(-LN(2)/2)*AW90+(1-EXP(-LN(2)/2))/(LN(2)/2)*AQ91*AT91*VLOOKUP('Données projet'!$B$10,Paramètres!$A$1:$I$89,3,0)*0.475*44/12</f>
        <v>1.4034055910688232</v>
      </c>
      <c r="AX91" s="23">
        <f t="shared" si="60"/>
        <v>185.70431497924685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</v>
      </c>
      <c r="CT91" s="13">
        <f>IF('Données projet'!$A$140&gt;35,CT90+CS91-DB90,IF(A91&lt;'Données projet'!$A$140,$CQ$205^A91,IF(A91='Données projet'!$A$140,'Données projet'!$B$140,CT90+CS91-DB90)))</f>
        <v>243</v>
      </c>
      <c r="CU91" s="18">
        <f>CT91*VLOOKUP('Données projet'!$B$13,Paramètres!$A$1:$I$89,3,0)*VLOOKUP('Données projet'!$B$13,Paramètres!$A$1:$I$89,5,0)</f>
        <v>212.28480000000002</v>
      </c>
      <c r="CV91" s="14">
        <f t="shared" si="95"/>
        <v>52.434557099704193</v>
      </c>
      <c r="CW91" s="22">
        <f t="shared" si="67"/>
        <v>461.05288028198476</v>
      </c>
      <c r="CX91" s="62">
        <f t="shared" si="68"/>
        <v>754.38621361531807</v>
      </c>
      <c r="CY91" s="62">
        <f ca="1">AVERAGE(OFFSET($CX$3,0,0,'Données projet'!$E$13+1,1))-AVERAGE(OFFSET($H$3,0,0,'Données projet'!$E$13+1,1))</f>
        <v>268.27008134105046</v>
      </c>
      <c r="CZ91" s="62">
        <f t="shared" si="96"/>
        <v>252.36274686619709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26.959811519201931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26.959811519201931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>
        <f>DO91*VLOOKUP('Données projet'!$B$14,Paramètres!$A$1:$I$89,3,0)*VLOOKUP('Données projet'!$B$14,Paramètres!$A$1:$I$89,5,0)</f>
        <v>0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279.49721661620544</v>
      </c>
      <c r="DU91" s="62">
        <f t="shared" si="98"/>
        <v>275.18739333988754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125.756329722294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125.756329722294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9.1999999999999993</v>
      </c>
      <c r="EJ91" s="13">
        <f>IF('Données projet'!$A$192&gt;35,EJ90+EI91-ER90,IF(A91&lt;'Données projet'!$A$192,$EG$205^A91,IF(A91='Données projet'!$A$192,'Données projet'!$B$192,EJ90+EI91-ER90)))</f>
        <v>432.59999999999997</v>
      </c>
      <c r="EK91" s="18">
        <f>EJ91*VLOOKUP('Données projet'!$B$15,Paramètres!$A$1:$I$89,3,0)*VLOOKUP('Données projet'!$B$15,Paramètres!$A$1:$I$89,5,0)</f>
        <v>371.17080000000004</v>
      </c>
      <c r="EL91" s="14">
        <f t="shared" si="99"/>
        <v>85.906787171637717</v>
      </c>
      <c r="EM91" s="22">
        <f t="shared" si="73"/>
        <v>796.07679765726914</v>
      </c>
      <c r="EN91" s="62">
        <f t="shared" si="74"/>
        <v>1089.4101309906025</v>
      </c>
      <c r="EO91" s="62">
        <f ca="1">AVERAGE(OFFSET($EN$3,0,0,'Données projet'!$E$15+1,1))-AVERAGE(OFFSET($H$3,0,0,'Données projet'!$E$15+1,1))</f>
        <v>394.11074988418096</v>
      </c>
      <c r="EP91" s="62">
        <f t="shared" si="100"/>
        <v>241.85593029696236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54.628250307960435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54.628250307960435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4.5474735088646412E-13</v>
      </c>
      <c r="O92" s="14">
        <f>N92*VLOOKUP('Données projet'!$B$9,Paramètres!$A$1:$I$89,3,0)*VLOOKUP('Données projet'!$B$9,Paramètres!$A$1:$I$89,5,0)</f>
        <v>2.5420376914553347E-13</v>
      </c>
      <c r="P92" s="14">
        <f t="shared" si="87"/>
        <v>3.4258699088369875E-12</v>
      </c>
      <c r="Q92" s="22">
        <f t="shared" si="54"/>
        <v>6.4094616558195571E-12</v>
      </c>
      <c r="R92" s="62">
        <f t="shared" si="55"/>
        <v>293.33333333333974</v>
      </c>
      <c r="S92" s="62">
        <f ca="1">AVERAGE(OFFSET($R$3,0,0,'Données projet'!$E$9+1,1))-AVERAGE(OFFSET($H$3,0,0,'Données projet'!$E$9+1,1))</f>
        <v>539.2446452106276</v>
      </c>
      <c r="T92" s="62">
        <f t="shared" si="88"/>
        <v>596.73830276071465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265.92154370070108</v>
      </c>
      <c r="AA92" s="23">
        <f>EXP(-LN(2)/25)*AA91+(1-EXP(-LN(2)/25))/(LN(2)/25)*Calculateur!V92*Calculateur!X92*VLOOKUP('Données projet'!$B$9,Paramètres!$A$1:$I$89,3,0)*0.475*44/12</f>
        <v>38.015251268182659</v>
      </c>
      <c r="AB92" s="23">
        <f>EXP(-LN(2)/2)*AB91+(1-EXP(-LN(2)/2))/(LN(2)/2)*V92*Y92*VLOOKUP('Données projet'!$B$9,Paramètres!$A$1:$I$89,3,0)*0.475*44/12</f>
        <v>1.155755347089339E-2</v>
      </c>
      <c r="AC92" s="24">
        <f t="shared" si="57"/>
        <v>303.94835252235464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3.1036506698001178E-14</v>
      </c>
      <c r="AK92" s="14">
        <f t="shared" si="89"/>
        <v>5.3428243983771088E-13</v>
      </c>
      <c r="AL92" s="22">
        <f t="shared" si="58"/>
        <v>9.8459716521636505E-13</v>
      </c>
      <c r="AM92" s="62">
        <f t="shared" si="59"/>
        <v>293.33333333333428</v>
      </c>
      <c r="AN92" s="62">
        <f ca="1">AVERAGE(OFFSET($AM$3,0,0,'Données projet'!$E$10+1,1))-AVERAGE(OFFSET($H$3,0,0,'Données projet'!$E$10+1,1))</f>
        <v>262.6671000229498</v>
      </c>
      <c r="AO92" s="62">
        <f t="shared" si="90"/>
        <v>289.30432245776024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150.17263746932744</v>
      </c>
      <c r="AV92" s="23">
        <f>EXP(-LN(2)/25)*AV91+(1-EXP(-LN(2)/25))/(LN(2)/25)*Calculateur!AQ92*Calculateur!AS92*VLOOKUP('Données projet'!$B$10,Paramètres!$A$1:$I$89,3,0)*0.475*44/12</f>
        <v>30.273474270519472</v>
      </c>
      <c r="AW92" s="23">
        <f>EXP(-LN(2)/2)*AW91+(1-EXP(-LN(2)/2))/(LN(2)/2)*AQ92*AT92*VLOOKUP('Données projet'!$B$10,Paramètres!$A$1:$I$89,3,0)*0.475*44/12</f>
        <v>0.99235761019987989</v>
      </c>
      <c r="AX92" s="23">
        <f t="shared" si="60"/>
        <v>181.4384693500468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</v>
      </c>
      <c r="CT92" s="13">
        <f>IF('Données projet'!$A$140&gt;35,CT91+CS92-DB91,IF(A92&lt;'Données projet'!$A$140,$CQ$205^A92,IF(A92='Données projet'!$A$140,'Données projet'!$B$140,CT91+CS92-DB91)))</f>
        <v>246</v>
      </c>
      <c r="CU92" s="18">
        <f>CT92*VLOOKUP('Données projet'!$B$13,Paramètres!$A$1:$I$89,3,0)*VLOOKUP('Données projet'!$B$13,Paramètres!$A$1:$I$89,5,0)</f>
        <v>214.90560000000005</v>
      </c>
      <c r="CV92" s="14">
        <f t="shared" si="95"/>
        <v>53.006137800892326</v>
      </c>
      <c r="CW92" s="22">
        <f t="shared" si="67"/>
        <v>466.61294333655422</v>
      </c>
      <c r="CX92" s="62">
        <f t="shared" si="68"/>
        <v>759.94627666988754</v>
      </c>
      <c r="CY92" s="62">
        <f ca="1">AVERAGE(OFFSET($CX$3,0,0,'Données projet'!$E$13+1,1))-AVERAGE(OFFSET($H$3,0,0,'Données projet'!$E$13+1,1))</f>
        <v>268.27008134105046</v>
      </c>
      <c r="CZ92" s="62">
        <f t="shared" si="96"/>
        <v>252.36274686619709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26.431146059171713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26.431146059171713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>
        <f>DO92*VLOOKUP('Données projet'!$B$14,Paramètres!$A$1:$I$89,3,0)*VLOOKUP('Données projet'!$B$14,Paramètres!$A$1:$I$89,5,0)</f>
        <v>0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279.49721661620544</v>
      </c>
      <c r="DU92" s="62">
        <f t="shared" si="98"/>
        <v>275.18739333988754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123.29032480022707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123.29032480022707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9.1999999999999993</v>
      </c>
      <c r="EJ92" s="13">
        <f>IF('Données projet'!$A$192&gt;35,EJ91+EI92-ER91,IF(A92&lt;'Données projet'!$A$192,$EG$205^A92,IF(A92='Données projet'!$A$192,'Données projet'!$B$192,EJ91+EI92-ER91)))</f>
        <v>441.79999999999995</v>
      </c>
      <c r="EK92" s="18">
        <f>EJ92*VLOOKUP('Données projet'!$B$15,Paramètres!$A$1:$I$89,3,0)*VLOOKUP('Données projet'!$B$15,Paramètres!$A$1:$I$89,5,0)</f>
        <v>379.06439999999998</v>
      </c>
      <c r="EL92" s="14">
        <f t="shared" si="99"/>
        <v>87.519105676243697</v>
      </c>
      <c r="EM92" s="22">
        <f t="shared" si="73"/>
        <v>812.63293905279113</v>
      </c>
      <c r="EN92" s="62">
        <f t="shared" si="74"/>
        <v>1105.9662723861245</v>
      </c>
      <c r="EO92" s="62">
        <f ca="1">AVERAGE(OFFSET($EN$3,0,0,'Données projet'!$E$15+1,1))-AVERAGE(OFFSET($H$3,0,0,'Données projet'!$E$15+1,1))</f>
        <v>394.11074988418096</v>
      </c>
      <c r="EP92" s="62">
        <f t="shared" si="100"/>
        <v>241.85593029696236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53.557023639363948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53.557023639363948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4.5474735088646412E-13</v>
      </c>
      <c r="O93" s="14">
        <f>N93*VLOOKUP('Données projet'!$B$9,Paramètres!$A$1:$I$89,3,0)*VLOOKUP('Données projet'!$B$9,Paramètres!$A$1:$I$89,5,0)</f>
        <v>2.5420376914553347E-13</v>
      </c>
      <c r="P93" s="14">
        <f t="shared" si="87"/>
        <v>3.4258699088369875E-12</v>
      </c>
      <c r="Q93" s="22">
        <f t="shared" si="54"/>
        <v>6.4094616558195571E-12</v>
      </c>
      <c r="R93" s="62">
        <f t="shared" si="55"/>
        <v>293.33333333333974</v>
      </c>
      <c r="S93" s="62">
        <f ca="1">AVERAGE(OFFSET($R$3,0,0,'Données projet'!$E$9+1,1))-AVERAGE(OFFSET($H$3,0,0,'Données projet'!$E$9+1,1))</f>
        <v>539.2446452106276</v>
      </c>
      <c r="T93" s="62">
        <f t="shared" si="88"/>
        <v>596.73830276071465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260.70698442485644</v>
      </c>
      <c r="AA93" s="23">
        <f>EXP(-LN(2)/25)*AA92+(1-EXP(-LN(2)/25))/(LN(2)/25)*Calculateur!V93*Calculateur!X93*VLOOKUP('Données projet'!$B$9,Paramètres!$A$1:$I$89,3,0)*0.475*44/12</f>
        <v>36.975722223119028</v>
      </c>
      <c r="AB93" s="23">
        <f>EXP(-LN(2)/2)*AB92+(1-EXP(-LN(2)/2))/(LN(2)/2)*V93*Y93*VLOOKUP('Données projet'!$B$9,Paramètres!$A$1:$I$89,3,0)*0.475*44/12</f>
        <v>8.1724244331948352E-3</v>
      </c>
      <c r="AC93" s="24">
        <f t="shared" si="57"/>
        <v>297.69087907240868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3.1036506698001178E-14</v>
      </c>
      <c r="AK93" s="14">
        <f t="shared" si="89"/>
        <v>5.3428243983771088E-13</v>
      </c>
      <c r="AL93" s="22">
        <f t="shared" si="58"/>
        <v>9.8459716521636505E-13</v>
      </c>
      <c r="AM93" s="62">
        <f t="shared" si="59"/>
        <v>293.33333333333428</v>
      </c>
      <c r="AN93" s="62">
        <f ca="1">AVERAGE(OFFSET($AM$3,0,0,'Données projet'!$E$10+1,1))-AVERAGE(OFFSET($H$3,0,0,'Données projet'!$E$10+1,1))</f>
        <v>262.6671000229498</v>
      </c>
      <c r="AO93" s="62">
        <f t="shared" si="90"/>
        <v>289.30432245776024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147.22784364481839</v>
      </c>
      <c r="AV93" s="23">
        <f>EXP(-LN(2)/25)*AV92+(1-EXP(-LN(2)/25))/(LN(2)/25)*Calculateur!AQ93*Calculateur!AS93*VLOOKUP('Données projet'!$B$10,Paramètres!$A$1:$I$89,3,0)*0.475*44/12</f>
        <v>29.445644524579297</v>
      </c>
      <c r="AW93" s="23">
        <f>EXP(-LN(2)/2)*AW92+(1-EXP(-LN(2)/2))/(LN(2)/2)*AQ93*AT93*VLOOKUP('Données projet'!$B$10,Paramètres!$A$1:$I$89,3,0)*0.475*44/12</f>
        <v>0.70170279553441173</v>
      </c>
      <c r="AX93" s="23">
        <f t="shared" si="60"/>
        <v>177.3751909649321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249</v>
      </c>
      <c r="CR93" s="13">
        <f>VLOOKUP(A93,'Données projet'!$A$139:$I$159,9,0)</f>
        <v>3</v>
      </c>
      <c r="CS93" s="13">
        <f t="array" ref="CS93">INDEX(CR:CR,MIN(IF(ISNUMBER(CR93:CR289),ROW(CR93:CR289),"")))</f>
        <v>3</v>
      </c>
      <c r="CT93" s="13">
        <f>IF('Données projet'!$A$140&gt;35,CT92+CS93-DB92,IF(A93&lt;'Données projet'!$A$140,$CQ$205^A93,IF(A93='Données projet'!$A$140,'Données projet'!$B$140,CT92+CS93-DB92)))</f>
        <v>249</v>
      </c>
      <c r="CU93" s="18">
        <f>CT93*VLOOKUP('Données projet'!$B$13,Paramètres!$A$1:$I$89,3,0)*VLOOKUP('Données projet'!$B$13,Paramètres!$A$1:$I$89,5,0)</f>
        <v>217.52640000000005</v>
      </c>
      <c r="CV93" s="14">
        <f t="shared" si="95"/>
        <v>53.576907690651254</v>
      </c>
      <c r="CW93" s="22">
        <f t="shared" si="67"/>
        <v>472.17159422788433</v>
      </c>
      <c r="CX93" s="62">
        <f t="shared" si="68"/>
        <v>765.50492756121764</v>
      </c>
      <c r="CY93" s="62">
        <f ca="1">AVERAGE(OFFSET($CX$3,0,0,'Données projet'!$E$13+1,1))-AVERAGE(OFFSET($H$3,0,0,'Données projet'!$E$13+1,1))</f>
        <v>268.27008134105046</v>
      </c>
      <c r="CZ93" s="62">
        <f t="shared" si="96"/>
        <v>252.36274686619709</v>
      </c>
      <c r="DA93" s="16">
        <f>IF(ISNA(VLOOKUP(A93,'Données projet'!$A$139:$I$159,3,0)),0,VLOOKUP(A93,'Données projet'!$A$139:$I$159,3,0))</f>
        <v>17</v>
      </c>
      <c r="DB93" s="16">
        <f>IF(ISNA(VLOOKUP(A93,'Données projet'!$A$139:$I$159,4,0)),0,VLOOKUP(A93,'Données projet'!$A$139:$I$159,4,0))</f>
        <v>12</v>
      </c>
      <c r="DC93" s="17">
        <f>IF(ISNA(VLOOKUP(A93,'Données projet'!$A$139:$I$159,5,0)),0%,VLOOKUP(A93,'Données projet'!$A$139:$I$159,5,0)*VLOOKUP('Données projet'!$B$13,Paramètres!$A$1:$I$89,7,0))</f>
        <v>0.34400000000000003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29.899417682814214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29.899417682814214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>
        <f>DO93*VLOOKUP('Données projet'!$B$14,Paramètres!$A$1:$I$89,3,0)*VLOOKUP('Données projet'!$B$14,Paramètres!$A$1:$I$89,5,0)</f>
        <v>0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279.49721661620544</v>
      </c>
      <c r="DU93" s="62">
        <f t="shared" si="98"/>
        <v>275.18739333988754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120.87267673056739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120.87267673056739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451</v>
      </c>
      <c r="EH93" s="13">
        <f>VLOOKUP(A93,'Données projet'!$A$191:$I$211,9,0)</f>
        <v>9.1999999999999993</v>
      </c>
      <c r="EI93" s="13">
        <f t="array" ref="EI93">INDEX(EH:EH,MIN(IF(ISNUMBER(EH93:EH289),ROW(EH93:EH289),"")))</f>
        <v>9.1999999999999993</v>
      </c>
      <c r="EJ93" s="13">
        <f>IF('Données projet'!$A$192&gt;35,EJ92+EI93-ER92,IF(A93&lt;'Données projet'!$A$192,$EG$205^A93,IF(A93='Données projet'!$A$192,'Données projet'!$B$192,EJ92+EI93-ER92)))</f>
        <v>450.99999999999994</v>
      </c>
      <c r="EK93" s="18">
        <f>EJ93*VLOOKUP('Données projet'!$B$15,Paramètres!$A$1:$I$89,3,0)*VLOOKUP('Données projet'!$B$15,Paramètres!$A$1:$I$89,5,0)</f>
        <v>386.95799999999997</v>
      </c>
      <c r="EL93" s="14">
        <f t="shared" si="99"/>
        <v>89.12752051283708</v>
      </c>
      <c r="EM93" s="22">
        <f t="shared" si="73"/>
        <v>829.18228155985787</v>
      </c>
      <c r="EN93" s="62">
        <f t="shared" si="74"/>
        <v>1122.5156148931912</v>
      </c>
      <c r="EO93" s="62">
        <f ca="1">AVERAGE(OFFSET($EN$3,0,0,'Données projet'!$E$15+1,1))-AVERAGE(OFFSET($H$3,0,0,'Données projet'!$E$15+1,1))</f>
        <v>394.11074988418096</v>
      </c>
      <c r="EP93" s="62">
        <f t="shared" si="100"/>
        <v>241.85593029696236</v>
      </c>
      <c r="EQ93" s="16">
        <f>IF(ISNA(VLOOKUP(A93,'Données projet'!$A$191:$I$211,3,0)),0,VLOOKUP(A93,'Données projet'!$A$191:$I$211,3,0))</f>
        <v>15</v>
      </c>
      <c r="ER93" s="16">
        <f>IF(ISNA(VLOOKUP(A93,'Données projet'!$A$191:$I$211,4,0)),0,VLOOKUP(A93,'Données projet'!$A$191:$I$211,4,0))</f>
        <v>31</v>
      </c>
      <c r="ES93" s="17">
        <f>IF(ISNA(VLOOKUP(A93,'Données projet'!$A$191:$I$211,5,0)),0%,VLOOKUP(A93,'Données projet'!$A$191:$I$211,5,0)*VLOOKUP('Données projet'!$B$15,Paramètres!$A$1:$I$89,7,0))</f>
        <v>0.371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63.415427800792145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63.415427800792145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4.5474735088646412E-13</v>
      </c>
      <c r="O94" s="14">
        <f>N94*VLOOKUP('Données projet'!$B$9,Paramètres!$A$1:$I$89,3,0)*VLOOKUP('Données projet'!$B$9,Paramètres!$A$1:$I$89,5,0)</f>
        <v>2.5420376914553347E-13</v>
      </c>
      <c r="P94" s="14">
        <f t="shared" si="87"/>
        <v>3.4258699088369875E-12</v>
      </c>
      <c r="Q94" s="22">
        <f t="shared" si="54"/>
        <v>6.4094616558195571E-12</v>
      </c>
      <c r="R94" s="62">
        <f t="shared" si="55"/>
        <v>293.33333333333974</v>
      </c>
      <c r="S94" s="62">
        <f ca="1">AVERAGE(OFFSET($R$3,0,0,'Données projet'!$E$9+1,1))-AVERAGE(OFFSET($H$3,0,0,'Données projet'!$E$9+1,1))</f>
        <v>539.2446452106276</v>
      </c>
      <c r="T94" s="62">
        <f t="shared" si="88"/>
        <v>596.73830276071465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255.59467947584403</v>
      </c>
      <c r="AA94" s="23">
        <f>EXP(-LN(2)/25)*AA93+(1-EXP(-LN(2)/25))/(LN(2)/25)*Calculateur!V94*Calculateur!X94*VLOOKUP('Données projet'!$B$9,Paramètres!$A$1:$I$89,3,0)*0.475*44/12</f>
        <v>35.964619154459115</v>
      </c>
      <c r="AB94" s="23">
        <f>EXP(-LN(2)/2)*AB93+(1-EXP(-LN(2)/2))/(LN(2)/2)*V94*Y94*VLOOKUP('Données projet'!$B$9,Paramètres!$A$1:$I$89,3,0)*0.475*44/12</f>
        <v>5.7787767354466951E-3</v>
      </c>
      <c r="AC94" s="24">
        <f t="shared" si="57"/>
        <v>291.56507740703859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3.1036506698001178E-14</v>
      </c>
      <c r="AK94" s="14">
        <f t="shared" si="89"/>
        <v>5.3428243983771088E-13</v>
      </c>
      <c r="AL94" s="22">
        <f t="shared" si="58"/>
        <v>9.8459716521636505E-13</v>
      </c>
      <c r="AM94" s="62">
        <f t="shared" si="59"/>
        <v>293.33333333333428</v>
      </c>
      <c r="AN94" s="62">
        <f ca="1">AVERAGE(OFFSET($AM$3,0,0,'Données projet'!$E$10+1,1))-AVERAGE(OFFSET($H$3,0,0,'Données projet'!$E$10+1,1))</f>
        <v>262.6671000229498</v>
      </c>
      <c r="AO94" s="62">
        <f t="shared" si="90"/>
        <v>289.30432245776024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144.34079543106111</v>
      </c>
      <c r="AV94" s="23">
        <f>EXP(-LN(2)/25)*AV93+(1-EXP(-LN(2)/25))/(LN(2)/25)*Calculateur!AQ94*Calculateur!AS94*VLOOKUP('Données projet'!$B$10,Paramètres!$A$1:$I$89,3,0)*0.475*44/12</f>
        <v>28.640451826575529</v>
      </c>
      <c r="AW94" s="23">
        <f>EXP(-LN(2)/2)*AW93+(1-EXP(-LN(2)/2))/(LN(2)/2)*AQ94*AT94*VLOOKUP('Données projet'!$B$10,Paramètres!$A$1:$I$89,3,0)*0.475*44/12</f>
        <v>0.49617880509994</v>
      </c>
      <c r="AX94" s="23">
        <f t="shared" si="60"/>
        <v>173.47742606273658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</v>
      </c>
      <c r="CT94" s="13">
        <f>IF('Données projet'!$A$140&gt;35,CT93+CS94-DB93,IF(A94&lt;'Données projet'!$A$140,$CQ$205^A94,IF(A94='Données projet'!$A$140,'Données projet'!$B$140,CT93+CS94-DB93)))</f>
        <v>240</v>
      </c>
      <c r="CU94" s="18">
        <f>CT94*VLOOKUP('Données projet'!$B$13,Paramètres!$A$1:$I$89,3,0)*VLOOKUP('Données projet'!$B$13,Paramètres!$A$1:$I$89,5,0)</f>
        <v>209.66400000000002</v>
      </c>
      <c r="CV94" s="14">
        <f t="shared" si="95"/>
        <v>51.862154403304537</v>
      </c>
      <c r="CW94" s="22">
        <f t="shared" si="67"/>
        <v>455.49138558575538</v>
      </c>
      <c r="CX94" s="62">
        <f t="shared" si="68"/>
        <v>748.8247189190887</v>
      </c>
      <c r="CY94" s="62">
        <f ca="1">AVERAGE(OFFSET($CX$3,0,0,'Données projet'!$E$13+1,1))-AVERAGE(OFFSET($H$3,0,0,'Données projet'!$E$13+1,1))</f>
        <v>268.27008134105046</v>
      </c>
      <c r="CZ94" s="62">
        <f t="shared" si="96"/>
        <v>252.36274686619709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29.313108338898274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29.313108338898274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>
        <f>DO94*VLOOKUP('Données projet'!$B$14,Paramètres!$A$1:$I$89,3,0)*VLOOKUP('Données projet'!$B$14,Paramètres!$A$1:$I$89,5,0)</f>
        <v>0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279.49721661620544</v>
      </c>
      <c r="DU94" s="62">
        <f t="shared" si="98"/>
        <v>275.18739333988754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118.50243726493403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118.50243726493403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8.6</v>
      </c>
      <c r="EJ94" s="13">
        <f>IF('Données projet'!$A$192&gt;35,EJ93+EI94-ER93,IF(A94&lt;'Données projet'!$A$192,$EG$205^A94,IF(A94='Données projet'!$A$192,'Données projet'!$B$192,EJ93+EI94-ER93)))</f>
        <v>428.59999999999997</v>
      </c>
      <c r="EK94" s="18">
        <f>EJ94*VLOOKUP('Données projet'!$B$15,Paramètres!$A$1:$I$89,3,0)*VLOOKUP('Données projet'!$B$15,Paramètres!$A$1:$I$89,5,0)</f>
        <v>367.73879999999997</v>
      </c>
      <c r="EL94" s="14">
        <f t="shared" si="99"/>
        <v>85.20453819128241</v>
      </c>
      <c r="EM94" s="22">
        <f t="shared" si="73"/>
        <v>788.87631401648343</v>
      </c>
      <c r="EN94" s="62">
        <f t="shared" si="74"/>
        <v>1082.2096473498168</v>
      </c>
      <c r="EO94" s="62">
        <f ca="1">AVERAGE(OFFSET($EN$3,0,0,'Données projet'!$E$15+1,1))-AVERAGE(OFFSET($H$3,0,0,'Données projet'!$E$15+1,1))</f>
        <v>394.11074988418096</v>
      </c>
      <c r="EP94" s="62">
        <f t="shared" si="100"/>
        <v>241.85593029696236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62.171889941210274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62.171889941210274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4.5474735088646412E-13</v>
      </c>
      <c r="O95" s="14">
        <f>N95*VLOOKUP('Données projet'!$B$9,Paramètres!$A$1:$I$89,3,0)*VLOOKUP('Données projet'!$B$9,Paramètres!$A$1:$I$89,5,0)</f>
        <v>2.5420376914553347E-13</v>
      </c>
      <c r="P95" s="14">
        <f t="shared" si="87"/>
        <v>3.4258699088369875E-12</v>
      </c>
      <c r="Q95" s="22">
        <f t="shared" si="54"/>
        <v>6.4094616558195571E-12</v>
      </c>
      <c r="R95" s="62">
        <f t="shared" si="55"/>
        <v>293.33333333333974</v>
      </c>
      <c r="S95" s="62">
        <f ca="1">AVERAGE(OFFSET($R$3,0,0,'Données projet'!$E$9+1,1))-AVERAGE(OFFSET($H$3,0,0,'Données projet'!$E$9+1,1))</f>
        <v>539.2446452106276</v>
      </c>
      <c r="T95" s="62">
        <f t="shared" si="88"/>
        <v>596.73830276071465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250.58262370868363</v>
      </c>
      <c r="AA95" s="23">
        <f>EXP(-LN(2)/25)*AA94+(1-EXP(-LN(2)/25))/(LN(2)/25)*Calculateur!V95*Calculateur!X95*VLOOKUP('Données projet'!$B$9,Paramètres!$A$1:$I$89,3,0)*0.475*44/12</f>
        <v>34.981164752383307</v>
      </c>
      <c r="AB95" s="23">
        <f>EXP(-LN(2)/2)*AB94+(1-EXP(-LN(2)/2))/(LN(2)/2)*V95*Y95*VLOOKUP('Données projet'!$B$9,Paramètres!$A$1:$I$89,3,0)*0.475*44/12</f>
        <v>4.0862122165974176E-3</v>
      </c>
      <c r="AC95" s="24">
        <f t="shared" si="57"/>
        <v>285.56787467328348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3.1036506698001178E-14</v>
      </c>
      <c r="AK95" s="14">
        <f t="shared" si="89"/>
        <v>5.3428243983771088E-13</v>
      </c>
      <c r="AL95" s="22">
        <f t="shared" si="58"/>
        <v>9.8459716521636505E-13</v>
      </c>
      <c r="AM95" s="62">
        <f t="shared" si="59"/>
        <v>293.33333333333428</v>
      </c>
      <c r="AN95" s="62">
        <f ca="1">AVERAGE(OFFSET($AM$3,0,0,'Données projet'!$E$10+1,1))-AVERAGE(OFFSET($H$3,0,0,'Données projet'!$E$10+1,1))</f>
        <v>262.6671000229498</v>
      </c>
      <c r="AO95" s="62">
        <f t="shared" si="90"/>
        <v>289.30432245776024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141.51036047185008</v>
      </c>
      <c r="AV95" s="23">
        <f>EXP(-LN(2)/25)*AV94+(1-EXP(-LN(2)/25))/(LN(2)/25)*Calculateur!AQ95*Calculateur!AS95*VLOOKUP('Données projet'!$B$10,Paramètres!$A$1:$I$89,3,0)*0.475*44/12</f>
        <v>27.857277165241918</v>
      </c>
      <c r="AW95" s="23">
        <f>EXP(-LN(2)/2)*AW94+(1-EXP(-LN(2)/2))/(LN(2)/2)*AQ95*AT95*VLOOKUP('Données projet'!$B$10,Paramètres!$A$1:$I$89,3,0)*0.475*44/12</f>
        <v>0.35085139776720592</v>
      </c>
      <c r="AX95" s="23">
        <f t="shared" si="60"/>
        <v>169.7184890348592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</v>
      </c>
      <c r="CT95" s="13">
        <f>IF('Données projet'!$A$140&gt;35,CT94+CS95-DB94,IF(A95&lt;'Données projet'!$A$140,$CQ$205^A95,IF(A95='Données projet'!$A$140,'Données projet'!$B$140,CT94+CS95-DB94)))</f>
        <v>243</v>
      </c>
      <c r="CU95" s="18">
        <f>CT95*VLOOKUP('Données projet'!$B$13,Paramètres!$A$1:$I$89,3,0)*VLOOKUP('Données projet'!$B$13,Paramètres!$A$1:$I$89,5,0)</f>
        <v>212.28480000000002</v>
      </c>
      <c r="CV95" s="14">
        <f t="shared" si="95"/>
        <v>52.434557099704193</v>
      </c>
      <c r="CW95" s="22">
        <f t="shared" si="67"/>
        <v>461.05288028198476</v>
      </c>
      <c r="CX95" s="62">
        <f t="shared" si="68"/>
        <v>754.38621361531807</v>
      </c>
      <c r="CY95" s="62">
        <f ca="1">AVERAGE(OFFSET($CX$3,0,0,'Données projet'!$E$13+1,1))-AVERAGE(OFFSET($H$3,0,0,'Données projet'!$E$13+1,1))</f>
        <v>268.27008134105046</v>
      </c>
      <c r="CZ95" s="62">
        <f t="shared" si="96"/>
        <v>252.36274686619709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28.738296163603138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28.738296163603138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>
        <f>DO95*VLOOKUP('Données projet'!$B$14,Paramètres!$A$1:$I$89,3,0)*VLOOKUP('Données projet'!$B$14,Paramètres!$A$1:$I$89,5,0)</f>
        <v>0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279.49721661620544</v>
      </c>
      <c r="DU95" s="62">
        <f t="shared" si="98"/>
        <v>275.18739333988754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116.17867674951842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116.17867674951842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8.6</v>
      </c>
      <c r="EJ95" s="13">
        <f>IF('Données projet'!$A$192&gt;35,EJ94+EI95-ER94,IF(A95&lt;'Données projet'!$A$192,$EG$205^A95,IF(A95='Données projet'!$A$192,'Données projet'!$B$192,EJ94+EI95-ER94)))</f>
        <v>437.2</v>
      </c>
      <c r="EK95" s="18">
        <f>EJ95*VLOOKUP('Données projet'!$B$15,Paramètres!$A$1:$I$89,3,0)*VLOOKUP('Données projet'!$B$15,Paramètres!$A$1:$I$89,5,0)</f>
        <v>375.11760000000004</v>
      </c>
      <c r="EL95" s="14">
        <f t="shared" si="99"/>
        <v>86.713440086205196</v>
      </c>
      <c r="EM95" s="22">
        <f t="shared" si="73"/>
        <v>804.35572815014075</v>
      </c>
      <c r="EN95" s="62">
        <f t="shared" si="74"/>
        <v>1097.689061483474</v>
      </c>
      <c r="EO95" s="62">
        <f ca="1">AVERAGE(OFFSET($EN$3,0,0,'Données projet'!$E$15+1,1))-AVERAGE(OFFSET($H$3,0,0,'Données projet'!$E$15+1,1))</f>
        <v>394.11074988418096</v>
      </c>
      <c r="EP95" s="62">
        <f t="shared" si="100"/>
        <v>241.85593029696236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60.952737100571603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60.952737100571603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4.5474735088646412E-13</v>
      </c>
      <c r="O96" s="14">
        <f>N96*VLOOKUP('Données projet'!$B$9,Paramètres!$A$1:$I$89,3,0)*VLOOKUP('Données projet'!$B$9,Paramètres!$A$1:$I$89,5,0)</f>
        <v>2.5420376914553347E-13</v>
      </c>
      <c r="P96" s="14">
        <f t="shared" si="87"/>
        <v>3.4258699088369875E-12</v>
      </c>
      <c r="Q96" s="22">
        <f t="shared" si="54"/>
        <v>6.4094616558195571E-12</v>
      </c>
      <c r="R96" s="62">
        <f t="shared" si="55"/>
        <v>293.33333333333974</v>
      </c>
      <c r="S96" s="62">
        <f ca="1">AVERAGE(OFFSET($R$3,0,0,'Données projet'!$E$9+1,1))-AVERAGE(OFFSET($H$3,0,0,'Données projet'!$E$9+1,1))</f>
        <v>539.2446452106276</v>
      </c>
      <c r="T96" s="62">
        <f t="shared" si="88"/>
        <v>596.73830276071465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245.66885129806508</v>
      </c>
      <c r="AA96" s="23">
        <f>EXP(-LN(2)/25)*AA95+(1-EXP(-LN(2)/25))/(LN(2)/25)*Calculateur!V96*Calculateur!X96*VLOOKUP('Données projet'!$B$9,Paramètres!$A$1:$I$89,3,0)*0.475*44/12</f>
        <v>34.02460296264988</v>
      </c>
      <c r="AB96" s="23">
        <f>EXP(-LN(2)/2)*AB95+(1-EXP(-LN(2)/2))/(LN(2)/2)*V96*Y96*VLOOKUP('Données projet'!$B$9,Paramètres!$A$1:$I$89,3,0)*0.475*44/12</f>
        <v>2.8893883677233475E-3</v>
      </c>
      <c r="AC96" s="24">
        <f t="shared" si="57"/>
        <v>279.69634364908268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3.1036506698001178E-14</v>
      </c>
      <c r="AK96" s="14">
        <f t="shared" si="89"/>
        <v>5.3428243983771088E-13</v>
      </c>
      <c r="AL96" s="22">
        <f t="shared" si="58"/>
        <v>9.8459716521636505E-13</v>
      </c>
      <c r="AM96" s="62">
        <f t="shared" si="59"/>
        <v>293.33333333333428</v>
      </c>
      <c r="AN96" s="62">
        <f ca="1">AVERAGE(OFFSET($AM$3,0,0,'Données projet'!$E$10+1,1))-AVERAGE(OFFSET($H$3,0,0,'Données projet'!$E$10+1,1))</f>
        <v>262.6671000229498</v>
      </c>
      <c r="AO96" s="62">
        <f t="shared" si="90"/>
        <v>289.30432245776024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138.73542861579429</v>
      </c>
      <c r="AV96" s="23">
        <f>EXP(-LN(2)/25)*AV95+(1-EXP(-LN(2)/25))/(LN(2)/25)*Calculateur!AQ96*Calculateur!AS96*VLOOKUP('Données projet'!$B$10,Paramètres!$A$1:$I$89,3,0)*0.475*44/12</f>
        <v>27.095518456207841</v>
      </c>
      <c r="AW96" s="23">
        <f>EXP(-LN(2)/2)*AW95+(1-EXP(-LN(2)/2))/(LN(2)/2)*AQ96*AT96*VLOOKUP('Données projet'!$B$10,Paramètres!$A$1:$I$89,3,0)*0.475*44/12</f>
        <v>0.24808940254997003</v>
      </c>
      <c r="AX96" s="23">
        <f t="shared" si="60"/>
        <v>166.07903647455208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</v>
      </c>
      <c r="CT96" s="13">
        <f>IF('Données projet'!$A$140&gt;35,CT95+CS96-DB95,IF(A96&lt;'Données projet'!$A$140,$CQ$205^A96,IF(A96='Données projet'!$A$140,'Données projet'!$B$140,CT95+CS96-DB95)))</f>
        <v>246</v>
      </c>
      <c r="CU96" s="18">
        <f>CT96*VLOOKUP('Données projet'!$B$13,Paramètres!$A$1:$I$89,3,0)*VLOOKUP('Données projet'!$B$13,Paramètres!$A$1:$I$89,5,0)</f>
        <v>214.90560000000005</v>
      </c>
      <c r="CV96" s="14">
        <f t="shared" si="95"/>
        <v>53.006137800892326</v>
      </c>
      <c r="CW96" s="22">
        <f t="shared" si="67"/>
        <v>466.61294333655422</v>
      </c>
      <c r="CX96" s="62">
        <f t="shared" si="68"/>
        <v>759.94627666988754</v>
      </c>
      <c r="CY96" s="62">
        <f ca="1">AVERAGE(OFFSET($CX$3,0,0,'Données projet'!$E$13+1,1))-AVERAGE(OFFSET($H$3,0,0,'Données projet'!$E$13+1,1))</f>
        <v>268.27008134105046</v>
      </c>
      <c r="CZ96" s="62">
        <f t="shared" si="96"/>
        <v>252.36274686619709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28.174755704464733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28.174755704464733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>
        <f>DO96*VLOOKUP('Données projet'!$B$14,Paramètres!$A$1:$I$89,3,0)*VLOOKUP('Données projet'!$B$14,Paramètres!$A$1:$I$89,5,0)</f>
        <v>0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279.49721661620544</v>
      </c>
      <c r="DU96" s="62">
        <f t="shared" si="98"/>
        <v>275.18739333988754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113.90048376045614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113.90048376045614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8.6</v>
      </c>
      <c r="EJ96" s="13">
        <f>IF('Données projet'!$A$192&gt;35,EJ95+EI96-ER95,IF(A96&lt;'Données projet'!$A$192,$EG$205^A96,IF(A96='Données projet'!$A$192,'Données projet'!$B$192,EJ95+EI96-ER95)))</f>
        <v>445.8</v>
      </c>
      <c r="EK96" s="18">
        <f>EJ96*VLOOKUP('Données projet'!$B$15,Paramètres!$A$1:$I$89,3,0)*VLOOKUP('Données projet'!$B$15,Paramètres!$A$1:$I$89,5,0)</f>
        <v>382.49640000000005</v>
      </c>
      <c r="EL96" s="14">
        <f t="shared" si="99"/>
        <v>88.218890823541386</v>
      </c>
      <c r="EM96" s="22">
        <f t="shared" si="73"/>
        <v>819.82913151766786</v>
      </c>
      <c r="EN96" s="62">
        <f t="shared" si="74"/>
        <v>1113.1624648510012</v>
      </c>
      <c r="EO96" s="62">
        <f ca="1">AVERAGE(OFFSET($EN$3,0,0,'Données projet'!$E$15+1,1))-AVERAGE(OFFSET($H$3,0,0,'Données projet'!$E$15+1,1))</f>
        <v>394.11074988418096</v>
      </c>
      <c r="EP96" s="62">
        <f t="shared" si="100"/>
        <v>241.85593029696236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59.757491103528054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59.757491103528054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4.5474735088646412E-13</v>
      </c>
      <c r="O97" s="14">
        <f>N97*VLOOKUP('Données projet'!$B$9,Paramètres!$A$1:$I$89,3,0)*VLOOKUP('Données projet'!$B$9,Paramètres!$A$1:$I$89,5,0)</f>
        <v>2.5420376914553347E-13</v>
      </c>
      <c r="P97" s="14">
        <f t="shared" si="87"/>
        <v>3.4258699088369875E-12</v>
      </c>
      <c r="Q97" s="22">
        <f t="shared" si="54"/>
        <v>6.4094616558195571E-12</v>
      </c>
      <c r="R97" s="62">
        <f t="shared" si="55"/>
        <v>293.33333333333974</v>
      </c>
      <c r="S97" s="62">
        <f ca="1">AVERAGE(OFFSET($R$3,0,0,'Données projet'!$E$9+1,1))-AVERAGE(OFFSET($H$3,0,0,'Données projet'!$E$9+1,1))</f>
        <v>539.2446452106276</v>
      </c>
      <c r="T97" s="62">
        <f t="shared" si="88"/>
        <v>596.73830276071465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240.85143496731354</v>
      </c>
      <c r="AA97" s="23">
        <f>EXP(-LN(2)/25)*AA96+(1-EXP(-LN(2)/25))/(LN(2)/25)*Calculateur!V97*Calculateur!X97*VLOOKUP('Données projet'!$B$9,Paramètres!$A$1:$I$89,3,0)*0.475*44/12</f>
        <v>33.09419840536011</v>
      </c>
      <c r="AB97" s="23">
        <f>EXP(-LN(2)/2)*AB96+(1-EXP(-LN(2)/2))/(LN(2)/2)*V97*Y97*VLOOKUP('Données projet'!$B$9,Paramètres!$A$1:$I$89,3,0)*0.475*44/12</f>
        <v>2.0431061082987088E-3</v>
      </c>
      <c r="AC97" s="24">
        <f t="shared" si="57"/>
        <v>273.94767647878194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3.1036506698001178E-14</v>
      </c>
      <c r="AK97" s="14">
        <f t="shared" si="89"/>
        <v>5.3428243983771088E-13</v>
      </c>
      <c r="AL97" s="22">
        <f t="shared" si="58"/>
        <v>9.8459716521636505E-13</v>
      </c>
      <c r="AM97" s="62">
        <f t="shared" si="59"/>
        <v>293.33333333333428</v>
      </c>
      <c r="AN97" s="62">
        <f ca="1">AVERAGE(OFFSET($AM$3,0,0,'Données projet'!$E$10+1,1))-AVERAGE(OFFSET($H$3,0,0,'Données projet'!$E$10+1,1))</f>
        <v>262.6671000229498</v>
      </c>
      <c r="AO97" s="62">
        <f t="shared" si="90"/>
        <v>289.30432245776024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136.01491148089445</v>
      </c>
      <c r="AV97" s="23">
        <f>EXP(-LN(2)/25)*AV96+(1-EXP(-LN(2)/25))/(LN(2)/25)*Calculateur!AQ97*Calculateur!AS97*VLOOKUP('Données projet'!$B$10,Paramètres!$A$1:$I$89,3,0)*0.475*44/12</f>
        <v>26.354590079131452</v>
      </c>
      <c r="AW97" s="23">
        <f>EXP(-LN(2)/2)*AW96+(1-EXP(-LN(2)/2))/(LN(2)/2)*AQ97*AT97*VLOOKUP('Données projet'!$B$10,Paramètres!$A$1:$I$89,3,0)*0.475*44/12</f>
        <v>0.17542569888360299</v>
      </c>
      <c r="AX97" s="23">
        <f t="shared" si="60"/>
        <v>162.5449272589095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</v>
      </c>
      <c r="CT97" s="13">
        <f>IF('Données projet'!$A$140&gt;35,CT96+CS97-DB96,IF(A97&lt;'Données projet'!$A$140,$CQ$205^A97,IF(A97='Données projet'!$A$140,'Données projet'!$B$140,CT96+CS97-DB96)))</f>
        <v>249</v>
      </c>
      <c r="CU97" s="18">
        <f>CT97*VLOOKUP('Données projet'!$B$13,Paramètres!$A$1:$I$89,3,0)*VLOOKUP('Données projet'!$B$13,Paramètres!$A$1:$I$89,5,0)</f>
        <v>217.52640000000005</v>
      </c>
      <c r="CV97" s="14">
        <f t="shared" si="95"/>
        <v>53.576907690651254</v>
      </c>
      <c r="CW97" s="22">
        <f t="shared" si="67"/>
        <v>472.17159422788433</v>
      </c>
      <c r="CX97" s="62">
        <f t="shared" si="68"/>
        <v>765.50492756121764</v>
      </c>
      <c r="CY97" s="62">
        <f ca="1">AVERAGE(OFFSET($CX$3,0,0,'Données projet'!$E$13+1,1))-AVERAGE(OFFSET($H$3,0,0,'Données projet'!$E$13+1,1))</f>
        <v>268.27008134105046</v>
      </c>
      <c r="CZ97" s="62">
        <f t="shared" si="96"/>
        <v>252.36274686619709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27.622265930004289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27.622265930004289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>
        <f>DO97*VLOOKUP('Données projet'!$B$14,Paramètres!$A$1:$I$89,3,0)*VLOOKUP('Données projet'!$B$14,Paramètres!$A$1:$I$89,5,0)</f>
        <v>0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279.49721661620544</v>
      </c>
      <c r="DU97" s="62">
        <f t="shared" si="98"/>
        <v>275.18739333988754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111.66696474634885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111.66696474634885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8.6</v>
      </c>
      <c r="EJ97" s="13">
        <f>IF('Données projet'!$A$192&gt;35,EJ96+EI97-ER96,IF(A97&lt;'Données projet'!$A$192,$EG$205^A97,IF(A97='Données projet'!$A$192,'Données projet'!$B$192,EJ96+EI97-ER96)))</f>
        <v>454.40000000000003</v>
      </c>
      <c r="EK97" s="18">
        <f>EJ97*VLOOKUP('Données projet'!$B$15,Paramètres!$A$1:$I$89,3,0)*VLOOKUP('Données projet'!$B$15,Paramètres!$A$1:$I$89,5,0)</f>
        <v>389.87520000000006</v>
      </c>
      <c r="EL97" s="14">
        <f t="shared" si="99"/>
        <v>89.720964655579479</v>
      </c>
      <c r="EM97" s="22">
        <f t="shared" si="73"/>
        <v>835.29665344180091</v>
      </c>
      <c r="EN97" s="62">
        <f t="shared" si="74"/>
        <v>1128.6299867751343</v>
      </c>
      <c r="EO97" s="62">
        <f ca="1">AVERAGE(OFFSET($EN$3,0,0,'Données projet'!$E$15+1,1))-AVERAGE(OFFSET($H$3,0,0,'Données projet'!$E$15+1,1))</f>
        <v>394.11074988418096</v>
      </c>
      <c r="EP97" s="62">
        <f t="shared" si="100"/>
        <v>241.85593029696236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58.585683151458454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58.585683151458454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4.5474735088646412E-13</v>
      </c>
      <c r="O98" s="14">
        <f>N98*VLOOKUP('Données projet'!$B$9,Paramètres!$A$1:$I$89,3,0)*VLOOKUP('Données projet'!$B$9,Paramètres!$A$1:$I$89,5,0)</f>
        <v>2.5420376914553347E-13</v>
      </c>
      <c r="P98" s="14">
        <f t="shared" si="87"/>
        <v>3.4258699088369875E-12</v>
      </c>
      <c r="Q98" s="22">
        <f t="shared" si="54"/>
        <v>6.4094616558195571E-12</v>
      </c>
      <c r="R98" s="62">
        <f t="shared" si="55"/>
        <v>293.33333333333974</v>
      </c>
      <c r="S98" s="62">
        <f ca="1">AVERAGE(OFFSET($R$3,0,0,'Données projet'!$E$9+1,1))-AVERAGE(OFFSET($H$3,0,0,'Données projet'!$E$9+1,1))</f>
        <v>539.2446452106276</v>
      </c>
      <c r="T98" s="62">
        <f t="shared" si="88"/>
        <v>596.73830276071465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236.12848523247419</v>
      </c>
      <c r="AA98" s="23">
        <f>EXP(-LN(2)/25)*AA97+(1-EXP(-LN(2)/25))/(LN(2)/25)*Calculateur!V98*Calculateur!X98*VLOOKUP('Données projet'!$B$9,Paramètres!$A$1:$I$89,3,0)*0.475*44/12</f>
        <v>32.18923580961728</v>
      </c>
      <c r="AB98" s="23">
        <f>EXP(-LN(2)/2)*AB97+(1-EXP(-LN(2)/2))/(LN(2)/2)*V98*Y98*VLOOKUP('Données projet'!$B$9,Paramètres!$A$1:$I$89,3,0)*0.475*44/12</f>
        <v>1.4446941838616738E-3</v>
      </c>
      <c r="AC98" s="24">
        <f t="shared" si="57"/>
        <v>268.31916573627535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3.1036506698001178E-14</v>
      </c>
      <c r="AK98" s="14">
        <f t="shared" si="89"/>
        <v>5.3428243983771088E-13</v>
      </c>
      <c r="AL98" s="22">
        <f t="shared" si="58"/>
        <v>9.8459716521636505E-13</v>
      </c>
      <c r="AM98" s="62">
        <f t="shared" si="59"/>
        <v>293.33333333333428</v>
      </c>
      <c r="AN98" s="62">
        <f ca="1">AVERAGE(OFFSET($AM$3,0,0,'Données projet'!$E$10+1,1))-AVERAGE(OFFSET($H$3,0,0,'Données projet'!$E$10+1,1))</f>
        <v>262.6671000229498</v>
      </c>
      <c r="AO98" s="62">
        <f t="shared" si="90"/>
        <v>289.30432245776024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133.3477420276584</v>
      </c>
      <c r="AV98" s="23">
        <f>EXP(-LN(2)/25)*AV97+(1-EXP(-LN(2)/25))/(LN(2)/25)*Calculateur!AQ98*Calculateur!AS98*VLOOKUP('Données projet'!$B$10,Paramètres!$A$1:$I$89,3,0)*0.475*44/12</f>
        <v>25.633922427489946</v>
      </c>
      <c r="AW98" s="23">
        <f>EXP(-LN(2)/2)*AW97+(1-EXP(-LN(2)/2))/(LN(2)/2)*AQ98*AT98*VLOOKUP('Données projet'!$B$10,Paramètres!$A$1:$I$89,3,0)*0.475*44/12</f>
        <v>0.12404470127498504</v>
      </c>
      <c r="AX98" s="23">
        <f t="shared" si="60"/>
        <v>159.10570915642333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252</v>
      </c>
      <c r="CR98" s="13">
        <f>VLOOKUP(A98,'Données projet'!$A$139:$I$159,9,0)</f>
        <v>3</v>
      </c>
      <c r="CS98" s="13">
        <f t="array" ref="CS98">INDEX(CR:CR,MIN(IF(ISNUMBER(CR98:CR294),ROW(CR98:CR294),"")))</f>
        <v>3</v>
      </c>
      <c r="CT98" s="13">
        <f>IF('Données projet'!$A$140&gt;35,CT97+CS98-DB97,IF(A98&lt;'Données projet'!$A$140,$CQ$205^A98,IF(A98='Données projet'!$A$140,'Données projet'!$B$140,CT97+CS98-DB97)))</f>
        <v>252</v>
      </c>
      <c r="CU98" s="18">
        <f>CT98*VLOOKUP('Données projet'!$B$13,Paramètres!$A$1:$I$89,3,0)*VLOOKUP('Données projet'!$B$13,Paramètres!$A$1:$I$89,5,0)</f>
        <v>220.14720000000003</v>
      </c>
      <c r="CV98" s="14">
        <f t="shared" si="95"/>
        <v>54.146877667769687</v>
      </c>
      <c r="CW98" s="22">
        <f t="shared" si="67"/>
        <v>477.72885193803222</v>
      </c>
      <c r="CX98" s="62">
        <f t="shared" si="68"/>
        <v>771.06218527136548</v>
      </c>
      <c r="CY98" s="62">
        <f ca="1">AVERAGE(OFFSET($CX$3,0,0,'Données projet'!$E$13+1,1))-AVERAGE(OFFSET($H$3,0,0,'Données projet'!$E$13+1,1))</f>
        <v>268.27008134105046</v>
      </c>
      <c r="CZ98" s="62">
        <f t="shared" si="96"/>
        <v>252.36274686619709</v>
      </c>
      <c r="DA98" s="16">
        <f>IF(ISNA(VLOOKUP(A98,'Données projet'!$A$139:$I$159,3,0)),0,VLOOKUP(A98,'Données projet'!$A$139:$I$159,3,0))</f>
        <v>18</v>
      </c>
      <c r="DB98" s="16">
        <f>IF(ISNA(VLOOKUP(A98,'Données projet'!$A$139:$I$159,4,0)),0,VLOOKUP(A98,'Données projet'!$A$139:$I$159,4,0))</f>
        <v>12</v>
      </c>
      <c r="DC98" s="17">
        <f>IF(ISNA(VLOOKUP(A98,'Données projet'!$A$139:$I$159,5,0)),0%,VLOOKUP(A98,'Données projet'!$A$139:$I$159,5,0)*VLOOKUP('Données projet'!$B$13,Paramètres!$A$1:$I$89,7,0))</f>
        <v>0.34400000000000003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31.067180419491148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31.067180419491148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>
        <f>DO98*VLOOKUP('Données projet'!$B$14,Paramètres!$A$1:$I$89,3,0)*VLOOKUP('Données projet'!$B$14,Paramètres!$A$1:$I$89,5,0)</f>
        <v>0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279.49721661620544</v>
      </c>
      <c r="DU98" s="62">
        <f t="shared" si="98"/>
        <v>275.18739333988754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109.47724367779612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109.47724367779612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463</v>
      </c>
      <c r="EH98" s="13">
        <f>VLOOKUP(A98,'Données projet'!$A$191:$I$211,9,0)</f>
        <v>8.6</v>
      </c>
      <c r="EI98" s="13">
        <f t="array" ref="EI98">INDEX(EH:EH,MIN(IF(ISNUMBER(EH98:EH294),ROW(EH98:EH294),"")))</f>
        <v>8.6</v>
      </c>
      <c r="EJ98" s="13">
        <f>IF('Données projet'!$A$192&gt;35,EJ97+EI98-ER97,IF(A98&lt;'Données projet'!$A$192,$EG$205^A98,IF(A98='Données projet'!$A$192,'Données projet'!$B$192,EJ97+EI98-ER97)))</f>
        <v>463.00000000000006</v>
      </c>
      <c r="EK98" s="18">
        <f>EJ98*VLOOKUP('Données projet'!$B$15,Paramètres!$A$1:$I$89,3,0)*VLOOKUP('Données projet'!$B$15,Paramètres!$A$1:$I$89,5,0)</f>
        <v>397.25400000000013</v>
      </c>
      <c r="EL98" s="14">
        <f t="shared" si="99"/>
        <v>91.219732863167494</v>
      </c>
      <c r="EM98" s="22">
        <f t="shared" si="73"/>
        <v>850.75841807001689</v>
      </c>
      <c r="EN98" s="62">
        <f t="shared" si="74"/>
        <v>1144.0917514033501</v>
      </c>
      <c r="EO98" s="62">
        <f ca="1">AVERAGE(OFFSET($EN$3,0,0,'Données projet'!$E$15+1,1))-AVERAGE(OFFSET($H$3,0,0,'Données projet'!$E$15+1,1))</f>
        <v>394.11074988418096</v>
      </c>
      <c r="EP98" s="62">
        <f t="shared" si="100"/>
        <v>241.85593029696236</v>
      </c>
      <c r="EQ98" s="16">
        <f>IF(ISNA(VLOOKUP(A98,'Données projet'!$A$191:$I$211,3,0)),0,VLOOKUP(A98,'Données projet'!$A$191:$I$211,3,0))</f>
        <v>16</v>
      </c>
      <c r="ER98" s="16">
        <f>IF(ISNA(VLOOKUP(A98,'Données projet'!$A$191:$I$211,4,0)),0,VLOOKUP(A98,'Données projet'!$A$191:$I$211,4,0))</f>
        <v>30</v>
      </c>
      <c r="ES98" s="17">
        <f>IF(ISNA(VLOOKUP(A98,'Données projet'!$A$191:$I$211,5,0)),0%,VLOOKUP(A98,'Données projet'!$A$191:$I$211,5,0)*VLOOKUP('Données projet'!$B$15,Paramètres!$A$1:$I$89,7,0))</f>
        <v>0.42400000000000004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69.501692047928188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69.501692047928188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4.5474735088646412E-13</v>
      </c>
      <c r="O99" s="14">
        <f>N99*VLOOKUP('Données projet'!$B$9,Paramètres!$A$1:$I$89,3,0)*VLOOKUP('Données projet'!$B$9,Paramètres!$A$1:$I$89,5,0)</f>
        <v>2.5420376914553347E-13</v>
      </c>
      <c r="P99" s="14">
        <f t="shared" si="87"/>
        <v>3.4258699088369875E-12</v>
      </c>
      <c r="Q99" s="22">
        <f t="shared" ref="Q99:Q130" si="107">(O99+P99)*0.475*44/12</f>
        <v>6.4094616558195571E-12</v>
      </c>
      <c r="R99" s="62">
        <f t="shared" si="55"/>
        <v>293.33333333333974</v>
      </c>
      <c r="S99" s="62">
        <f ca="1">AVERAGE(OFFSET($R$3,0,0,'Données projet'!$E$9+1,1))-AVERAGE(OFFSET($H$3,0,0,'Données projet'!$E$9+1,1))</f>
        <v>539.2446452106276</v>
      </c>
      <c r="T99" s="62">
        <f t="shared" si="88"/>
        <v>596.73830276071465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231.49814966122017</v>
      </c>
      <c r="AA99" s="23">
        <f>EXP(-LN(2)/25)*AA98+(1-EXP(-LN(2)/25))/(LN(2)/25)*Calculateur!V99*Calculateur!X99*VLOOKUP('Données projet'!$B$9,Paramètres!$A$1:$I$89,3,0)*0.475*44/12</f>
        <v>31.309019463644955</v>
      </c>
      <c r="AB99" s="23">
        <f>EXP(-LN(2)/2)*AB98+(1-EXP(-LN(2)/2))/(LN(2)/2)*V99*Y99*VLOOKUP('Données projet'!$B$9,Paramètres!$A$1:$I$89,3,0)*0.475*44/12</f>
        <v>1.0215530541493544E-3</v>
      </c>
      <c r="AC99" s="24">
        <f t="shared" si="57"/>
        <v>262.8081906779193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3.1036506698001178E-14</v>
      </c>
      <c r="AK99" s="14">
        <f t="shared" si="89"/>
        <v>5.3428243983771088E-13</v>
      </c>
      <c r="AL99" s="22">
        <f t="shared" si="58"/>
        <v>9.8459716521636505E-13</v>
      </c>
      <c r="AM99" s="62">
        <f t="shared" si="59"/>
        <v>293.33333333333428</v>
      </c>
      <c r="AN99" s="62">
        <f ca="1">AVERAGE(OFFSET($AM$3,0,0,'Données projet'!$E$10+1,1))-AVERAGE(OFFSET($H$3,0,0,'Données projet'!$E$10+1,1))</f>
        <v>262.6671000229498</v>
      </c>
      <c r="AO99" s="62">
        <f t="shared" si="90"/>
        <v>289.30432245776024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130.73287414058757</v>
      </c>
      <c r="AV99" s="23">
        <f>EXP(-LN(2)/25)*AV98+(1-EXP(-LN(2)/25))/(LN(2)/25)*Calculateur!AQ99*Calculateur!AS99*VLOOKUP('Données projet'!$B$10,Paramètres!$A$1:$I$89,3,0)*0.475*44/12</f>
        <v>24.932961470680841</v>
      </c>
      <c r="AW99" s="23">
        <f>EXP(-LN(2)/2)*AW98+(1-EXP(-LN(2)/2))/(LN(2)/2)*AQ99*AT99*VLOOKUP('Données projet'!$B$10,Paramètres!$A$1:$I$89,3,0)*0.475*44/12</f>
        <v>8.7712849441801508E-2</v>
      </c>
      <c r="AX99" s="23">
        <f t="shared" si="60"/>
        <v>155.75354846071022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</v>
      </c>
      <c r="CT99" s="13">
        <f>IF('Données projet'!$A$140&gt;35,CT98+CS99-DB98,IF(A99&lt;'Données projet'!$A$140,$CQ$205^A99,IF(A99='Données projet'!$A$140,'Données projet'!$B$140,CT98+CS99-DB98)))</f>
        <v>243</v>
      </c>
      <c r="CU99" s="18">
        <f>CT99*VLOOKUP('Données projet'!$B$13,Paramètres!$A$1:$I$89,3,0)*VLOOKUP('Données projet'!$B$13,Paramètres!$A$1:$I$89,5,0)</f>
        <v>212.28480000000002</v>
      </c>
      <c r="CV99" s="14">
        <f t="shared" si="95"/>
        <v>52.434557099704193</v>
      </c>
      <c r="CW99" s="22">
        <f t="shared" si="67"/>
        <v>461.05288028198476</v>
      </c>
      <c r="CX99" s="62">
        <f t="shared" si="68"/>
        <v>754.38621361531807</v>
      </c>
      <c r="CY99" s="62">
        <f ca="1">AVERAGE(OFFSET($CX$3,0,0,'Données projet'!$E$13+1,1))-AVERAGE(OFFSET($H$3,0,0,'Données projet'!$E$13+1,1))</f>
        <v>268.27008134105046</v>
      </c>
      <c r="CZ99" s="62">
        <f t="shared" si="96"/>
        <v>252.36274686619709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30.457971960573914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30.457971960573914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>
        <f>DO99*VLOOKUP('Données projet'!$B$14,Paramètres!$A$1:$I$89,3,0)*VLOOKUP('Données projet'!$B$14,Paramètres!$A$1:$I$89,5,0)</f>
        <v>0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279.49721661620544</v>
      </c>
      <c r="DU99" s="62">
        <f t="shared" si="98"/>
        <v>275.18739333988754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107.33046170379976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107.33046170379976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8.1999999999999993</v>
      </c>
      <c r="EJ99" s="13">
        <f>IF('Données projet'!$A$192&gt;35,EJ98+EI99-ER98,IF(A99&lt;'Données projet'!$A$192,$EG$205^A99,IF(A99='Données projet'!$A$192,'Données projet'!$B$192,EJ98+EI99-ER98)))</f>
        <v>441.20000000000005</v>
      </c>
      <c r="EK99" s="18">
        <f>EJ99*VLOOKUP('Données projet'!$B$15,Paramètres!$A$1:$I$89,3,0)*VLOOKUP('Données projet'!$B$15,Paramètres!$A$1:$I$89,5,0)</f>
        <v>378.54960000000011</v>
      </c>
      <c r="EL99" s="14">
        <f t="shared" si="99"/>
        <v>87.414074444191471</v>
      </c>
      <c r="EM99" s="22">
        <f t="shared" si="73"/>
        <v>811.55339965696703</v>
      </c>
      <c r="EN99" s="62">
        <f t="shared" si="74"/>
        <v>1104.8867329903003</v>
      </c>
      <c r="EO99" s="62">
        <f ca="1">AVERAGE(OFFSET($EN$3,0,0,'Données projet'!$E$15+1,1))-AVERAGE(OFFSET($H$3,0,0,'Données projet'!$E$15+1,1))</f>
        <v>394.11074988418096</v>
      </c>
      <c r="EP99" s="62">
        <f t="shared" si="100"/>
        <v>241.85593029696236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68.138806258714624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68.138806258714624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4.5474735088646412E-13</v>
      </c>
      <c r="O100" s="14">
        <f>N100*VLOOKUP('Données projet'!$B$9,Paramètres!$A$1:$I$89,3,0)*VLOOKUP('Données projet'!$B$9,Paramètres!$A$1:$I$89,5,0)</f>
        <v>2.5420376914553347E-13</v>
      </c>
      <c r="P100" s="14">
        <f t="shared" si="87"/>
        <v>3.4258699088369875E-12</v>
      </c>
      <c r="Q100" s="22">
        <f t="shared" si="107"/>
        <v>6.4094616558195571E-12</v>
      </c>
      <c r="R100" s="62">
        <f t="shared" si="55"/>
        <v>293.33333333333974</v>
      </c>
      <c r="S100" s="62">
        <f ca="1">AVERAGE(OFFSET($R$3,0,0,'Données projet'!$E$9+1,1))-AVERAGE(OFFSET($H$3,0,0,'Données projet'!$E$9+1,1))</f>
        <v>539.2446452106276</v>
      </c>
      <c r="T100" s="62">
        <f t="shared" si="88"/>
        <v>596.73830276071465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226.95861214629261</v>
      </c>
      <c r="AA100" s="23">
        <f>EXP(-LN(2)/25)*AA99+(1-EXP(-LN(2)/25))/(LN(2)/25)*Calculateur!V100*Calculateur!X100*VLOOKUP('Données projet'!$B$9,Paramètres!$A$1:$I$89,3,0)*0.475*44/12</f>
        <v>30.452872679941809</v>
      </c>
      <c r="AB100" s="23">
        <f>EXP(-LN(2)/2)*AB99+(1-EXP(-LN(2)/2))/(LN(2)/2)*V100*Y100*VLOOKUP('Données projet'!$B$9,Paramètres!$A$1:$I$89,3,0)*0.475*44/12</f>
        <v>7.2234709193083689E-4</v>
      </c>
      <c r="AC100" s="24">
        <f t="shared" si="57"/>
        <v>257.41220717332635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3.1036506698001178E-14</v>
      </c>
      <c r="AK100" s="14">
        <f t="shared" si="89"/>
        <v>5.3428243983771088E-13</v>
      </c>
      <c r="AL100" s="22">
        <f t="shared" si="58"/>
        <v>9.8459716521636505E-13</v>
      </c>
      <c r="AM100" s="62">
        <f t="shared" si="59"/>
        <v>293.33333333333428</v>
      </c>
      <c r="AN100" s="62">
        <f ca="1">AVERAGE(OFFSET($AM$3,0,0,'Données projet'!$E$10+1,1))-AVERAGE(OFFSET($H$3,0,0,'Données projet'!$E$10+1,1))</f>
        <v>262.6671000229498</v>
      </c>
      <c r="AO100" s="62">
        <f t="shared" si="90"/>
        <v>289.30432245776024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128.16928221787029</v>
      </c>
      <c r="AV100" s="23">
        <f>EXP(-LN(2)/25)*AV99+(1-EXP(-LN(2)/25))/(LN(2)/25)*Calculateur!AQ100*Calculateur!AS100*VLOOKUP('Données projet'!$B$10,Paramètres!$A$1:$I$89,3,0)*0.475*44/12</f>
        <v>24.251168328097613</v>
      </c>
      <c r="AW100" s="23">
        <f>EXP(-LN(2)/2)*AW99+(1-EXP(-LN(2)/2))/(LN(2)/2)*AQ100*AT100*VLOOKUP('Données projet'!$B$10,Paramètres!$A$1:$I$89,3,0)*0.475*44/12</f>
        <v>6.2022350637492528E-2</v>
      </c>
      <c r="AX100" s="23">
        <f t="shared" si="60"/>
        <v>152.4824728966054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</v>
      </c>
      <c r="CT100" s="13">
        <f>IF('Données projet'!$A$140&gt;35,CT99+CS100-DB99,IF(A100&lt;'Données projet'!$A$140,$CQ$205^A100,IF(A100='Données projet'!$A$140,'Données projet'!$B$140,CT99+CS100-DB99)))</f>
        <v>246</v>
      </c>
      <c r="CU100" s="18">
        <f>CT100*VLOOKUP('Données projet'!$B$13,Paramètres!$A$1:$I$89,3,0)*VLOOKUP('Données projet'!$B$13,Paramètres!$A$1:$I$89,5,0)</f>
        <v>214.90560000000005</v>
      </c>
      <c r="CV100" s="14">
        <f t="shared" si="95"/>
        <v>53.006137800892326</v>
      </c>
      <c r="CW100" s="22">
        <f t="shared" si="67"/>
        <v>466.61294333655422</v>
      </c>
      <c r="CX100" s="62">
        <f t="shared" si="68"/>
        <v>759.94627666988754</v>
      </c>
      <c r="CY100" s="62">
        <f ca="1">AVERAGE(OFFSET($CX$3,0,0,'Données projet'!$E$13+1,1))-AVERAGE(OFFSET($H$3,0,0,'Données projet'!$E$13+1,1))</f>
        <v>268.27008134105046</v>
      </c>
      <c r="CZ100" s="62">
        <f t="shared" si="96"/>
        <v>252.36274686619709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29.860709707955579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29.860709707955579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>
        <f>DO100*VLOOKUP('Données projet'!$B$14,Paramètres!$A$1:$I$89,3,0)*VLOOKUP('Données projet'!$B$14,Paramètres!$A$1:$I$89,5,0)</f>
        <v>0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279.49721661620544</v>
      </c>
      <c r="DU100" s="62">
        <f t="shared" si="98"/>
        <v>275.18739333988754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105.22577681490574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105.22577681490574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8.1999999999999993</v>
      </c>
      <c r="EJ100" s="13">
        <f>IF('Données projet'!$A$192&gt;35,EJ99+EI100-ER99,IF(A100&lt;'Données projet'!$A$192,$EG$205^A100,IF(A100='Données projet'!$A$192,'Données projet'!$B$192,EJ99+EI100-ER99)))</f>
        <v>449.40000000000003</v>
      </c>
      <c r="EK100" s="18">
        <f>EJ100*VLOOKUP('Données projet'!$B$15,Paramètres!$A$1:$I$89,3,0)*VLOOKUP('Données projet'!$B$15,Paramètres!$A$1:$I$89,5,0)</f>
        <v>385.5852000000001</v>
      </c>
      <c r="EL100" s="14">
        <f t="shared" si="99"/>
        <v>88.84807267555091</v>
      </c>
      <c r="EM100" s="22">
        <f t="shared" si="73"/>
        <v>826.30461657658464</v>
      </c>
      <c r="EN100" s="62">
        <f t="shared" si="74"/>
        <v>1119.637949909918</v>
      </c>
      <c r="EO100" s="62">
        <f ca="1">AVERAGE(OFFSET($EN$3,0,0,'Données projet'!$E$15+1,1))-AVERAGE(OFFSET($H$3,0,0,'Données projet'!$E$15+1,1))</f>
        <v>394.11074988418096</v>
      </c>
      <c r="EP100" s="62">
        <f t="shared" si="100"/>
        <v>241.85593029696236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66.802645828549288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66.802645828549288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4.5474735088646412E-13</v>
      </c>
      <c r="O101" s="14">
        <f>N101*VLOOKUP('Données projet'!$B$9,Paramètres!$A$1:$I$89,3,0)*VLOOKUP('Données projet'!$B$9,Paramètres!$A$1:$I$89,5,0)</f>
        <v>2.5420376914553347E-13</v>
      </c>
      <c r="P101" s="14">
        <f t="shared" si="87"/>
        <v>3.4258699088369875E-12</v>
      </c>
      <c r="Q101" s="22">
        <f t="shared" si="107"/>
        <v>6.4094616558195571E-12</v>
      </c>
      <c r="R101" s="62">
        <f t="shared" si="55"/>
        <v>293.33333333333974</v>
      </c>
      <c r="S101" s="62">
        <f ca="1">AVERAGE(OFFSET($R$3,0,0,'Données projet'!$E$9+1,1))-AVERAGE(OFFSET($H$3,0,0,'Données projet'!$E$9+1,1))</f>
        <v>539.2446452106276</v>
      </c>
      <c r="T101" s="62">
        <f t="shared" si="88"/>
        <v>596.73830276071465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222.50809219318828</v>
      </c>
      <c r="AA101" s="23">
        <f>EXP(-LN(2)/25)*AA100+(1-EXP(-LN(2)/25))/(LN(2)/25)*Calculateur!V101*Calculateur!X101*VLOOKUP('Données projet'!$B$9,Paramètres!$A$1:$I$89,3,0)*0.475*44/12</f>
        <v>29.620137275061825</v>
      </c>
      <c r="AB101" s="23">
        <f>EXP(-LN(2)/2)*AB100+(1-EXP(-LN(2)/2))/(LN(2)/2)*V101*Y101*VLOOKUP('Données projet'!$B$9,Paramètres!$A$1:$I$89,3,0)*0.475*44/12</f>
        <v>5.107765270746772E-4</v>
      </c>
      <c r="AC101" s="24">
        <f t="shared" si="57"/>
        <v>252.12874024477719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3.1036506698001178E-14</v>
      </c>
      <c r="AK101" s="14">
        <f t="shared" si="89"/>
        <v>5.3428243983771088E-13</v>
      </c>
      <c r="AL101" s="22">
        <f t="shared" si="58"/>
        <v>9.8459716521636505E-13</v>
      </c>
      <c r="AM101" s="62">
        <f t="shared" si="59"/>
        <v>293.33333333333428</v>
      </c>
      <c r="AN101" s="62">
        <f ca="1">AVERAGE(OFFSET($AM$3,0,0,'Données projet'!$E$10+1,1))-AVERAGE(OFFSET($H$3,0,0,'Données projet'!$E$10+1,1))</f>
        <v>262.6671000229498</v>
      </c>
      <c r="AO101" s="62">
        <f t="shared" si="90"/>
        <v>289.30432245776024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125.65596076912081</v>
      </c>
      <c r="AV101" s="23">
        <f>EXP(-LN(2)/25)*AV100+(1-EXP(-LN(2)/25))/(LN(2)/25)*Calculateur!AQ101*Calculateur!AS101*VLOOKUP('Données projet'!$B$10,Paramètres!$A$1:$I$89,3,0)*0.475*44/12</f>
        <v>23.588018854852269</v>
      </c>
      <c r="AW101" s="23">
        <f>EXP(-LN(2)/2)*AW100+(1-EXP(-LN(2)/2))/(LN(2)/2)*AQ101*AT101*VLOOKUP('Données projet'!$B$10,Paramètres!$A$1:$I$89,3,0)*0.475*44/12</f>
        <v>4.3856424720900761E-2</v>
      </c>
      <c r="AX101" s="23">
        <f t="shared" si="60"/>
        <v>149.28783604869398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</v>
      </c>
      <c r="CT101" s="13">
        <f>IF('Données projet'!$A$140&gt;35,CT100+CS101-DB100,IF(A101&lt;'Données projet'!$A$140,$CQ$205^A101,IF(A101='Données projet'!$A$140,'Données projet'!$B$140,CT100+CS101-DB100)))</f>
        <v>249</v>
      </c>
      <c r="CU101" s="18">
        <f>CT101*VLOOKUP('Données projet'!$B$13,Paramètres!$A$1:$I$89,3,0)*VLOOKUP('Données projet'!$B$13,Paramètres!$A$1:$I$89,5,0)</f>
        <v>217.52640000000005</v>
      </c>
      <c r="CV101" s="14">
        <f t="shared" si="95"/>
        <v>53.576907690651254</v>
      </c>
      <c r="CW101" s="22">
        <f t="shared" si="67"/>
        <v>472.17159422788433</v>
      </c>
      <c r="CX101" s="62">
        <f t="shared" si="68"/>
        <v>765.50492756121764</v>
      </c>
      <c r="CY101" s="62">
        <f ca="1">AVERAGE(OFFSET($CX$3,0,0,'Données projet'!$E$13+1,1))-AVERAGE(OFFSET($H$3,0,0,'Données projet'!$E$13+1,1))</f>
        <v>268.27008134105046</v>
      </c>
      <c r="CZ101" s="62">
        <f t="shared" si="96"/>
        <v>252.36274686619709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29.275159403817085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29.275159403817085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>
        <f>DO101*VLOOKUP('Données projet'!$B$14,Paramètres!$A$1:$I$89,3,0)*VLOOKUP('Données projet'!$B$14,Paramètres!$A$1:$I$89,5,0)</f>
        <v>0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279.49721661620544</v>
      </c>
      <c r="DU101" s="62">
        <f t="shared" si="98"/>
        <v>275.18739333988754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103.16236351295191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103.16236351295191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8.1999999999999993</v>
      </c>
      <c r="EJ101" s="13">
        <f>IF('Données projet'!$A$192&gt;35,EJ100+EI101-ER100,IF(A101&lt;'Données projet'!$A$192,$EG$205^A101,IF(A101='Données projet'!$A$192,'Données projet'!$B$192,EJ100+EI101-ER100)))</f>
        <v>457.6</v>
      </c>
      <c r="EK101" s="18">
        <f>EJ101*VLOOKUP('Données projet'!$B$15,Paramètres!$A$1:$I$89,3,0)*VLOOKUP('Données projet'!$B$15,Paramètres!$A$1:$I$89,5,0)</f>
        <v>392.62080000000009</v>
      </c>
      <c r="EL101" s="14">
        <f t="shared" si="99"/>
        <v>90.279028293744005</v>
      </c>
      <c r="EM101" s="22">
        <f t="shared" si="73"/>
        <v>841.0505342782709</v>
      </c>
      <c r="EN101" s="62">
        <f t="shared" si="74"/>
        <v>1134.3838676116043</v>
      </c>
      <c r="EO101" s="62">
        <f ca="1">AVERAGE(OFFSET($EN$3,0,0,'Données projet'!$E$15+1,1))-AVERAGE(OFFSET($H$3,0,0,'Données projet'!$E$15+1,1))</f>
        <v>394.11074988418096</v>
      </c>
      <c r="EP101" s="62">
        <f t="shared" si="100"/>
        <v>241.85593029696236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65.492686689442095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65.492686689442095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4.5474735088646412E-13</v>
      </c>
      <c r="O102" s="14">
        <f>N102*VLOOKUP('Données projet'!$B$9,Paramètres!$A$1:$I$89,3,0)*VLOOKUP('Données projet'!$B$9,Paramètres!$A$1:$I$89,5,0)</f>
        <v>2.5420376914553347E-13</v>
      </c>
      <c r="P102" s="14">
        <f t="shared" si="87"/>
        <v>3.4258699088369875E-12</v>
      </c>
      <c r="Q102" s="22">
        <f t="shared" si="107"/>
        <v>6.4094616558195571E-12</v>
      </c>
      <c r="R102" s="62">
        <f t="shared" si="55"/>
        <v>293.33333333333974</v>
      </c>
      <c r="S102" s="62">
        <f ca="1">AVERAGE(OFFSET($R$3,0,0,'Données projet'!$E$9+1,1))-AVERAGE(OFFSET($H$3,0,0,'Données projet'!$E$9+1,1))</f>
        <v>539.2446452106276</v>
      </c>
      <c r="T102" s="62">
        <f t="shared" si="88"/>
        <v>596.73830276071465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218.14484422181519</v>
      </c>
      <c r="AA102" s="23">
        <f>EXP(-LN(2)/25)*AA101+(1-EXP(-LN(2)/25))/(LN(2)/25)*Calculateur!V102*Calculateur!X102*VLOOKUP('Données projet'!$B$9,Paramètres!$A$1:$I$89,3,0)*0.475*44/12</f>
        <v>28.810173063619938</v>
      </c>
      <c r="AB102" s="23">
        <f>EXP(-LN(2)/2)*AB101+(1-EXP(-LN(2)/2))/(LN(2)/2)*V102*Y102*VLOOKUP('Données projet'!$B$9,Paramètres!$A$1:$I$89,3,0)*0.475*44/12</f>
        <v>3.6117354596541844E-4</v>
      </c>
      <c r="AC102" s="24">
        <f t="shared" si="57"/>
        <v>246.9553784589811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3.1036506698001178E-14</v>
      </c>
      <c r="AK102" s="14">
        <f t="shared" si="89"/>
        <v>5.3428243983771088E-13</v>
      </c>
      <c r="AL102" s="22">
        <f t="shared" si="58"/>
        <v>9.8459716521636505E-13</v>
      </c>
      <c r="AM102" s="62">
        <f t="shared" si="59"/>
        <v>293.33333333333428</v>
      </c>
      <c r="AN102" s="62">
        <f ca="1">AVERAGE(OFFSET($AM$3,0,0,'Données projet'!$E$10+1,1))-AVERAGE(OFFSET($H$3,0,0,'Données projet'!$E$10+1,1))</f>
        <v>262.6671000229498</v>
      </c>
      <c r="AO102" s="62">
        <f t="shared" si="90"/>
        <v>289.30432245776024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123.1919240210066</v>
      </c>
      <c r="AV102" s="23">
        <f>EXP(-LN(2)/25)*AV101+(1-EXP(-LN(2)/25))/(LN(2)/25)*Calculateur!AQ102*Calculateur!AS102*VLOOKUP('Données projet'!$B$10,Paramètres!$A$1:$I$89,3,0)*0.475*44/12</f>
        <v>22.943003238826332</v>
      </c>
      <c r="AW102" s="23">
        <f>EXP(-LN(2)/2)*AW101+(1-EXP(-LN(2)/2))/(LN(2)/2)*AQ102*AT102*VLOOKUP('Données projet'!$B$10,Paramètres!$A$1:$I$89,3,0)*0.475*44/12</f>
        <v>3.1011175318746271E-2</v>
      </c>
      <c r="AX102" s="23">
        <f t="shared" si="60"/>
        <v>146.16593843515167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</v>
      </c>
      <c r="CT102" s="13">
        <f>IF('Données projet'!$A$140&gt;35,CT101+CS102-DB101,IF(A102&lt;'Données projet'!$A$140,$CQ$205^A102,IF(A102='Données projet'!$A$140,'Données projet'!$B$140,CT101+CS102-DB101)))</f>
        <v>252</v>
      </c>
      <c r="CU102" s="18">
        <f>CT102*VLOOKUP('Données projet'!$B$13,Paramètres!$A$1:$I$89,3,0)*VLOOKUP('Données projet'!$B$13,Paramètres!$A$1:$I$89,5,0)</f>
        <v>220.14720000000003</v>
      </c>
      <c r="CV102" s="14">
        <f t="shared" si="95"/>
        <v>54.146877667769687</v>
      </c>
      <c r="CW102" s="22">
        <f t="shared" si="67"/>
        <v>477.72885193803222</v>
      </c>
      <c r="CX102" s="62">
        <f t="shared" si="68"/>
        <v>771.06218527136548</v>
      </c>
      <c r="CY102" s="62">
        <f ca="1">AVERAGE(OFFSET($CX$3,0,0,'Données projet'!$E$13+1,1))-AVERAGE(OFFSET($H$3,0,0,'Données projet'!$E$13+1,1))</f>
        <v>268.27008134105046</v>
      </c>
      <c r="CZ102" s="62">
        <f t="shared" si="96"/>
        <v>252.36274686619709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28.701091383992328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28.701091383992328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>
        <f>DO102*VLOOKUP('Données projet'!$B$14,Paramètres!$A$1:$I$89,3,0)*VLOOKUP('Données projet'!$B$14,Paramètres!$A$1:$I$89,5,0)</f>
        <v>0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279.49721661620544</v>
      </c>
      <c r="DU102" s="62">
        <f t="shared" si="98"/>
        <v>275.18739333988754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101.13941248729155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101.13941248729155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8.1999999999999993</v>
      </c>
      <c r="EJ102" s="13">
        <f>IF('Données projet'!$A$192&gt;35,EJ101+EI102-ER101,IF(A102&lt;'Données projet'!$A$192,$EG$205^A102,IF(A102='Données projet'!$A$192,'Données projet'!$B$192,EJ101+EI102-ER101)))</f>
        <v>465.8</v>
      </c>
      <c r="EK102" s="18">
        <f>EJ102*VLOOKUP('Données projet'!$B$15,Paramètres!$A$1:$I$89,3,0)*VLOOKUP('Données projet'!$B$15,Paramètres!$A$1:$I$89,5,0)</f>
        <v>399.65640000000008</v>
      </c>
      <c r="EL102" s="14">
        <f t="shared" si="99"/>
        <v>91.707002110648844</v>
      </c>
      <c r="EM102" s="22">
        <f t="shared" si="73"/>
        <v>855.79125867604671</v>
      </c>
      <c r="EN102" s="62">
        <f t="shared" si="74"/>
        <v>1149.12459200938</v>
      </c>
      <c r="EO102" s="62">
        <f ca="1">AVERAGE(OFFSET($EN$3,0,0,'Données projet'!$E$15+1,1))-AVERAGE(OFFSET($H$3,0,0,'Données projet'!$E$15+1,1))</f>
        <v>394.11074988418096</v>
      </c>
      <c r="EP102" s="62">
        <f t="shared" si="100"/>
        <v>241.85593029696236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64.208415050056615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64.208415050056615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4.5474735088646412E-13</v>
      </c>
      <c r="O103" s="14">
        <f>N103*VLOOKUP('Données projet'!$B$9,Paramètres!$A$1:$I$89,3,0)*VLOOKUP('Données projet'!$B$9,Paramètres!$A$1:$I$89,5,0)</f>
        <v>2.5420376914553347E-13</v>
      </c>
      <c r="P103" s="14">
        <f t="shared" si="87"/>
        <v>3.4258699088369875E-12</v>
      </c>
      <c r="Q103" s="22">
        <f t="shared" si="107"/>
        <v>6.4094616558195571E-12</v>
      </c>
      <c r="R103" s="62">
        <f t="shared" si="55"/>
        <v>293.33333333333974</v>
      </c>
      <c r="S103" s="62">
        <f ca="1">AVERAGE(OFFSET($R$3,0,0,'Données projet'!$E$9+1,1))-AVERAGE(OFFSET($H$3,0,0,'Données projet'!$E$9+1,1))</f>
        <v>539.2446452106276</v>
      </c>
      <c r="T103" s="62">
        <f t="shared" si="88"/>
        <v>596.73830276071465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213.86715688184225</v>
      </c>
      <c r="AA103" s="23">
        <f>EXP(-LN(2)/25)*AA102+(1-EXP(-LN(2)/25))/(LN(2)/25)*Calculateur!V103*Calculateur!X103*VLOOKUP('Données projet'!$B$9,Paramètres!$A$1:$I$89,3,0)*0.475*44/12</f>
        <v>28.022357366134095</v>
      </c>
      <c r="AB103" s="23">
        <f>EXP(-LN(2)/2)*AB102+(1-EXP(-LN(2)/2))/(LN(2)/2)*V103*Y103*VLOOKUP('Données projet'!$B$9,Paramètres!$A$1:$I$89,3,0)*0.475*44/12</f>
        <v>2.553882635373386E-4</v>
      </c>
      <c r="AC103" s="24">
        <f t="shared" si="57"/>
        <v>241.88976963623986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3.1036506698001178E-14</v>
      </c>
      <c r="AK103" s="14">
        <f t="shared" si="89"/>
        <v>5.3428243983771088E-13</v>
      </c>
      <c r="AL103" s="22">
        <f t="shared" si="58"/>
        <v>9.8459716521636505E-13</v>
      </c>
      <c r="AM103" s="62">
        <f t="shared" si="59"/>
        <v>293.33333333333428</v>
      </c>
      <c r="AN103" s="62">
        <f ca="1">AVERAGE(OFFSET($AM$3,0,0,'Données projet'!$E$10+1,1))-AVERAGE(OFFSET($H$3,0,0,'Données projet'!$E$10+1,1))</f>
        <v>262.6671000229498</v>
      </c>
      <c r="AO103" s="62">
        <f t="shared" si="90"/>
        <v>289.30432245776024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120.77620553060889</v>
      </c>
      <c r="AV103" s="23">
        <f>EXP(-LN(2)/25)*AV102+(1-EXP(-LN(2)/25))/(LN(2)/25)*Calculateur!AQ103*Calculateur!AS103*VLOOKUP('Données projet'!$B$10,Paramètres!$A$1:$I$89,3,0)*0.475*44/12</f>
        <v>22.315625608740522</v>
      </c>
      <c r="AW103" s="23">
        <f>EXP(-LN(2)/2)*AW102+(1-EXP(-LN(2)/2))/(LN(2)/2)*AQ103*AT103*VLOOKUP('Données projet'!$B$10,Paramètres!$A$1:$I$89,3,0)*0.475*44/12</f>
        <v>2.1928212360450384E-2</v>
      </c>
      <c r="AX103" s="23">
        <f t="shared" si="60"/>
        <v>143.11375935170986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255</v>
      </c>
      <c r="CR103" s="13">
        <f>VLOOKUP(A103,'Données projet'!$A$139:$I$159,9,0)</f>
        <v>3</v>
      </c>
      <c r="CS103" s="13">
        <f t="array" ref="CS103">INDEX(CR:CR,MIN(IF(ISNUMBER(CR103:CR299),ROW(CR103:CR299),"")))</f>
        <v>3</v>
      </c>
      <c r="CT103" s="13">
        <f>IF('Données projet'!$A$140&gt;35,CT102+CS103-DB102,IF(A103&lt;'Données projet'!$A$140,$CQ$205^A103,IF(A103='Données projet'!$A$140,'Données projet'!$B$140,CT102+CS103-DB102)))</f>
        <v>255</v>
      </c>
      <c r="CU103" s="18">
        <f>CT103*VLOOKUP('Données projet'!$B$13,Paramètres!$A$1:$I$89,3,0)*VLOOKUP('Données projet'!$B$13,Paramètres!$A$1:$I$89,5,0)</f>
        <v>222.76800000000003</v>
      </c>
      <c r="CV103" s="14">
        <f t="shared" si="95"/>
        <v>54.716058356609508</v>
      </c>
      <c r="CW103" s="22">
        <f t="shared" si="67"/>
        <v>483.28473497109491</v>
      </c>
      <c r="CX103" s="62">
        <f t="shared" si="68"/>
        <v>776.61806830442822</v>
      </c>
      <c r="CY103" s="62">
        <f ca="1">AVERAGE(OFFSET($CX$3,0,0,'Données projet'!$E$13+1,1))-AVERAGE(OFFSET($H$3,0,0,'Données projet'!$E$13+1,1))</f>
        <v>268.27008134105046</v>
      </c>
      <c r="CZ103" s="62">
        <f t="shared" si="96"/>
        <v>252.36274686619709</v>
      </c>
      <c r="DA103" s="16">
        <f>IF(ISNA(VLOOKUP(A103,'Données projet'!$A$139:$I$159,3,0)),0,VLOOKUP(A103,'Données projet'!$A$139:$I$159,3,0))</f>
        <v>19</v>
      </c>
      <c r="DB103" s="16">
        <f>IF(ISNA(VLOOKUP(A103,'Données projet'!$A$139:$I$159,4,0)),0,VLOOKUP(A103,'Données projet'!$A$139:$I$159,4,0))</f>
        <v>255</v>
      </c>
      <c r="DC103" s="17">
        <f>IF(ISNA(VLOOKUP(A103,'Données projet'!$A$139:$I$159,5,0)),0%,VLOOKUP(A103,'Données projet'!$A$139:$I$159,5,0)*VLOOKUP('Données projet'!$B$13,Paramètres!$A$1:$I$89,7,0))</f>
        <v>0.34400000000000003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112.85289886257134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112.85289886257134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>
        <f>DO103*VLOOKUP('Données projet'!$B$14,Paramètres!$A$1:$I$89,3,0)*VLOOKUP('Données projet'!$B$14,Paramètres!$A$1:$I$89,5,0)</f>
        <v>0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279.49721661620544</v>
      </c>
      <c r="DU103" s="62">
        <f t="shared" si="98"/>
        <v>275.18739333988754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99.156130297366104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99.156130297366104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474</v>
      </c>
      <c r="EH103" s="13">
        <f>VLOOKUP(A103,'Données projet'!$A$191:$I$211,9,0)</f>
        <v>8.1999999999999993</v>
      </c>
      <c r="EI103" s="13">
        <f t="array" ref="EI103">INDEX(EH:EH,MIN(IF(ISNUMBER(EH103:EH299),ROW(EH103:EH299),"")))</f>
        <v>8.1999999999999993</v>
      </c>
      <c r="EJ103" s="13">
        <f>IF('Données projet'!$A$192&gt;35,EJ102+EI103-ER102,IF(A103&lt;'Données projet'!$A$192,$EG$205^A103,IF(A103='Données projet'!$A$192,'Données projet'!$B$192,EJ102+EI103-ER102)))</f>
        <v>474</v>
      </c>
      <c r="EK103" s="18">
        <f>EJ103*VLOOKUP('Données projet'!$B$15,Paramètres!$A$1:$I$89,3,0)*VLOOKUP('Données projet'!$B$15,Paramètres!$A$1:$I$89,5,0)</f>
        <v>406.69200000000006</v>
      </c>
      <c r="EL103" s="14">
        <f t="shared" si="99"/>
        <v>93.132052674423107</v>
      </c>
      <c r="EM103" s="22">
        <f t="shared" si="73"/>
        <v>870.52689174128693</v>
      </c>
      <c r="EN103" s="62">
        <f t="shared" si="74"/>
        <v>1163.8602250746203</v>
      </c>
      <c r="EO103" s="62">
        <f ca="1">AVERAGE(OFFSET($EN$3,0,0,'Données projet'!$E$15+1,1))-AVERAGE(OFFSET($H$3,0,0,'Données projet'!$E$15+1,1))</f>
        <v>394.11074988418096</v>
      </c>
      <c r="EP103" s="62">
        <f t="shared" si="100"/>
        <v>241.85593029696236</v>
      </c>
      <c r="EQ103" s="16">
        <f>IF(ISNA(VLOOKUP(A103,'Données projet'!$A$191:$I$211,3,0)),0,VLOOKUP(A103,'Données projet'!$A$191:$I$211,3,0))</f>
        <v>17</v>
      </c>
      <c r="ER103" s="16">
        <f>IF(ISNA(VLOOKUP(A103,'Données projet'!$A$191:$I$211,4,0)),0,VLOOKUP(A103,'Données projet'!$A$191:$I$211,4,0))</f>
        <v>474</v>
      </c>
      <c r="ES103" s="17">
        <f>IF(ISNA(VLOOKUP(A103,'Données projet'!$A$191:$I$211,5,0)),0%,VLOOKUP(A103,'Données projet'!$A$191:$I$211,5,0)*VLOOKUP('Données projet'!$B$15,Paramètres!$A$1:$I$89,7,0))</f>
        <v>0.42400000000000004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253.57377406162936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253.57377406162936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4.5474735088646412E-13</v>
      </c>
      <c r="O104" s="14">
        <f>N104*VLOOKUP('Données projet'!$B$9,Paramètres!$A$1:$I$89,3,0)*VLOOKUP('Données projet'!$B$9,Paramètres!$A$1:$I$89,5,0)</f>
        <v>2.5420376914553347E-13</v>
      </c>
      <c r="P104" s="14">
        <f t="shared" si="87"/>
        <v>3.4258699088369875E-12</v>
      </c>
      <c r="Q104" s="22">
        <f t="shared" si="107"/>
        <v>6.4094616558195571E-12</v>
      </c>
      <c r="R104" s="62">
        <f t="shared" si="55"/>
        <v>293.33333333333974</v>
      </c>
      <c r="S104" s="62">
        <f ca="1">AVERAGE(OFFSET($R$3,0,0,'Données projet'!$E$9+1,1))-AVERAGE(OFFSET($H$3,0,0,'Données projet'!$E$9+1,1))</f>
        <v>539.2446452106276</v>
      </c>
      <c r="T104" s="62">
        <f t="shared" si="88"/>
        <v>596.73830276071465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209.67335238147453</v>
      </c>
      <c r="AA104" s="23">
        <f>EXP(-LN(2)/25)*AA103+(1-EXP(-LN(2)/25))/(LN(2)/25)*Calculateur!V104*Calculateur!X104*VLOOKUP('Données projet'!$B$9,Paramètres!$A$1:$I$89,3,0)*0.475*44/12</f>
        <v>27.256084530325431</v>
      </c>
      <c r="AB104" s="23">
        <f>EXP(-LN(2)/2)*AB103+(1-EXP(-LN(2)/2))/(LN(2)/2)*V104*Y104*VLOOKUP('Données projet'!$B$9,Paramètres!$A$1:$I$89,3,0)*0.475*44/12</f>
        <v>1.8058677298270922E-4</v>
      </c>
      <c r="AC104" s="24">
        <f t="shared" si="57"/>
        <v>236.92961749857295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3.1036506698001178E-14</v>
      </c>
      <c r="AK104" s="14">
        <f t="shared" si="89"/>
        <v>5.3428243983771088E-13</v>
      </c>
      <c r="AL104" s="22">
        <f t="shared" si="58"/>
        <v>9.8459716521636505E-13</v>
      </c>
      <c r="AM104" s="62">
        <f t="shared" si="59"/>
        <v>293.33333333333428</v>
      </c>
      <c r="AN104" s="62">
        <f ca="1">AVERAGE(OFFSET($AM$3,0,0,'Données projet'!$E$10+1,1))-AVERAGE(OFFSET($H$3,0,0,'Données projet'!$E$10+1,1))</f>
        <v>262.6671000229498</v>
      </c>
      <c r="AO104" s="62">
        <f t="shared" si="90"/>
        <v>289.30432245776024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118.40785780636509</v>
      </c>
      <c r="AV104" s="23">
        <f>EXP(-LN(2)/25)*AV103+(1-EXP(-LN(2)/25))/(LN(2)/25)*Calculateur!AQ104*Calculateur!AS104*VLOOKUP('Données projet'!$B$10,Paramètres!$A$1:$I$89,3,0)*0.475*44/12</f>
        <v>21.705403652941765</v>
      </c>
      <c r="AW104" s="23">
        <f>EXP(-LN(2)/2)*AW103+(1-EXP(-LN(2)/2))/(LN(2)/2)*AQ104*AT104*VLOOKUP('Données projet'!$B$10,Paramètres!$A$1:$I$89,3,0)*0.475*44/12</f>
        <v>1.5505587659373137E-2</v>
      </c>
      <c r="AX104" s="23">
        <f t="shared" si="60"/>
        <v>140.1287670469662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268.27008134105046</v>
      </c>
      <c r="CZ104" s="62">
        <f t="shared" si="96"/>
        <v>252.36274686619709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110.63992234934788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110.63992234934788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>
        <f>DO104*VLOOKUP('Données projet'!$B$14,Paramètres!$A$1:$I$89,3,0)*VLOOKUP('Données projet'!$B$14,Paramètres!$A$1:$I$89,5,0)</f>
        <v>0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279.49721661620544</v>
      </c>
      <c r="DU104" s="62">
        <f t="shared" si="98"/>
        <v>275.18739333988754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97.211739061502399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97.211739061502399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>
        <f>EJ104*VLOOKUP('Données projet'!$B$15,Paramètres!$A$1:$I$89,3,0)*VLOOKUP('Données projet'!$B$15,Paramètres!$A$1:$I$89,5,0)</f>
        <v>0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394.11074988418096</v>
      </c>
      <c r="EP104" s="62">
        <f t="shared" si="100"/>
        <v>241.85593029696236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248.60134701701111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248.60134701701111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4.5474735088646412E-13</v>
      </c>
      <c r="O105" s="14">
        <f>N105*VLOOKUP('Données projet'!$B$9,Paramètres!$A$1:$I$89,3,0)*VLOOKUP('Données projet'!$B$9,Paramètres!$A$1:$I$89,5,0)</f>
        <v>2.5420376914553347E-13</v>
      </c>
      <c r="P105" s="14">
        <f t="shared" si="87"/>
        <v>3.4258699088369875E-12</v>
      </c>
      <c r="Q105" s="22">
        <f t="shared" si="107"/>
        <v>6.4094616558195571E-12</v>
      </c>
      <c r="R105" s="62">
        <f t="shared" si="55"/>
        <v>293.33333333333974</v>
      </c>
      <c r="S105" s="62">
        <f ca="1">AVERAGE(OFFSET($R$3,0,0,'Données projet'!$E$9+1,1))-AVERAGE(OFFSET($H$3,0,0,'Données projet'!$E$9+1,1))</f>
        <v>539.2446452106276</v>
      </c>
      <c r="T105" s="62">
        <f t="shared" si="88"/>
        <v>596.73830276071465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205.56178582939086</v>
      </c>
      <c r="AA105" s="23">
        <f>EXP(-LN(2)/25)*AA104+(1-EXP(-LN(2)/25))/(LN(2)/25)*Calculateur!V105*Calculateur!X105*VLOOKUP('Données projet'!$B$9,Paramètres!$A$1:$I$89,3,0)*0.475*44/12</f>
        <v>26.510765465508491</v>
      </c>
      <c r="AB105" s="23">
        <f>EXP(-LN(2)/2)*AB104+(1-EXP(-LN(2)/2))/(LN(2)/2)*V105*Y105*VLOOKUP('Données projet'!$B$9,Paramètres!$A$1:$I$89,3,0)*0.475*44/12</f>
        <v>1.276941317686693E-4</v>
      </c>
      <c r="AC105" s="24">
        <f t="shared" si="57"/>
        <v>232.07267898903112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3.1036506698001178E-14</v>
      </c>
      <c r="AK105" s="14">
        <f t="shared" si="89"/>
        <v>5.3428243983771088E-13</v>
      </c>
      <c r="AL105" s="22">
        <f t="shared" si="58"/>
        <v>9.8459716521636505E-13</v>
      </c>
      <c r="AM105" s="62">
        <f t="shared" si="59"/>
        <v>293.33333333333428</v>
      </c>
      <c r="AN105" s="62">
        <f ca="1">AVERAGE(OFFSET($AM$3,0,0,'Données projet'!$E$10+1,1))-AVERAGE(OFFSET($H$3,0,0,'Données projet'!$E$10+1,1))</f>
        <v>262.6671000229498</v>
      </c>
      <c r="AO105" s="62">
        <f t="shared" si="90"/>
        <v>289.30432245776024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116.08595193644423</v>
      </c>
      <c r="AV105" s="23">
        <f>EXP(-LN(2)/25)*AV104+(1-EXP(-LN(2)/25))/(LN(2)/25)*Calculateur!AQ105*Calculateur!AS105*VLOOKUP('Données projet'!$B$10,Paramètres!$A$1:$I$89,3,0)*0.475*44/12</f>
        <v>21.111868248614503</v>
      </c>
      <c r="AW105" s="23">
        <f>EXP(-LN(2)/2)*AW104+(1-EXP(-LN(2)/2))/(LN(2)/2)*AQ105*AT105*VLOOKUP('Données projet'!$B$10,Paramètres!$A$1:$I$89,3,0)*0.475*44/12</f>
        <v>1.0964106180225194E-2</v>
      </c>
      <c r="AX105" s="23">
        <f t="shared" si="60"/>
        <v>137.20878429123897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268.27008134105046</v>
      </c>
      <c r="CZ105" s="62">
        <f t="shared" si="96"/>
        <v>252.36274686619709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108.47034095576635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108.47034095576635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>
        <f>DO105*VLOOKUP('Données projet'!$B$14,Paramètres!$A$1:$I$89,3,0)*VLOOKUP('Données projet'!$B$14,Paramètres!$A$1:$I$89,5,0)</f>
        <v>0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279.49721661620544</v>
      </c>
      <c r="DU105" s="62">
        <f t="shared" si="98"/>
        <v>275.18739333988754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95.305476151812442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95.305476151812442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>
        <f>EJ105*VLOOKUP('Données projet'!$B$15,Paramètres!$A$1:$I$89,3,0)*VLOOKUP('Données projet'!$B$15,Paramètres!$A$1:$I$89,5,0)</f>
        <v>0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394.11074988418096</v>
      </c>
      <c r="EP105" s="62">
        <f t="shared" si="100"/>
        <v>241.85593029696236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243.72642623385678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243.72642623385678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4.5474735088646412E-13</v>
      </c>
      <c r="O106" s="14">
        <f>N106*VLOOKUP('Données projet'!$B$9,Paramètres!$A$1:$I$89,3,0)*VLOOKUP('Données projet'!$B$9,Paramètres!$A$1:$I$89,5,0)</f>
        <v>2.5420376914553347E-13</v>
      </c>
      <c r="P106" s="14">
        <f t="shared" si="87"/>
        <v>3.4258699088369875E-12</v>
      </c>
      <c r="Q106" s="22">
        <f t="shared" si="107"/>
        <v>6.4094616558195571E-12</v>
      </c>
      <c r="R106" s="62">
        <f t="shared" si="55"/>
        <v>293.33333333333974</v>
      </c>
      <c r="S106" s="62">
        <f ca="1">AVERAGE(OFFSET($R$3,0,0,'Données projet'!$E$9+1,1))-AVERAGE(OFFSET($H$3,0,0,'Données projet'!$E$9+1,1))</f>
        <v>539.2446452106276</v>
      </c>
      <c r="T106" s="62">
        <f t="shared" si="88"/>
        <v>596.73830276071465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201.53084458958557</v>
      </c>
      <c r="AA106" s="23">
        <f>EXP(-LN(2)/25)*AA105+(1-EXP(-LN(2)/25))/(LN(2)/25)*Calculateur!V106*Calculateur!X106*VLOOKUP('Données projet'!$B$9,Paramètres!$A$1:$I$89,3,0)*0.475*44/12</f>
        <v>25.785827189713597</v>
      </c>
      <c r="AB106" s="23">
        <f>EXP(-LN(2)/2)*AB105+(1-EXP(-LN(2)/2))/(LN(2)/2)*V106*Y106*VLOOKUP('Données projet'!$B$9,Paramètres!$A$1:$I$89,3,0)*0.475*44/12</f>
        <v>9.0293386491354611E-5</v>
      </c>
      <c r="AC106" s="24">
        <f t="shared" si="57"/>
        <v>227.31676207268563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3.1036506698001178E-14</v>
      </c>
      <c r="AK106" s="14">
        <f t="shared" si="89"/>
        <v>5.3428243983771088E-13</v>
      </c>
      <c r="AL106" s="22">
        <f t="shared" si="58"/>
        <v>9.8459716521636505E-13</v>
      </c>
      <c r="AM106" s="62">
        <f t="shared" si="59"/>
        <v>293.33333333333428</v>
      </c>
      <c r="AN106" s="62">
        <f ca="1">AVERAGE(OFFSET($AM$3,0,0,'Données projet'!$E$10+1,1))-AVERAGE(OFFSET($H$3,0,0,'Données projet'!$E$10+1,1))</f>
        <v>262.6671000229498</v>
      </c>
      <c r="AO106" s="62">
        <f t="shared" si="90"/>
        <v>289.30432245776024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113.80957722440978</v>
      </c>
      <c r="AV106" s="23">
        <f>EXP(-LN(2)/25)*AV105+(1-EXP(-LN(2)/25))/(LN(2)/25)*Calculateur!AQ106*Calculateur!AS106*VLOOKUP('Données projet'!$B$10,Paramètres!$A$1:$I$89,3,0)*0.475*44/12</f>
        <v>20.534563101131241</v>
      </c>
      <c r="AW106" s="23">
        <f>EXP(-LN(2)/2)*AW105+(1-EXP(-LN(2)/2))/(LN(2)/2)*AQ106*AT106*VLOOKUP('Données projet'!$B$10,Paramètres!$A$1:$I$89,3,0)*0.475*44/12</f>
        <v>7.7527938296865703E-3</v>
      </c>
      <c r="AX106" s="23">
        <f t="shared" si="60"/>
        <v>134.35189311937071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268.27008134105046</v>
      </c>
      <c r="CZ106" s="62">
        <f t="shared" si="96"/>
        <v>252.36274686619709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106.34330372999895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106.34330372999895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>
        <f>DO106*VLOOKUP('Données projet'!$B$14,Paramètres!$A$1:$I$89,3,0)*VLOOKUP('Données projet'!$B$14,Paramètres!$A$1:$I$89,5,0)</f>
        <v>0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279.49721661620544</v>
      </c>
      <c r="DU106" s="62">
        <f t="shared" si="98"/>
        <v>275.18739333988754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93.43659389507593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93.43659389507593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>
        <f>EJ106*VLOOKUP('Données projet'!$B$15,Paramètres!$A$1:$I$89,3,0)*VLOOKUP('Données projet'!$B$15,Paramètres!$A$1:$I$89,5,0)</f>
        <v>0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394.11074988418096</v>
      </c>
      <c r="EP106" s="62">
        <f t="shared" si="100"/>
        <v>241.85593029696236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238.94709967385205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238.94709967385205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4.5474735088646412E-13</v>
      </c>
      <c r="O107" s="14">
        <f>N107*VLOOKUP('Données projet'!$B$9,Paramètres!$A$1:$I$89,3,0)*VLOOKUP('Données projet'!$B$9,Paramètres!$A$1:$I$89,5,0)</f>
        <v>2.5420376914553347E-13</v>
      </c>
      <c r="P107" s="14">
        <f t="shared" si="87"/>
        <v>3.4258699088369875E-12</v>
      </c>
      <c r="Q107" s="22">
        <f t="shared" si="107"/>
        <v>6.4094616558195571E-12</v>
      </c>
      <c r="R107" s="62">
        <f t="shared" si="55"/>
        <v>293.33333333333974</v>
      </c>
      <c r="S107" s="62">
        <f ca="1">AVERAGE(OFFSET($R$3,0,0,'Données projet'!$E$9+1,1))-AVERAGE(OFFSET($H$3,0,0,'Données projet'!$E$9+1,1))</f>
        <v>539.2446452106276</v>
      </c>
      <c r="T107" s="62">
        <f t="shared" si="88"/>
        <v>596.73830276071465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197.57894764886149</v>
      </c>
      <c r="AA107" s="23">
        <f>EXP(-LN(2)/25)*AA106+(1-EXP(-LN(2)/25))/(LN(2)/25)*Calculateur!V107*Calculateur!X107*VLOOKUP('Données projet'!$B$9,Paramètres!$A$1:$I$89,3,0)*0.475*44/12</f>
        <v>25.08071238919316</v>
      </c>
      <c r="AB107" s="23">
        <f>EXP(-LN(2)/2)*AB106+(1-EXP(-LN(2)/2))/(LN(2)/2)*V107*Y107*VLOOKUP('Données projet'!$B$9,Paramètres!$A$1:$I$89,3,0)*0.475*44/12</f>
        <v>6.384706588433465E-5</v>
      </c>
      <c r="AC107" s="24">
        <f t="shared" si="57"/>
        <v>222.65972388512054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3.1036506698001178E-14</v>
      </c>
      <c r="AK107" s="14">
        <f t="shared" si="89"/>
        <v>5.3428243983771088E-13</v>
      </c>
      <c r="AL107" s="22">
        <f t="shared" si="58"/>
        <v>9.8459716521636505E-13</v>
      </c>
      <c r="AM107" s="62">
        <f t="shared" si="59"/>
        <v>293.33333333333428</v>
      </c>
      <c r="AN107" s="62">
        <f ca="1">AVERAGE(OFFSET($AM$3,0,0,'Données projet'!$E$10+1,1))-AVERAGE(OFFSET($H$3,0,0,'Données projet'!$E$10+1,1))</f>
        <v>262.6671000229498</v>
      </c>
      <c r="AO107" s="62">
        <f t="shared" si="90"/>
        <v>289.30432245776024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111.57784083202685</v>
      </c>
      <c r="AV107" s="23">
        <f>EXP(-LN(2)/25)*AV106+(1-EXP(-LN(2)/25))/(LN(2)/25)*Calculateur!AQ107*Calculateur!AS107*VLOOKUP('Données projet'!$B$10,Paramètres!$A$1:$I$89,3,0)*0.475*44/12</f>
        <v>19.973044393265067</v>
      </c>
      <c r="AW107" s="23">
        <f>EXP(-LN(2)/2)*AW106+(1-EXP(-LN(2)/2))/(LN(2)/2)*AQ107*AT107*VLOOKUP('Données projet'!$B$10,Paramètres!$A$1:$I$89,3,0)*0.475*44/12</f>
        <v>5.4820530901125977E-3</v>
      </c>
      <c r="AX107" s="23">
        <f t="shared" si="60"/>
        <v>131.55636727838203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268.27008134105046</v>
      </c>
      <c r="CZ107" s="62">
        <f t="shared" si="96"/>
        <v>252.36274686619709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104.25797640686426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104.25797640686426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>
        <f>DO107*VLOOKUP('Données projet'!$B$14,Paramètres!$A$1:$I$89,3,0)*VLOOKUP('Données projet'!$B$14,Paramètres!$A$1:$I$89,5,0)</f>
        <v>0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279.49721661620544</v>
      </c>
      <c r="DU107" s="62">
        <f t="shared" si="98"/>
        <v>275.18739333988754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91.604359279488406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91.604359279488406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>
        <f>EJ107*VLOOKUP('Données projet'!$B$15,Paramètres!$A$1:$I$89,3,0)*VLOOKUP('Données projet'!$B$15,Paramètres!$A$1:$I$89,5,0)</f>
        <v>0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394.11074988418096</v>
      </c>
      <c r="EP107" s="62">
        <f t="shared" si="100"/>
        <v>241.85593029696236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234.26149279258766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234.26149279258766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4.5474735088646412E-13</v>
      </c>
      <c r="O108" s="14">
        <f>N108*VLOOKUP('Données projet'!$B$9,Paramètres!$A$1:$I$89,3,0)*VLOOKUP('Données projet'!$B$9,Paramètres!$A$1:$I$89,5,0)</f>
        <v>2.5420376914553347E-13</v>
      </c>
      <c r="P108" s="14">
        <f t="shared" si="87"/>
        <v>3.4258699088369875E-12</v>
      </c>
      <c r="Q108" s="22">
        <f t="shared" si="107"/>
        <v>6.4094616558195571E-12</v>
      </c>
      <c r="R108" s="62">
        <f t="shared" si="55"/>
        <v>293.33333333333974</v>
      </c>
      <c r="S108" s="62">
        <f ca="1">AVERAGE(OFFSET($R$3,0,0,'Données projet'!$E$9+1,1))-AVERAGE(OFFSET($H$3,0,0,'Données projet'!$E$9+1,1))</f>
        <v>539.2446452106276</v>
      </c>
      <c r="T108" s="62">
        <f t="shared" si="88"/>
        <v>596.73830276071465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193.70454499672587</v>
      </c>
      <c r="AA108" s="23">
        <f>EXP(-LN(2)/25)*AA107+(1-EXP(-LN(2)/25))/(LN(2)/25)*Calculateur!V108*Calculateur!X108*VLOOKUP('Données projet'!$B$9,Paramètres!$A$1:$I$89,3,0)*0.475*44/12</f>
        <v>24.394878989973332</v>
      </c>
      <c r="AB108" s="23">
        <f>EXP(-LN(2)/2)*AB107+(1-EXP(-LN(2)/2))/(LN(2)/2)*V108*Y108*VLOOKUP('Données projet'!$B$9,Paramètres!$A$1:$I$89,3,0)*0.475*44/12</f>
        <v>4.5146693245677305E-5</v>
      </c>
      <c r="AC108" s="24">
        <f t="shared" si="57"/>
        <v>218.09946913339246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3.1036506698001178E-14</v>
      </c>
      <c r="AK108" s="14">
        <f t="shared" si="89"/>
        <v>5.3428243983771088E-13</v>
      </c>
      <c r="AL108" s="22">
        <f t="shared" si="58"/>
        <v>9.8459716521636505E-13</v>
      </c>
      <c r="AM108" s="62">
        <f t="shared" si="59"/>
        <v>293.33333333333428</v>
      </c>
      <c r="AN108" s="62">
        <f ca="1">AVERAGE(OFFSET($AM$3,0,0,'Données projet'!$E$10+1,1))-AVERAGE(OFFSET($H$3,0,0,'Données projet'!$E$10+1,1))</f>
        <v>262.6671000229498</v>
      </c>
      <c r="AO108" s="62">
        <f t="shared" si="90"/>
        <v>289.30432245776024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109.38986742907376</v>
      </c>
      <c r="AV108" s="23">
        <f>EXP(-LN(2)/25)*AV107+(1-EXP(-LN(2)/25))/(LN(2)/25)*Calculateur!AQ108*Calculateur!AS108*VLOOKUP('Données projet'!$B$10,Paramètres!$A$1:$I$89,3,0)*0.475*44/12</f>
        <v>19.426880443994477</v>
      </c>
      <c r="AW108" s="23">
        <f>EXP(-LN(2)/2)*AW107+(1-EXP(-LN(2)/2))/(LN(2)/2)*AQ108*AT108*VLOOKUP('Données projet'!$B$10,Paramètres!$A$1:$I$89,3,0)*0.475*44/12</f>
        <v>3.8763969148432856E-3</v>
      </c>
      <c r="AX108" s="23">
        <f t="shared" si="60"/>
        <v>128.82062426998309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268.27008134105046</v>
      </c>
      <c r="CZ108" s="62">
        <f t="shared" si="96"/>
        <v>252.36274686619709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102.21354108061216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102.21354108061216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>
        <f>DO108*VLOOKUP('Données projet'!$B$14,Paramètres!$A$1:$I$89,3,0)*VLOOKUP('Données projet'!$B$14,Paramètres!$A$1:$I$89,5,0)</f>
        <v>0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279.49721661620544</v>
      </c>
      <c r="DU108" s="62">
        <f t="shared" si="98"/>
        <v>275.18739333988754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89.808053667159783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89.808053667159783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>
        <f>EJ108*VLOOKUP('Données projet'!$B$15,Paramètres!$A$1:$I$89,3,0)*VLOOKUP('Données projet'!$B$15,Paramètres!$A$1:$I$89,5,0)</f>
        <v>0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394.11074988418096</v>
      </c>
      <c r="EP108" s="62">
        <f t="shared" si="100"/>
        <v>241.85593029696236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229.66776780432687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229.66776780432687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4.5474735088646412E-13</v>
      </c>
      <c r="O109" s="14">
        <f>N109*VLOOKUP('Données projet'!$B$9,Paramètres!$A$1:$I$89,3,0)*VLOOKUP('Données projet'!$B$9,Paramètres!$A$1:$I$89,5,0)</f>
        <v>2.5420376914553347E-13</v>
      </c>
      <c r="P109" s="14">
        <f t="shared" si="87"/>
        <v>3.4258699088369875E-12</v>
      </c>
      <c r="Q109" s="22">
        <f t="shared" si="107"/>
        <v>6.4094616558195571E-12</v>
      </c>
      <c r="R109" s="62">
        <f t="shared" si="55"/>
        <v>293.33333333333974</v>
      </c>
      <c r="S109" s="62">
        <f ca="1">AVERAGE(OFFSET($R$3,0,0,'Données projet'!$E$9+1,1))-AVERAGE(OFFSET($H$3,0,0,'Données projet'!$E$9+1,1))</f>
        <v>539.2446452106276</v>
      </c>
      <c r="T109" s="62">
        <f t="shared" si="88"/>
        <v>596.73830276071465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189.90611701744638</v>
      </c>
      <c r="AA109" s="23">
        <f>EXP(-LN(2)/25)*AA108+(1-EXP(-LN(2)/25))/(LN(2)/25)*Calculateur!V109*Calculateur!X109*VLOOKUP('Données projet'!$B$9,Paramètres!$A$1:$I$89,3,0)*0.475*44/12</f>
        <v>23.727799741121579</v>
      </c>
      <c r="AB109" s="23">
        <f>EXP(-LN(2)/2)*AB108+(1-EXP(-LN(2)/2))/(LN(2)/2)*V109*Y109*VLOOKUP('Données projet'!$B$9,Paramètres!$A$1:$I$89,3,0)*0.475*44/12</f>
        <v>3.1923532942167325E-5</v>
      </c>
      <c r="AC109" s="24">
        <f t="shared" si="57"/>
        <v>213.63394868210088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3.1036506698001178E-14</v>
      </c>
      <c r="AK109" s="14">
        <f t="shared" si="89"/>
        <v>5.3428243983771088E-13</v>
      </c>
      <c r="AL109" s="22">
        <f t="shared" si="58"/>
        <v>9.8459716521636505E-13</v>
      </c>
      <c r="AM109" s="62">
        <f t="shared" si="59"/>
        <v>293.33333333333428</v>
      </c>
      <c r="AN109" s="62">
        <f ca="1">AVERAGE(OFFSET($AM$3,0,0,'Données projet'!$E$10+1,1))-AVERAGE(OFFSET($H$3,0,0,'Données projet'!$E$10+1,1))</f>
        <v>262.6671000229498</v>
      </c>
      <c r="AO109" s="62">
        <f t="shared" si="90"/>
        <v>289.30432245776024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107.24479885002059</v>
      </c>
      <c r="AV109" s="23">
        <f>EXP(-LN(2)/25)*AV108+(1-EXP(-LN(2)/25))/(LN(2)/25)*Calculateur!AQ109*Calculateur!AS109*VLOOKUP('Données projet'!$B$10,Paramètres!$A$1:$I$89,3,0)*0.475*44/12</f>
        <v>18.895651376638206</v>
      </c>
      <c r="AW109" s="23">
        <f>EXP(-LN(2)/2)*AW108+(1-EXP(-LN(2)/2))/(LN(2)/2)*AQ109*AT109*VLOOKUP('Données projet'!$B$10,Paramètres!$A$1:$I$89,3,0)*0.475*44/12</f>
        <v>2.7410265450562993E-3</v>
      </c>
      <c r="AX109" s="23">
        <f t="shared" si="60"/>
        <v>126.14319125320385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268.27008134105046</v>
      </c>
      <c r="CZ109" s="62">
        <f t="shared" si="96"/>
        <v>252.36274686619709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100.20919588412545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100.20919588412545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>
        <f>DO109*VLOOKUP('Données projet'!$B$14,Paramètres!$A$1:$I$89,3,0)*VLOOKUP('Données projet'!$B$14,Paramètres!$A$1:$I$89,5,0)</f>
        <v>0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279.49721661620544</v>
      </c>
      <c r="DU109" s="62">
        <f t="shared" si="98"/>
        <v>275.18739333988754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88.04697251225069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88.04697251225069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>
        <f>EJ109*VLOOKUP('Données projet'!$B$15,Paramètres!$A$1:$I$89,3,0)*VLOOKUP('Données projet'!$B$15,Paramètres!$A$1:$I$89,5,0)</f>
        <v>0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394.11074988418096</v>
      </c>
      <c r="EP109" s="62">
        <f t="shared" si="100"/>
        <v>241.85593029696236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225.16412296119029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225.16412296119029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4.5474735088646412E-13</v>
      </c>
      <c r="O110" s="14">
        <f>N110*VLOOKUP('Données projet'!$B$9,Paramètres!$A$1:$I$89,3,0)*VLOOKUP('Données projet'!$B$9,Paramètres!$A$1:$I$89,5,0)</f>
        <v>2.5420376914553347E-13</v>
      </c>
      <c r="P110" s="14">
        <f t="shared" si="87"/>
        <v>3.4258699088369875E-12</v>
      </c>
      <c r="Q110" s="22">
        <f t="shared" si="107"/>
        <v>6.4094616558195571E-12</v>
      </c>
      <c r="R110" s="62">
        <f t="shared" si="55"/>
        <v>293.33333333333974</v>
      </c>
      <c r="S110" s="62">
        <f ca="1">AVERAGE(OFFSET($R$3,0,0,'Données projet'!$E$9+1,1))-AVERAGE(OFFSET($H$3,0,0,'Données projet'!$E$9+1,1))</f>
        <v>539.2446452106276</v>
      </c>
      <c r="T110" s="62">
        <f t="shared" si="88"/>
        <v>596.73830276071465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186.18217389402824</v>
      </c>
      <c r="AA110" s="23">
        <f>EXP(-LN(2)/25)*AA109+(1-EXP(-LN(2)/25))/(LN(2)/25)*Calculateur!V110*Calculateur!X110*VLOOKUP('Données projet'!$B$9,Paramètres!$A$1:$I$89,3,0)*0.475*44/12</f>
        <v>23.078961809409851</v>
      </c>
      <c r="AB110" s="23">
        <f>EXP(-LN(2)/2)*AB109+(1-EXP(-LN(2)/2))/(LN(2)/2)*V110*Y110*VLOOKUP('Données projet'!$B$9,Paramètres!$A$1:$I$89,3,0)*0.475*44/12</f>
        <v>2.2573346622838653E-5</v>
      </c>
      <c r="AC110" s="24">
        <f t="shared" si="57"/>
        <v>209.26115827678473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3.1036506698001178E-14</v>
      </c>
      <c r="AK110" s="14">
        <f t="shared" si="89"/>
        <v>5.3428243983771088E-13</v>
      </c>
      <c r="AL110" s="22">
        <f t="shared" si="58"/>
        <v>9.8459716521636505E-13</v>
      </c>
      <c r="AM110" s="62">
        <f t="shared" si="59"/>
        <v>293.33333333333428</v>
      </c>
      <c r="AN110" s="62">
        <f ca="1">AVERAGE(OFFSET($AM$3,0,0,'Données projet'!$E$10+1,1))-AVERAGE(OFFSET($H$3,0,0,'Données projet'!$E$10+1,1))</f>
        <v>262.6671000229498</v>
      </c>
      <c r="AO110" s="62">
        <f t="shared" si="90"/>
        <v>289.30432245776024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105.14179375744</v>
      </c>
      <c r="AV110" s="23">
        <f>EXP(-LN(2)/25)*AV109+(1-EXP(-LN(2)/25))/(LN(2)/25)*Calculateur!AQ110*Calculateur!AS110*VLOOKUP('Données projet'!$B$10,Paramètres!$A$1:$I$89,3,0)*0.475*44/12</f>
        <v>18.378948796064915</v>
      </c>
      <c r="AW110" s="23">
        <f>EXP(-LN(2)/2)*AW109+(1-EXP(-LN(2)/2))/(LN(2)/2)*AQ110*AT110*VLOOKUP('Données projet'!$B$10,Paramètres!$A$1:$I$89,3,0)*0.475*44/12</f>
        <v>1.938198457421643E-3</v>
      </c>
      <c r="AX110" s="23">
        <f t="shared" si="60"/>
        <v>123.52268075196234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268.27008134105046</v>
      </c>
      <c r="CZ110" s="62">
        <f t="shared" si="96"/>
        <v>252.36274686619709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98.244154674411988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98.244154674411988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>
        <f>DO110*VLOOKUP('Données projet'!$B$14,Paramètres!$A$1:$I$89,3,0)*VLOOKUP('Données projet'!$B$14,Paramètres!$A$1:$I$89,5,0)</f>
        <v>0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279.49721661620544</v>
      </c>
      <c r="DU110" s="62">
        <f t="shared" si="98"/>
        <v>275.18739333988754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86.320425084635914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86.320425084635914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>
        <f>EJ110*VLOOKUP('Données projet'!$B$15,Paramètres!$A$1:$I$89,3,0)*VLOOKUP('Données projet'!$B$15,Paramètres!$A$1:$I$89,5,0)</f>
        <v>0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394.11074988418096</v>
      </c>
      <c r="EP110" s="62">
        <f t="shared" si="100"/>
        <v>241.85593029696236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220.74879184647548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220.74879184647548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4.5474735088646412E-13</v>
      </c>
      <c r="O111" s="14">
        <f>N111*VLOOKUP('Données projet'!$B$9,Paramètres!$A$1:$I$89,3,0)*VLOOKUP('Données projet'!$B$9,Paramètres!$A$1:$I$89,5,0)</f>
        <v>2.5420376914553347E-13</v>
      </c>
      <c r="P111" s="14">
        <f t="shared" si="87"/>
        <v>3.4258699088369875E-12</v>
      </c>
      <c r="Q111" s="22">
        <f t="shared" si="107"/>
        <v>6.4094616558195571E-12</v>
      </c>
      <c r="R111" s="62">
        <f t="shared" si="55"/>
        <v>293.33333333333974</v>
      </c>
      <c r="S111" s="62">
        <f ca="1">AVERAGE(OFFSET($R$3,0,0,'Données projet'!$E$9+1,1))-AVERAGE(OFFSET($H$3,0,0,'Données projet'!$E$9+1,1))</f>
        <v>539.2446452106276</v>
      </c>
      <c r="T111" s="62">
        <f t="shared" si="88"/>
        <v>596.73830276071465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182.53125502387931</v>
      </c>
      <c r="AA111" s="23">
        <f>EXP(-LN(2)/25)*AA110+(1-EXP(-LN(2)/25))/(LN(2)/25)*Calculateur!V111*Calculateur!X111*VLOOKUP('Données projet'!$B$9,Paramètres!$A$1:$I$89,3,0)*0.475*44/12</f>
        <v>22.447866385061683</v>
      </c>
      <c r="AB111" s="23">
        <f>EXP(-LN(2)/2)*AB110+(1-EXP(-LN(2)/2))/(LN(2)/2)*V111*Y111*VLOOKUP('Données projet'!$B$9,Paramètres!$A$1:$I$89,3,0)*0.475*44/12</f>
        <v>1.5961766471083663E-5</v>
      </c>
      <c r="AC111" s="24">
        <f t="shared" si="57"/>
        <v>204.97913737070746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3.1036506698001178E-14</v>
      </c>
      <c r="AK111" s="14">
        <f t="shared" si="89"/>
        <v>5.3428243983771088E-13</v>
      </c>
      <c r="AL111" s="22">
        <f t="shared" si="58"/>
        <v>9.8459716521636505E-13</v>
      </c>
      <c r="AM111" s="62">
        <f t="shared" si="59"/>
        <v>293.33333333333428</v>
      </c>
      <c r="AN111" s="62">
        <f ca="1">AVERAGE(OFFSET($AM$3,0,0,'Données projet'!$E$10+1,1))-AVERAGE(OFFSET($H$3,0,0,'Données projet'!$E$10+1,1))</f>
        <v>262.6671000229498</v>
      </c>
      <c r="AO111" s="62">
        <f t="shared" si="90"/>
        <v>289.30432245776024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103.08002731201846</v>
      </c>
      <c r="AV111" s="23">
        <f>EXP(-LN(2)/25)*AV110+(1-EXP(-LN(2)/25))/(LN(2)/25)*Calculateur!AQ111*Calculateur!AS111*VLOOKUP('Données projet'!$B$10,Paramètres!$A$1:$I$89,3,0)*0.475*44/12</f>
        <v>17.87637547472961</v>
      </c>
      <c r="AW111" s="23">
        <f>EXP(-LN(2)/2)*AW110+(1-EXP(-LN(2)/2))/(LN(2)/2)*AQ111*AT111*VLOOKUP('Données projet'!$B$10,Paramètres!$A$1:$I$89,3,0)*0.475*44/12</f>
        <v>1.3705132725281499E-3</v>
      </c>
      <c r="AX111" s="23">
        <f t="shared" si="60"/>
        <v>120.95777330002061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268.27008134105046</v>
      </c>
      <c r="CZ111" s="62">
        <f t="shared" si="96"/>
        <v>252.36274686619709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96.317646724264208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96.317646724264208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>
        <f>DO111*VLOOKUP('Données projet'!$B$14,Paramètres!$A$1:$I$89,3,0)*VLOOKUP('Données projet'!$B$14,Paramètres!$A$1:$I$89,5,0)</f>
        <v>0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279.49721661620544</v>
      </c>
      <c r="DU111" s="62">
        <f t="shared" si="98"/>
        <v>275.18739333988754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84.62773419898673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84.62773419898673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>
        <f>EJ111*VLOOKUP('Données projet'!$B$15,Paramètres!$A$1:$I$89,3,0)*VLOOKUP('Données projet'!$B$15,Paramètres!$A$1:$I$89,5,0)</f>
        <v>0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394.11074988418096</v>
      </c>
      <c r="EP111" s="62">
        <f t="shared" si="100"/>
        <v>241.85593029696236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216.42004268183419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216.42004268183419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4.5474735088646412E-13</v>
      </c>
      <c r="O112" s="14">
        <f>N112*VLOOKUP('Données projet'!$B$9,Paramètres!$A$1:$I$89,3,0)*VLOOKUP('Données projet'!$B$9,Paramètres!$A$1:$I$89,5,0)</f>
        <v>2.5420376914553347E-13</v>
      </c>
      <c r="P112" s="14">
        <f t="shared" si="87"/>
        <v>3.4258699088369875E-12</v>
      </c>
      <c r="Q112" s="22">
        <f t="shared" si="107"/>
        <v>6.4094616558195571E-12</v>
      </c>
      <c r="R112" s="62">
        <f t="shared" si="55"/>
        <v>293.33333333333974</v>
      </c>
      <c r="S112" s="62">
        <f ca="1">AVERAGE(OFFSET($R$3,0,0,'Données projet'!$E$9+1,1))-AVERAGE(OFFSET($H$3,0,0,'Données projet'!$E$9+1,1))</f>
        <v>539.2446452106276</v>
      </c>
      <c r="T112" s="62">
        <f t="shared" si="88"/>
        <v>596.73830276071465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178.95192844593336</v>
      </c>
      <c r="AA112" s="23">
        <f>EXP(-LN(2)/25)*AA111+(1-EXP(-LN(2)/25))/(LN(2)/25)*Calculateur!V112*Calculateur!X112*VLOOKUP('Données projet'!$B$9,Paramètres!$A$1:$I$89,3,0)*0.475*44/12</f>
        <v>21.834028298280185</v>
      </c>
      <c r="AB112" s="23">
        <f>EXP(-LN(2)/2)*AB111+(1-EXP(-LN(2)/2))/(LN(2)/2)*V112*Y112*VLOOKUP('Données projet'!$B$9,Paramètres!$A$1:$I$89,3,0)*0.475*44/12</f>
        <v>1.1286673311419326E-5</v>
      </c>
      <c r="AC112" s="24">
        <f t="shared" si="57"/>
        <v>200.78596803088683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3.1036506698001178E-14</v>
      </c>
      <c r="AK112" s="14">
        <f t="shared" si="89"/>
        <v>5.3428243983771088E-13</v>
      </c>
      <c r="AL112" s="22">
        <f t="shared" si="58"/>
        <v>9.8459716521636505E-13</v>
      </c>
      <c r="AM112" s="62">
        <f t="shared" si="59"/>
        <v>293.33333333333428</v>
      </c>
      <c r="AN112" s="62">
        <f ca="1">AVERAGE(OFFSET($AM$3,0,0,'Données projet'!$E$10+1,1))-AVERAGE(OFFSET($H$3,0,0,'Données projet'!$E$10+1,1))</f>
        <v>262.6671000229498</v>
      </c>
      <c r="AO112" s="62">
        <f t="shared" si="90"/>
        <v>289.30432245776024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101.05869084903829</v>
      </c>
      <c r="AV112" s="23">
        <f>EXP(-LN(2)/25)*AV111+(1-EXP(-LN(2)/25))/(LN(2)/25)*Calculateur!AQ112*Calculateur!AS112*VLOOKUP('Données projet'!$B$10,Paramètres!$A$1:$I$89,3,0)*0.475*44/12</f>
        <v>17.387545047295401</v>
      </c>
      <c r="AW112" s="23">
        <f>EXP(-LN(2)/2)*AW111+(1-EXP(-LN(2)/2))/(LN(2)/2)*AQ112*AT112*VLOOKUP('Données projet'!$B$10,Paramètres!$A$1:$I$89,3,0)*0.475*44/12</f>
        <v>9.6909922871082172E-4</v>
      </c>
      <c r="AX112" s="23">
        <f t="shared" si="60"/>
        <v>118.4472049955624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268.27008134105046</v>
      </c>
      <c r="CZ112" s="62">
        <f t="shared" si="96"/>
        <v>252.36274686619709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94.428916419965006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94.428916419965006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>
        <f>DO112*VLOOKUP('Données projet'!$B$14,Paramètres!$A$1:$I$89,3,0)*VLOOKUP('Données projet'!$B$14,Paramètres!$A$1:$I$89,5,0)</f>
        <v>0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279.49721661620544</v>
      </c>
      <c r="DU112" s="62">
        <f t="shared" si="98"/>
        <v>275.18739333988754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82.968235949165631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82.968235949165631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>
        <f>EJ112*VLOOKUP('Données projet'!$B$15,Paramètres!$A$1:$I$89,3,0)*VLOOKUP('Données projet'!$B$15,Paramètres!$A$1:$I$89,5,0)</f>
        <v>0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394.11074988418096</v>
      </c>
      <c r="EP112" s="62">
        <f t="shared" si="100"/>
        <v>241.85593029696236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212.17617764803524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212.17617764803524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4.5474735088646412E-13</v>
      </c>
      <c r="O113" s="14">
        <f>N113*VLOOKUP('Données projet'!$B$9,Paramètres!$A$1:$I$89,3,0)*VLOOKUP('Données projet'!$B$9,Paramètres!$A$1:$I$89,5,0)</f>
        <v>2.5420376914553347E-13</v>
      </c>
      <c r="P113" s="14">
        <f t="shared" si="87"/>
        <v>3.4258699088369875E-12</v>
      </c>
      <c r="Q113" s="22">
        <f t="shared" si="107"/>
        <v>6.4094616558195571E-12</v>
      </c>
      <c r="R113" s="62">
        <f t="shared" si="55"/>
        <v>293.33333333333974</v>
      </c>
      <c r="S113" s="62">
        <f ca="1">AVERAGE(OFFSET($R$3,0,0,'Données projet'!$E$9+1,1))-AVERAGE(OFFSET($H$3,0,0,'Données projet'!$E$9+1,1))</f>
        <v>539.2446452106276</v>
      </c>
      <c r="T113" s="62">
        <f t="shared" si="88"/>
        <v>596.73830276071465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175.44279027900731</v>
      </c>
      <c r="AA113" s="23">
        <f>EXP(-LN(2)/25)*AA112+(1-EXP(-LN(2)/25))/(LN(2)/25)*Calculateur!V113*Calculateur!X113*VLOOKUP('Données projet'!$B$9,Paramètres!$A$1:$I$89,3,0)*0.475*44/12</f>
        <v>21.236975646262067</v>
      </c>
      <c r="AB113" s="23">
        <f>EXP(-LN(2)/2)*AB112+(1-EXP(-LN(2)/2))/(LN(2)/2)*V113*Y113*VLOOKUP('Données projet'!$B$9,Paramètres!$A$1:$I$89,3,0)*0.475*44/12</f>
        <v>7.9808832355418313E-6</v>
      </c>
      <c r="AC113" s="24">
        <f t="shared" si="57"/>
        <v>196.6797739061526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3.1036506698001178E-14</v>
      </c>
      <c r="AK113" s="14">
        <f t="shared" si="89"/>
        <v>5.3428243983771088E-13</v>
      </c>
      <c r="AL113" s="22">
        <f t="shared" si="58"/>
        <v>9.8459716521636505E-13</v>
      </c>
      <c r="AM113" s="62">
        <f t="shared" si="59"/>
        <v>293.33333333333428</v>
      </c>
      <c r="AN113" s="62">
        <f ca="1">AVERAGE(OFFSET($AM$3,0,0,'Données projet'!$E$10+1,1))-AVERAGE(OFFSET($H$3,0,0,'Données projet'!$E$10+1,1))</f>
        <v>262.6671000229498</v>
      </c>
      <c r="AO113" s="62">
        <f t="shared" si="90"/>
        <v>289.30432245776024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99.076991561203641</v>
      </c>
      <c r="AV113" s="23">
        <f>EXP(-LN(2)/25)*AV112+(1-EXP(-LN(2)/25))/(LN(2)/25)*Calculateur!AQ113*Calculateur!AS113*VLOOKUP('Données projet'!$B$10,Paramètres!$A$1:$I$89,3,0)*0.475*44/12</f>
        <v>16.912081713605854</v>
      </c>
      <c r="AW113" s="23">
        <f>EXP(-LN(2)/2)*AW112+(1-EXP(-LN(2)/2))/(LN(2)/2)*AQ113*AT113*VLOOKUP('Données projet'!$B$10,Paramètres!$A$1:$I$89,3,0)*0.475*44/12</f>
        <v>6.8525663626407504E-4</v>
      </c>
      <c r="AX113" s="23">
        <f t="shared" si="60"/>
        <v>115.98975853144576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268.27008134105046</v>
      </c>
      <c r="CZ113" s="62">
        <f t="shared" si="96"/>
        <v>252.36274686619709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92.577222964921376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92.577222964921376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>
        <f>DO113*VLOOKUP('Données projet'!$B$14,Paramètres!$A$1:$I$89,3,0)*VLOOKUP('Données projet'!$B$14,Paramètres!$A$1:$I$89,5,0)</f>
        <v>0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279.49721661620544</v>
      </c>
      <c r="DU113" s="62">
        <f t="shared" si="98"/>
        <v>275.18739333988754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81.341279447829535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81.341279447829535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>
        <f>EJ113*VLOOKUP('Données projet'!$B$15,Paramètres!$A$1:$I$89,3,0)*VLOOKUP('Données projet'!$B$15,Paramètres!$A$1:$I$89,5,0)</f>
        <v>0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394.11074988418096</v>
      </c>
      <c r="EP113" s="62">
        <f t="shared" si="100"/>
        <v>241.85593029696236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208.015532219047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208.015532219047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4.5474735088646412E-13</v>
      </c>
      <c r="O114" s="14">
        <f>N114*VLOOKUP('Données projet'!$B$9,Paramètres!$A$1:$I$89,3,0)*VLOOKUP('Données projet'!$B$9,Paramètres!$A$1:$I$89,5,0)</f>
        <v>2.5420376914553347E-13</v>
      </c>
      <c r="P114" s="14">
        <f t="shared" si="87"/>
        <v>3.4258699088369875E-12</v>
      </c>
      <c r="Q114" s="22">
        <f t="shared" si="107"/>
        <v>6.4094616558195571E-12</v>
      </c>
      <c r="R114" s="62">
        <f t="shared" si="55"/>
        <v>293.33333333333974</v>
      </c>
      <c r="S114" s="62">
        <f ca="1">AVERAGE(OFFSET($R$3,0,0,'Données projet'!$E$9+1,1))-AVERAGE(OFFSET($H$3,0,0,'Données projet'!$E$9+1,1))</f>
        <v>539.2446452106276</v>
      </c>
      <c r="T114" s="62">
        <f t="shared" si="88"/>
        <v>596.73830276071465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172.00246417117174</v>
      </c>
      <c r="AA114" s="23">
        <f>EXP(-LN(2)/25)*AA113+(1-EXP(-LN(2)/25))/(LN(2)/25)*Calculateur!V114*Calculateur!X114*VLOOKUP('Données projet'!$B$9,Paramètres!$A$1:$I$89,3,0)*0.475*44/12</f>
        <v>20.65624943041102</v>
      </c>
      <c r="AB114" s="23">
        <f>EXP(-LN(2)/2)*AB113+(1-EXP(-LN(2)/2))/(LN(2)/2)*V114*Y114*VLOOKUP('Données projet'!$B$9,Paramètres!$A$1:$I$89,3,0)*0.475*44/12</f>
        <v>5.6433366557096632E-6</v>
      </c>
      <c r="AC114" s="24">
        <f t="shared" si="57"/>
        <v>192.65871924491941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3.1036506698001178E-14</v>
      </c>
      <c r="AK114" s="14">
        <f t="shared" si="89"/>
        <v>5.3428243983771088E-13</v>
      </c>
      <c r="AL114" s="22">
        <f t="shared" si="58"/>
        <v>9.8459716521636505E-13</v>
      </c>
      <c r="AM114" s="62">
        <f t="shared" si="59"/>
        <v>293.33333333333428</v>
      </c>
      <c r="AN114" s="62">
        <f ca="1">AVERAGE(OFFSET($AM$3,0,0,'Données projet'!$E$10+1,1))-AVERAGE(OFFSET($H$3,0,0,'Données projet'!$E$10+1,1))</f>
        <v>262.6671000229498</v>
      </c>
      <c r="AO114" s="62">
        <f t="shared" si="90"/>
        <v>289.30432245776024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97.134152187686226</v>
      </c>
      <c r="AV114" s="23">
        <f>EXP(-LN(2)/25)*AV113+(1-EXP(-LN(2)/25))/(LN(2)/25)*Calculateur!AQ114*Calculateur!AS114*VLOOKUP('Données projet'!$B$10,Paramètres!$A$1:$I$89,3,0)*0.475*44/12</f>
        <v>16.449619949779578</v>
      </c>
      <c r="AW114" s="23">
        <f>EXP(-LN(2)/2)*AW113+(1-EXP(-LN(2)/2))/(LN(2)/2)*AQ114*AT114*VLOOKUP('Données projet'!$B$10,Paramètres!$A$1:$I$89,3,0)*0.475*44/12</f>
        <v>4.8454961435541092E-4</v>
      </c>
      <c r="AX114" s="23">
        <f t="shared" si="60"/>
        <v>113.58425668708016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268.27008134105046</v>
      </c>
      <c r="CZ114" s="62">
        <f t="shared" si="96"/>
        <v>252.36274686619709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90.761840089109668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90.761840089109668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>
        <f>DO114*VLOOKUP('Données projet'!$B$14,Paramètres!$A$1:$I$89,3,0)*VLOOKUP('Données projet'!$B$14,Paramètres!$A$1:$I$89,5,0)</f>
        <v>0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279.49721661620544</v>
      </c>
      <c r="DU114" s="62">
        <f t="shared" si="98"/>
        <v>275.18739333988754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79.746226571139161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79.746226571139161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394.11074988418096</v>
      </c>
      <c r="EP114" s="62">
        <f t="shared" si="100"/>
        <v>241.85593029696236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203.93647450917808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203.93647450917808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4.5474735088646412E-13</v>
      </c>
      <c r="O115" s="14">
        <f>N115*VLOOKUP('Données projet'!$B$9,Paramètres!$A$1:$I$89,3,0)*VLOOKUP('Données projet'!$B$9,Paramètres!$A$1:$I$89,5,0)</f>
        <v>2.5420376914553347E-13</v>
      </c>
      <c r="P115" s="14">
        <f t="shared" si="87"/>
        <v>3.4258699088369875E-12</v>
      </c>
      <c r="Q115" s="22">
        <f t="shared" si="107"/>
        <v>6.4094616558195571E-12</v>
      </c>
      <c r="R115" s="62">
        <f t="shared" si="55"/>
        <v>293.33333333333974</v>
      </c>
      <c r="S115" s="62">
        <f ca="1">AVERAGE(OFFSET($R$3,0,0,'Données projet'!$E$9+1,1))-AVERAGE(OFFSET($H$3,0,0,'Données projet'!$E$9+1,1))</f>
        <v>539.2446452106276</v>
      </c>
      <c r="T115" s="62">
        <f t="shared" si="88"/>
        <v>596.73830276071465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168.6296007599191</v>
      </c>
      <c r="AA115" s="23">
        <f>EXP(-LN(2)/25)*AA114+(1-EXP(-LN(2)/25))/(LN(2)/25)*Calculateur!V115*Calculateur!X115*VLOOKUP('Données projet'!$B$9,Paramètres!$A$1:$I$89,3,0)*0.475*44/12</f>
        <v>20.091403203471483</v>
      </c>
      <c r="AB115" s="23">
        <f>EXP(-LN(2)/2)*AB114+(1-EXP(-LN(2)/2))/(LN(2)/2)*V115*Y115*VLOOKUP('Données projet'!$B$9,Paramètres!$A$1:$I$89,3,0)*0.475*44/12</f>
        <v>3.9904416177709156E-6</v>
      </c>
      <c r="AC115" s="24">
        <f t="shared" si="57"/>
        <v>188.72100795383221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3.1036506698001178E-14</v>
      </c>
      <c r="AK115" s="14">
        <f t="shared" si="89"/>
        <v>5.3428243983771088E-13</v>
      </c>
      <c r="AL115" s="22">
        <f t="shared" si="58"/>
        <v>9.8459716521636505E-13</v>
      </c>
      <c r="AM115" s="62">
        <f t="shared" si="59"/>
        <v>293.33333333333428</v>
      </c>
      <c r="AN115" s="62">
        <f ca="1">AVERAGE(OFFSET($AM$3,0,0,'Données projet'!$E$10+1,1))-AVERAGE(OFFSET($H$3,0,0,'Données projet'!$E$10+1,1))</f>
        <v>262.6671000229498</v>
      </c>
      <c r="AO115" s="62">
        <f t="shared" si="90"/>
        <v>289.30432245776024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95.229410709268478</v>
      </c>
      <c r="AV115" s="23">
        <f>EXP(-LN(2)/25)*AV114+(1-EXP(-LN(2)/25))/(LN(2)/25)*Calculateur!AQ115*Calculateur!AS115*VLOOKUP('Données projet'!$B$10,Paramètres!$A$1:$I$89,3,0)*0.475*44/12</f>
        <v>15.999804227204939</v>
      </c>
      <c r="AW115" s="23">
        <f>EXP(-LN(2)/2)*AW114+(1-EXP(-LN(2)/2))/(LN(2)/2)*AQ115*AT115*VLOOKUP('Données projet'!$B$10,Paramètres!$A$1:$I$89,3,0)*0.475*44/12</f>
        <v>3.4262831813203757E-4</v>
      </c>
      <c r="AX115" s="23">
        <f t="shared" si="60"/>
        <v>111.22955756479155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268.27008134105046</v>
      </c>
      <c r="CZ115" s="62">
        <f t="shared" si="96"/>
        <v>252.36274686619709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88.982055764218416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88.982055764218416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>
        <f>DO115*VLOOKUP('Données projet'!$B$14,Paramètres!$A$1:$I$89,3,0)*VLOOKUP('Données projet'!$B$14,Paramètres!$A$1:$I$89,5,0)</f>
        <v>0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279.49721661620544</v>
      </c>
      <c r="DU115" s="62">
        <f t="shared" si="98"/>
        <v>275.18739333988754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78.182451708474488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78.182451708474488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394.11074988418096</v>
      </c>
      <c r="EP115" s="62">
        <f t="shared" si="100"/>
        <v>241.85593029696236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199.93740463302015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199.93740463302015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4.5474735088646412E-13</v>
      </c>
      <c r="O116" s="14">
        <f>N116*VLOOKUP('Données projet'!$B$9,Paramètres!$A$1:$I$89,3,0)*VLOOKUP('Données projet'!$B$9,Paramètres!$A$1:$I$89,5,0)</f>
        <v>2.5420376914553347E-13</v>
      </c>
      <c r="P116" s="14">
        <f t="shared" si="87"/>
        <v>3.4258699088369875E-12</v>
      </c>
      <c r="Q116" s="22">
        <f t="shared" si="107"/>
        <v>6.4094616558195571E-12</v>
      </c>
      <c r="R116" s="62">
        <f t="shared" si="55"/>
        <v>293.33333333333974</v>
      </c>
      <c r="S116" s="62">
        <f ca="1">AVERAGE(OFFSET($R$3,0,0,'Données projet'!$E$9+1,1))-AVERAGE(OFFSET($H$3,0,0,'Données projet'!$E$9+1,1))</f>
        <v>539.2446452106276</v>
      </c>
      <c r="T116" s="62">
        <f t="shared" si="88"/>
        <v>596.73830276071465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165.32287714291758</v>
      </c>
      <c r="AA116" s="23">
        <f>EXP(-LN(2)/25)*AA115+(1-EXP(-LN(2)/25))/(LN(2)/25)*Calculateur!V116*Calculateur!X116*VLOOKUP('Données projet'!$B$9,Paramètres!$A$1:$I$89,3,0)*0.475*44/12</f>
        <v>19.54200272631158</v>
      </c>
      <c r="AB116" s="23">
        <f>EXP(-LN(2)/2)*AB115+(1-EXP(-LN(2)/2))/(LN(2)/2)*V116*Y116*VLOOKUP('Données projet'!$B$9,Paramètres!$A$1:$I$89,3,0)*0.475*44/12</f>
        <v>2.8216683278548316E-6</v>
      </c>
      <c r="AC116" s="24">
        <f t="shared" si="57"/>
        <v>184.86488269089747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3.1036506698001178E-14</v>
      </c>
      <c r="AK116" s="14">
        <f t="shared" si="89"/>
        <v>5.3428243983771088E-13</v>
      </c>
      <c r="AL116" s="22">
        <f t="shared" si="58"/>
        <v>9.8459716521636505E-13</v>
      </c>
      <c r="AM116" s="62">
        <f t="shared" si="59"/>
        <v>293.33333333333428</v>
      </c>
      <c r="AN116" s="62">
        <f ca="1">AVERAGE(OFFSET($AM$3,0,0,'Données projet'!$E$10+1,1))-AVERAGE(OFFSET($H$3,0,0,'Données projet'!$E$10+1,1))</f>
        <v>262.6671000229498</v>
      </c>
      <c r="AO116" s="62">
        <f t="shared" si="90"/>
        <v>289.30432245776024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93.362020049464917</v>
      </c>
      <c r="AV116" s="23">
        <f>EXP(-LN(2)/25)*AV115+(1-EXP(-LN(2)/25))/(LN(2)/25)*Calculateur!AQ116*Calculateur!AS116*VLOOKUP('Données projet'!$B$10,Paramètres!$A$1:$I$89,3,0)*0.475*44/12</f>
        <v>15.562288739218884</v>
      </c>
      <c r="AW116" s="23">
        <f>EXP(-LN(2)/2)*AW115+(1-EXP(-LN(2)/2))/(LN(2)/2)*AQ116*AT116*VLOOKUP('Données projet'!$B$10,Paramètres!$A$1:$I$89,3,0)*0.475*44/12</f>
        <v>2.4227480717770551E-4</v>
      </c>
      <c r="AX116" s="23">
        <f t="shared" si="60"/>
        <v>108.92455106349098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268.27008134105046</v>
      </c>
      <c r="CZ116" s="62">
        <f t="shared" si="96"/>
        <v>252.36274686619709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87.237171924377023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87.237171924377023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>
        <f>DO116*VLOOKUP('Données projet'!$B$14,Paramètres!$A$1:$I$89,3,0)*VLOOKUP('Données projet'!$B$14,Paramètres!$A$1:$I$89,5,0)</f>
        <v>0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279.49721661620544</v>
      </c>
      <c r="DU116" s="62">
        <f t="shared" si="98"/>
        <v>275.18739333988754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76.64934151705819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76.64934151705819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394.11074988418096</v>
      </c>
      <c r="EP116" s="62">
        <f t="shared" si="100"/>
        <v>241.85593029696236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196.01675407794193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196.01675407794193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4.5474735088646412E-13</v>
      </c>
      <c r="O117" s="14">
        <f>N117*VLOOKUP('Données projet'!$B$9,Paramètres!$A$1:$I$89,3,0)*VLOOKUP('Données projet'!$B$9,Paramètres!$A$1:$I$89,5,0)</f>
        <v>2.5420376914553347E-13</v>
      </c>
      <c r="P117" s="14">
        <f t="shared" si="87"/>
        <v>3.4258699088369875E-12</v>
      </c>
      <c r="Q117" s="22">
        <f t="shared" si="107"/>
        <v>6.4094616558195571E-12</v>
      </c>
      <c r="R117" s="62">
        <f t="shared" si="55"/>
        <v>293.33333333333974</v>
      </c>
      <c r="S117" s="62">
        <f ca="1">AVERAGE(OFFSET($R$3,0,0,'Données projet'!$E$9+1,1))-AVERAGE(OFFSET($H$3,0,0,'Données projet'!$E$9+1,1))</f>
        <v>539.2446452106276</v>
      </c>
      <c r="T117" s="62">
        <f t="shared" si="88"/>
        <v>596.73830276071465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162.0809963591432</v>
      </c>
      <c r="AA117" s="23">
        <f>EXP(-LN(2)/25)*AA116+(1-EXP(-LN(2)/25))/(LN(2)/25)*Calculateur!V117*Calculateur!X117*VLOOKUP('Données projet'!$B$9,Paramètres!$A$1:$I$89,3,0)*0.475*44/12</f>
        <v>19.00762563409133</v>
      </c>
      <c r="AB117" s="23">
        <f>EXP(-LN(2)/2)*AB116+(1-EXP(-LN(2)/2))/(LN(2)/2)*V117*Y117*VLOOKUP('Données projet'!$B$9,Paramètres!$A$1:$I$89,3,0)*0.475*44/12</f>
        <v>1.9952208088854578E-6</v>
      </c>
      <c r="AC117" s="24">
        <f t="shared" si="57"/>
        <v>181.08862398845534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3.1036506698001178E-14</v>
      </c>
      <c r="AK117" s="14">
        <f t="shared" si="89"/>
        <v>5.3428243983771088E-13</v>
      </c>
      <c r="AL117" s="22">
        <f t="shared" si="58"/>
        <v>9.8459716521636505E-13</v>
      </c>
      <c r="AM117" s="62">
        <f t="shared" si="59"/>
        <v>293.33333333333428</v>
      </c>
      <c r="AN117" s="62">
        <f ca="1">AVERAGE(OFFSET($AM$3,0,0,'Données projet'!$E$10+1,1))-AVERAGE(OFFSET($H$3,0,0,'Données projet'!$E$10+1,1))</f>
        <v>262.6671000229498</v>
      </c>
      <c r="AO117" s="62">
        <f t="shared" si="90"/>
        <v>289.30432245776024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91.531247781504263</v>
      </c>
      <c r="AV117" s="23">
        <f>EXP(-LN(2)/25)*AV116+(1-EXP(-LN(2)/25))/(LN(2)/25)*Calculateur!AQ117*Calculateur!AS117*VLOOKUP('Données projet'!$B$10,Paramètres!$A$1:$I$89,3,0)*0.475*44/12</f>
        <v>15.136737135259747</v>
      </c>
      <c r="AW117" s="23">
        <f>EXP(-LN(2)/2)*AW116+(1-EXP(-LN(2)/2))/(LN(2)/2)*AQ117*AT117*VLOOKUP('Données projet'!$B$10,Paramètres!$A$1:$I$89,3,0)*0.475*44/12</f>
        <v>1.7131415906601881E-4</v>
      </c>
      <c r="AX117" s="23">
        <f t="shared" si="60"/>
        <v>106.66815623092307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268.27008134105046</v>
      </c>
      <c r="CZ117" s="62">
        <f t="shared" si="96"/>
        <v>252.36274686619709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85.526504192360875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85.526504192360875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>
        <f>DO117*VLOOKUP('Données projet'!$B$14,Paramètres!$A$1:$I$89,3,0)*VLOOKUP('Données projet'!$B$14,Paramètres!$A$1:$I$89,5,0)</f>
        <v>0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279.49721661620544</v>
      </c>
      <c r="DU117" s="62">
        <f t="shared" si="98"/>
        <v>275.18739333988754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75.146294681390685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75.146294681390685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394.11074988418096</v>
      </c>
      <c r="EP117" s="62">
        <f t="shared" si="100"/>
        <v>241.85593029696236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192.17298508888805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192.17298508888805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4.5474735088646412E-13</v>
      </c>
      <c r="O118" s="14">
        <f>N118*VLOOKUP('Données projet'!$B$9,Paramètres!$A$1:$I$89,3,0)*VLOOKUP('Données projet'!$B$9,Paramètres!$A$1:$I$89,5,0)</f>
        <v>2.5420376914553347E-13</v>
      </c>
      <c r="P118" s="14">
        <f t="shared" si="87"/>
        <v>3.4258699088369875E-12</v>
      </c>
      <c r="Q118" s="22">
        <f t="shared" si="107"/>
        <v>6.4094616558195571E-12</v>
      </c>
      <c r="R118" s="62">
        <f t="shared" si="55"/>
        <v>293.33333333333974</v>
      </c>
      <c r="S118" s="62">
        <f ca="1">AVERAGE(OFFSET($R$3,0,0,'Données projet'!$E$9+1,1))-AVERAGE(OFFSET($H$3,0,0,'Données projet'!$E$9+1,1))</f>
        <v>539.2446452106276</v>
      </c>
      <c r="T118" s="62">
        <f t="shared" si="88"/>
        <v>596.73830276071465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158.90268688018659</v>
      </c>
      <c r="AA118" s="23">
        <f>EXP(-LN(2)/25)*AA117+(1-EXP(-LN(2)/25))/(LN(2)/25)*Calculateur!V118*Calculateur!X118*VLOOKUP('Données projet'!$B$9,Paramètres!$A$1:$I$89,3,0)*0.475*44/12</f>
        <v>18.487861111559514</v>
      </c>
      <c r="AB118" s="23">
        <f>EXP(-LN(2)/2)*AB117+(1-EXP(-LN(2)/2))/(LN(2)/2)*V118*Y118*VLOOKUP('Données projet'!$B$9,Paramètres!$A$1:$I$89,3,0)*0.475*44/12</f>
        <v>1.4108341639274158E-6</v>
      </c>
      <c r="AC118" s="24">
        <f t="shared" si="57"/>
        <v>177.39054940258026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3.1036506698001178E-14</v>
      </c>
      <c r="AK118" s="14">
        <f t="shared" si="89"/>
        <v>5.3428243983771088E-13</v>
      </c>
      <c r="AL118" s="22">
        <f t="shared" si="58"/>
        <v>9.8459716521636505E-13</v>
      </c>
      <c r="AM118" s="62">
        <f t="shared" si="59"/>
        <v>293.33333333333428</v>
      </c>
      <c r="AN118" s="62">
        <f ca="1">AVERAGE(OFFSET($AM$3,0,0,'Données projet'!$E$10+1,1))-AVERAGE(OFFSET($H$3,0,0,'Données projet'!$E$10+1,1))</f>
        <v>262.6671000229498</v>
      </c>
      <c r="AO118" s="62">
        <f t="shared" si="90"/>
        <v>289.30432245776024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89.736375841057495</v>
      </c>
      <c r="AV118" s="23">
        <f>EXP(-LN(2)/25)*AV117+(1-EXP(-LN(2)/25))/(LN(2)/25)*Calculateur!AQ118*Calculateur!AS118*VLOOKUP('Données projet'!$B$10,Paramètres!$A$1:$I$89,3,0)*0.475*44/12</f>
        <v>14.722822262289659</v>
      </c>
      <c r="AW118" s="23">
        <f>EXP(-LN(2)/2)*AW117+(1-EXP(-LN(2)/2))/(LN(2)/2)*AQ118*AT118*VLOOKUP('Données projet'!$B$10,Paramètres!$A$1:$I$89,3,0)*0.475*44/12</f>
        <v>1.2113740358885277E-4</v>
      </c>
      <c r="AX118" s="23">
        <f t="shared" si="60"/>
        <v>104.45931924075073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268.27008134105046</v>
      </c>
      <c r="CZ118" s="62">
        <f t="shared" si="96"/>
        <v>252.36274686619709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83.849381611165271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83.849381611165271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>
        <f>DO118*VLOOKUP('Données projet'!$B$14,Paramètres!$A$1:$I$89,3,0)*VLOOKUP('Données projet'!$B$14,Paramètres!$A$1:$I$89,5,0)</f>
        <v>0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279.49721661620544</v>
      </c>
      <c r="DU118" s="62">
        <f t="shared" si="98"/>
        <v>275.18739333988754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73.672721677402564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73.672721677402564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394.11074988418096</v>
      </c>
      <c r="EP118" s="62">
        <f t="shared" si="100"/>
        <v>241.85593029696236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188.40459006524196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188.40459006524196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4.5474735088646412E-13</v>
      </c>
      <c r="O119" s="14">
        <f>N119*VLOOKUP('Données projet'!$B$9,Paramètres!$A$1:$I$89,3,0)*VLOOKUP('Données projet'!$B$9,Paramètres!$A$1:$I$89,5,0)</f>
        <v>2.5420376914553347E-13</v>
      </c>
      <c r="P119" s="14">
        <f t="shared" si="87"/>
        <v>3.4258699088369875E-12</v>
      </c>
      <c r="Q119" s="22">
        <f t="shared" si="107"/>
        <v>6.4094616558195571E-12</v>
      </c>
      <c r="R119" s="62">
        <f t="shared" si="55"/>
        <v>293.33333333333974</v>
      </c>
      <c r="S119" s="62">
        <f ca="1">AVERAGE(OFFSET($R$3,0,0,'Données projet'!$E$9+1,1))-AVERAGE(OFFSET($H$3,0,0,'Données projet'!$E$9+1,1))</f>
        <v>539.2446452106276</v>
      </c>
      <c r="T119" s="62">
        <f t="shared" si="88"/>
        <v>596.73830276071465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155.78670211153496</v>
      </c>
      <c r="AA119" s="23">
        <f>EXP(-LN(2)/25)*AA118+(1-EXP(-LN(2)/25))/(LN(2)/25)*Calculateur!V119*Calculateur!X119*VLOOKUP('Données projet'!$B$9,Paramètres!$A$1:$I$89,3,0)*0.475*44/12</f>
        <v>17.982309577229557</v>
      </c>
      <c r="AB119" s="23">
        <f>EXP(-LN(2)/2)*AB118+(1-EXP(-LN(2)/2))/(LN(2)/2)*V119*Y119*VLOOKUP('Données projet'!$B$9,Paramètres!$A$1:$I$89,3,0)*0.475*44/12</f>
        <v>9.9761040444272891E-7</v>
      </c>
      <c r="AC119" s="24">
        <f t="shared" si="57"/>
        <v>173.76901268637494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3.1036506698001178E-14</v>
      </c>
      <c r="AK119" s="14">
        <f t="shared" si="89"/>
        <v>5.3428243983771088E-13</v>
      </c>
      <c r="AL119" s="22">
        <f t="shared" si="58"/>
        <v>9.8459716521636505E-13</v>
      </c>
      <c r="AM119" s="62">
        <f t="shared" si="59"/>
        <v>293.33333333333428</v>
      </c>
      <c r="AN119" s="62">
        <f ca="1">AVERAGE(OFFSET($AM$3,0,0,'Données projet'!$E$10+1,1))-AVERAGE(OFFSET($H$3,0,0,'Données projet'!$E$10+1,1))</f>
        <v>262.6671000229498</v>
      </c>
      <c r="AO119" s="62">
        <f t="shared" si="90"/>
        <v>289.30432245776024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87.976700244599101</v>
      </c>
      <c r="AV119" s="23">
        <f>EXP(-LN(2)/25)*AV118+(1-EXP(-LN(2)/25))/(LN(2)/25)*Calculateur!AQ119*Calculateur!AS119*VLOOKUP('Données projet'!$B$10,Paramètres!$A$1:$I$89,3,0)*0.475*44/12</f>
        <v>14.320225913287775</v>
      </c>
      <c r="AW119" s="23">
        <f>EXP(-LN(2)/2)*AW118+(1-EXP(-LN(2)/2))/(LN(2)/2)*AQ119*AT119*VLOOKUP('Données projet'!$B$10,Paramètres!$A$1:$I$89,3,0)*0.475*44/12</f>
        <v>8.565707953300942E-5</v>
      </c>
      <c r="AX119" s="23">
        <f t="shared" si="60"/>
        <v>102.29701181496641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268.27008134105046</v>
      </c>
      <c r="CZ119" s="62">
        <f t="shared" si="96"/>
        <v>252.36274686619709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82.205146380843146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82.205146380843146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>
        <f>DO119*VLOOKUP('Données projet'!$B$14,Paramètres!$A$1:$I$89,3,0)*VLOOKUP('Données projet'!$B$14,Paramètres!$A$1:$I$89,5,0)</f>
        <v>0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279.49721661620544</v>
      </c>
      <c r="DU119" s="62">
        <f t="shared" si="98"/>
        <v>275.18739333988754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72.228044541231867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72.228044541231867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394.11074988418096</v>
      </c>
      <c r="EP119" s="62">
        <f t="shared" si="100"/>
        <v>241.85593029696236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184.71009096951556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184.71009096951556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4.5474735088646412E-13</v>
      </c>
      <c r="O120" s="14">
        <f>N120*VLOOKUP('Données projet'!$B$9,Paramètres!$A$1:$I$89,3,0)*VLOOKUP('Données projet'!$B$9,Paramètres!$A$1:$I$89,5,0)</f>
        <v>2.5420376914553347E-13</v>
      </c>
      <c r="P120" s="14">
        <f t="shared" si="87"/>
        <v>3.4258699088369875E-12</v>
      </c>
      <c r="Q120" s="22">
        <f t="shared" si="107"/>
        <v>6.4094616558195571E-12</v>
      </c>
      <c r="R120" s="62">
        <f t="shared" si="55"/>
        <v>293.33333333333974</v>
      </c>
      <c r="S120" s="62">
        <f ca="1">AVERAGE(OFFSET($R$3,0,0,'Données projet'!$E$9+1,1))-AVERAGE(OFFSET($H$3,0,0,'Données projet'!$E$9+1,1))</f>
        <v>539.2446452106276</v>
      </c>
      <c r="T120" s="62">
        <f t="shared" si="88"/>
        <v>596.73830276071465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152.73181990363355</v>
      </c>
      <c r="AA120" s="23">
        <f>EXP(-LN(2)/25)*AA119+(1-EXP(-LN(2)/25))/(LN(2)/25)*Calculateur!V120*Calculateur!X120*VLOOKUP('Données projet'!$B$9,Paramètres!$A$1:$I$89,3,0)*0.475*44/12</f>
        <v>17.490582376191654</v>
      </c>
      <c r="AB120" s="23">
        <f>EXP(-LN(2)/2)*AB119+(1-EXP(-LN(2)/2))/(LN(2)/2)*V120*Y120*VLOOKUP('Données projet'!$B$9,Paramètres!$A$1:$I$89,3,0)*0.475*44/12</f>
        <v>7.054170819637079E-7</v>
      </c>
      <c r="AC120" s="24">
        <f t="shared" si="57"/>
        <v>170.22240298524227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3.1036506698001178E-14</v>
      </c>
      <c r="AK120" s="14">
        <f t="shared" si="89"/>
        <v>5.3428243983771088E-13</v>
      </c>
      <c r="AL120" s="22">
        <f t="shared" si="58"/>
        <v>9.8459716521636505E-13</v>
      </c>
      <c r="AM120" s="62">
        <f t="shared" si="59"/>
        <v>293.33333333333428</v>
      </c>
      <c r="AN120" s="62">
        <f ca="1">AVERAGE(OFFSET($AM$3,0,0,'Données projet'!$E$10+1,1))-AVERAGE(OFFSET($H$3,0,0,'Données projet'!$E$10+1,1))</f>
        <v>262.6671000229498</v>
      </c>
      <c r="AO120" s="62">
        <f t="shared" si="90"/>
        <v>289.30432245776024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86.251530813291126</v>
      </c>
      <c r="AV120" s="23">
        <f>EXP(-LN(2)/25)*AV119+(1-EXP(-LN(2)/25))/(LN(2)/25)*Calculateur!AQ120*Calculateur!AS120*VLOOKUP('Données projet'!$B$10,Paramètres!$A$1:$I$89,3,0)*0.475*44/12</f>
        <v>13.92863858262097</v>
      </c>
      <c r="AW120" s="23">
        <f>EXP(-LN(2)/2)*AW119+(1-EXP(-LN(2)/2))/(LN(2)/2)*AQ120*AT120*VLOOKUP('Données projet'!$B$10,Paramètres!$A$1:$I$89,3,0)*0.475*44/12</f>
        <v>6.0568701794426392E-5</v>
      </c>
      <c r="AX120" s="23">
        <f t="shared" si="60"/>
        <v>100.18022996461389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268.27008134105046</v>
      </c>
      <c r="CZ120" s="62">
        <f t="shared" si="96"/>
        <v>252.36274686619709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80.593153600503172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80.593153600503172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>
        <f>DO120*VLOOKUP('Données projet'!$B$14,Paramètres!$A$1:$I$89,3,0)*VLOOKUP('Données projet'!$B$14,Paramètres!$A$1:$I$89,5,0)</f>
        <v>0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279.49721661620544</v>
      </c>
      <c r="DU120" s="62">
        <f t="shared" si="98"/>
        <v>275.18739333988754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70.811696642535438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70.811696642535438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394.11074988418096</v>
      </c>
      <c r="EP120" s="62">
        <f t="shared" si="100"/>
        <v>241.85593029696236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181.08803874763441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181.08803874763441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4.5474735088646412E-13</v>
      </c>
      <c r="O121" s="14">
        <f>N121*VLOOKUP('Données projet'!$B$9,Paramètres!$A$1:$I$89,3,0)*VLOOKUP('Données projet'!$B$9,Paramètres!$A$1:$I$89,5,0)</f>
        <v>2.5420376914553347E-13</v>
      </c>
      <c r="P121" s="14">
        <f t="shared" si="87"/>
        <v>3.4258699088369875E-12</v>
      </c>
      <c r="Q121" s="22">
        <f t="shared" si="107"/>
        <v>6.4094616558195571E-12</v>
      </c>
      <c r="R121" s="62">
        <f t="shared" si="55"/>
        <v>293.33333333333974</v>
      </c>
      <c r="S121" s="62">
        <f ca="1">AVERAGE(OFFSET($R$3,0,0,'Données projet'!$E$9+1,1))-AVERAGE(OFFSET($H$3,0,0,'Données projet'!$E$9+1,1))</f>
        <v>539.2446452106276</v>
      </c>
      <c r="T121" s="62">
        <f t="shared" si="88"/>
        <v>596.73830276071465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149.73684207253493</v>
      </c>
      <c r="AA121" s="23">
        <f>EXP(-LN(2)/25)*AA120+(1-EXP(-LN(2)/25))/(LN(2)/25)*Calculateur!V121*Calculateur!X121*VLOOKUP('Données projet'!$B$9,Paramètres!$A$1:$I$89,3,0)*0.475*44/12</f>
        <v>17.01230148132494</v>
      </c>
      <c r="AB121" s="23">
        <f>EXP(-LN(2)/2)*AB120+(1-EXP(-LN(2)/2))/(LN(2)/2)*V121*Y121*VLOOKUP('Données projet'!$B$9,Paramètres!$A$1:$I$89,3,0)*0.475*44/12</f>
        <v>4.9880520222136445E-7</v>
      </c>
      <c r="AC121" s="24">
        <f t="shared" si="57"/>
        <v>166.74914405266509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3.1036506698001178E-14</v>
      </c>
      <c r="AK121" s="14">
        <f t="shared" si="89"/>
        <v>5.3428243983771088E-13</v>
      </c>
      <c r="AL121" s="22">
        <f t="shared" si="58"/>
        <v>9.8459716521636505E-13</v>
      </c>
      <c r="AM121" s="62">
        <f t="shared" si="59"/>
        <v>293.33333333333428</v>
      </c>
      <c r="AN121" s="62">
        <f ca="1">AVERAGE(OFFSET($AM$3,0,0,'Données projet'!$E$10+1,1))-AVERAGE(OFFSET($H$3,0,0,'Données projet'!$E$10+1,1))</f>
        <v>262.6671000229498</v>
      </c>
      <c r="AO121" s="62">
        <f t="shared" si="90"/>
        <v>289.30432245776024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84.560190902281647</v>
      </c>
      <c r="AV121" s="23">
        <f>EXP(-LN(2)/25)*AV120+(1-EXP(-LN(2)/25))/(LN(2)/25)*Calculateur!AQ121*Calculateur!AS121*VLOOKUP('Données projet'!$B$10,Paramètres!$A$1:$I$89,3,0)*0.475*44/12</f>
        <v>13.54775922810393</v>
      </c>
      <c r="AW121" s="23">
        <f>EXP(-LN(2)/2)*AW120+(1-EXP(-LN(2)/2))/(LN(2)/2)*AQ121*AT121*VLOOKUP('Données projet'!$B$10,Paramètres!$A$1:$I$89,3,0)*0.475*44/12</f>
        <v>4.2828539766504717E-5</v>
      </c>
      <c r="AX121" s="23">
        <f t="shared" si="60"/>
        <v>98.107992958925337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268.27008134105046</v>
      </c>
      <c r="CZ121" s="62">
        <f t="shared" si="96"/>
        <v>252.36274686619709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79.01277101536715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79.01277101536715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>
        <f>DO121*VLOOKUP('Données projet'!$B$14,Paramètres!$A$1:$I$89,3,0)*VLOOKUP('Données projet'!$B$14,Paramètres!$A$1:$I$89,5,0)</f>
        <v>0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279.49721661620544</v>
      </c>
      <c r="DU121" s="62">
        <f t="shared" si="98"/>
        <v>275.18739333988754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69.42312246224553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69.42312246224553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394.11074988418096</v>
      </c>
      <c r="EP121" s="62">
        <f t="shared" si="100"/>
        <v>241.85593029696236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177.53701276059064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177.53701276059064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4.5474735088646412E-13</v>
      </c>
      <c r="O122" s="14">
        <f>N122*VLOOKUP('Données projet'!$B$9,Paramètres!$A$1:$I$89,3,0)*VLOOKUP('Données projet'!$B$9,Paramètres!$A$1:$I$89,5,0)</f>
        <v>2.5420376914553347E-13</v>
      </c>
      <c r="P122" s="14">
        <f t="shared" si="87"/>
        <v>3.4258699088369875E-12</v>
      </c>
      <c r="Q122" s="22">
        <f t="shared" si="107"/>
        <v>6.4094616558195571E-12</v>
      </c>
      <c r="R122" s="62">
        <f t="shared" si="55"/>
        <v>293.33333333333974</v>
      </c>
      <c r="S122" s="62">
        <f ca="1">AVERAGE(OFFSET($R$3,0,0,'Données projet'!$E$9+1,1))-AVERAGE(OFFSET($H$3,0,0,'Données projet'!$E$9+1,1))</f>
        <v>539.2446452106276</v>
      </c>
      <c r="T122" s="62">
        <f t="shared" si="88"/>
        <v>596.73830276071465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146.80059392994804</v>
      </c>
      <c r="AA122" s="23">
        <f>EXP(-LN(2)/25)*AA121+(1-EXP(-LN(2)/25))/(LN(2)/25)*Calculateur!V122*Calculateur!X122*VLOOKUP('Données projet'!$B$9,Paramètres!$A$1:$I$89,3,0)*0.475*44/12</f>
        <v>16.547099202680055</v>
      </c>
      <c r="AB122" s="23">
        <f>EXP(-LN(2)/2)*AB121+(1-EXP(-LN(2)/2))/(LN(2)/2)*V122*Y122*VLOOKUP('Données projet'!$B$9,Paramètres!$A$1:$I$89,3,0)*0.475*44/12</f>
        <v>3.5270854098185395E-7</v>
      </c>
      <c r="AC122" s="24">
        <f t="shared" si="57"/>
        <v>163.34769348533663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3.1036506698001178E-14</v>
      </c>
      <c r="AK122" s="14">
        <f t="shared" si="89"/>
        <v>5.3428243983771088E-13</v>
      </c>
      <c r="AL122" s="22">
        <f t="shared" si="58"/>
        <v>9.8459716521636505E-13</v>
      </c>
      <c r="AM122" s="62">
        <f t="shared" si="59"/>
        <v>293.33333333333428</v>
      </c>
      <c r="AN122" s="62">
        <f ca="1">AVERAGE(OFFSET($AM$3,0,0,'Données projet'!$E$10+1,1))-AVERAGE(OFFSET($H$3,0,0,'Données projet'!$E$10+1,1))</f>
        <v>262.6671000229498</v>
      </c>
      <c r="AO122" s="62">
        <f t="shared" si="90"/>
        <v>289.30432245776024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82.902017135311581</v>
      </c>
      <c r="AV122" s="23">
        <f>EXP(-LN(2)/25)*AV121+(1-EXP(-LN(2)/25))/(LN(2)/25)*Calculateur!AQ122*Calculateur!AS122*VLOOKUP('Données projet'!$B$10,Paramètres!$A$1:$I$89,3,0)*0.475*44/12</f>
        <v>13.177295039565733</v>
      </c>
      <c r="AW122" s="23">
        <f>EXP(-LN(2)/2)*AW121+(1-EXP(-LN(2)/2))/(LN(2)/2)*AQ122*AT122*VLOOKUP('Données projet'!$B$10,Paramètres!$A$1:$I$89,3,0)*0.475*44/12</f>
        <v>3.0284350897213203E-5</v>
      </c>
      <c r="AX122" s="23">
        <f t="shared" si="60"/>
        <v>96.079342459228215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268.27008134105046</v>
      </c>
      <c r="CZ122" s="62">
        <f t="shared" si="96"/>
        <v>252.36274686619709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77.46337876878745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77.46337876878745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>
        <f>DO122*VLOOKUP('Données projet'!$B$14,Paramètres!$A$1:$I$89,3,0)*VLOOKUP('Données projet'!$B$14,Paramètres!$A$1:$I$89,5,0)</f>
        <v>0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279.49721661620544</v>
      </c>
      <c r="DU122" s="62">
        <f t="shared" si="98"/>
        <v>275.18739333988754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68.061777374684482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68.061777374684482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394.11074988418096</v>
      </c>
      <c r="EP122" s="62">
        <f t="shared" si="100"/>
        <v>241.85593029696236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174.05562022724081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174.05562022724081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4.5474735088646412E-13</v>
      </c>
      <c r="O123" s="14">
        <f>N123*VLOOKUP('Données projet'!$B$9,Paramètres!$A$1:$I$89,3,0)*VLOOKUP('Données projet'!$B$9,Paramètres!$A$1:$I$89,5,0)</f>
        <v>2.5420376914553347E-13</v>
      </c>
      <c r="P123" s="14">
        <f t="shared" si="87"/>
        <v>3.4258699088369875E-12</v>
      </c>
      <c r="Q123" s="22">
        <f t="shared" si="107"/>
        <v>6.4094616558195571E-12</v>
      </c>
      <c r="R123" s="62">
        <f t="shared" si="55"/>
        <v>293.33333333333974</v>
      </c>
      <c r="S123" s="62">
        <f ca="1">AVERAGE(OFFSET($R$3,0,0,'Données projet'!$E$9+1,1))-AVERAGE(OFFSET($H$3,0,0,'Données projet'!$E$9+1,1))</f>
        <v>539.2446452106276</v>
      </c>
      <c r="T123" s="62">
        <f t="shared" si="88"/>
        <v>596.73830276071465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143.92192382250275</v>
      </c>
      <c r="AA123" s="23">
        <f>EXP(-LN(2)/25)*AA122+(1-EXP(-LN(2)/25))/(LN(2)/25)*Calculateur!V123*Calculateur!X123*VLOOKUP('Données projet'!$B$9,Paramètres!$A$1:$I$89,3,0)*0.475*44/12</f>
        <v>16.09461790480864</v>
      </c>
      <c r="AB123" s="23">
        <f>EXP(-LN(2)/2)*AB122+(1-EXP(-LN(2)/2))/(LN(2)/2)*V123*Y123*VLOOKUP('Données projet'!$B$9,Paramètres!$A$1:$I$89,3,0)*0.475*44/12</f>
        <v>2.4940260111068223E-7</v>
      </c>
      <c r="AC123" s="24">
        <f t="shared" si="57"/>
        <v>160.016541976714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3.1036506698001178E-14</v>
      </c>
      <c r="AK123" s="14">
        <f t="shared" si="89"/>
        <v>5.3428243983771088E-13</v>
      </c>
      <c r="AL123" s="22">
        <f t="shared" si="58"/>
        <v>9.8459716521636505E-13</v>
      </c>
      <c r="AM123" s="62">
        <f t="shared" si="59"/>
        <v>293.33333333333428</v>
      </c>
      <c r="AN123" s="62">
        <f ca="1">AVERAGE(OFFSET($AM$3,0,0,'Données projet'!$E$10+1,1))-AVERAGE(OFFSET($H$3,0,0,'Données projet'!$E$10+1,1))</f>
        <v>262.6671000229498</v>
      </c>
      <c r="AO123" s="62">
        <f t="shared" si="90"/>
        <v>289.30432245776024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81.276359144525671</v>
      </c>
      <c r="AV123" s="23">
        <f>EXP(-LN(2)/25)*AV122+(1-EXP(-LN(2)/25))/(LN(2)/25)*Calculateur!AQ123*Calculateur!AS123*VLOOKUP('Données projet'!$B$10,Paramètres!$A$1:$I$89,3,0)*0.475*44/12</f>
        <v>12.816961213744978</v>
      </c>
      <c r="AW123" s="23">
        <f>EXP(-LN(2)/2)*AW122+(1-EXP(-LN(2)/2))/(LN(2)/2)*AQ123*AT123*VLOOKUP('Données projet'!$B$10,Paramètres!$A$1:$I$89,3,0)*0.475*44/12</f>
        <v>2.1414269883252362E-5</v>
      </c>
      <c r="AX123" s="23">
        <f t="shared" si="60"/>
        <v>94.093341772540526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268.27008134105046</v>
      </c>
      <c r="CZ123" s="62">
        <f t="shared" si="96"/>
        <v>252.36274686619709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75.94436915912722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75.94436915912722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>
        <f>DO123*VLOOKUP('Données projet'!$B$14,Paramètres!$A$1:$I$89,3,0)*VLOOKUP('Données projet'!$B$14,Paramètres!$A$1:$I$89,5,0)</f>
        <v>0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279.49721661620544</v>
      </c>
      <c r="DU123" s="62">
        <f t="shared" si="98"/>
        <v>275.18739333988754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66.727127433951992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66.727127433951992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394.11074988418096</v>
      </c>
      <c r="EP123" s="62">
        <f t="shared" si="100"/>
        <v>241.85593029696236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170.64249567803017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170.64249567803017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4.5474735088646412E-13</v>
      </c>
      <c r="O124" s="14">
        <f>N124*VLOOKUP('Données projet'!$B$9,Paramètres!$A$1:$I$89,3,0)*VLOOKUP('Données projet'!$B$9,Paramètres!$A$1:$I$89,5,0)</f>
        <v>2.5420376914553347E-13</v>
      </c>
      <c r="P124" s="14">
        <f t="shared" si="87"/>
        <v>3.4258699088369875E-12</v>
      </c>
      <c r="Q124" s="22">
        <f t="shared" si="107"/>
        <v>6.4094616558195571E-12</v>
      </c>
      <c r="R124" s="62">
        <f t="shared" si="55"/>
        <v>293.33333333333974</v>
      </c>
      <c r="S124" s="62">
        <f ca="1">AVERAGE(OFFSET($R$3,0,0,'Données projet'!$E$9+1,1))-AVERAGE(OFFSET($H$3,0,0,'Données projet'!$E$9+1,1))</f>
        <v>539.2446452106276</v>
      </c>
      <c r="T124" s="62">
        <f t="shared" si="88"/>
        <v>596.73830276071465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141.09970268004909</v>
      </c>
      <c r="AA124" s="23">
        <f>EXP(-LN(2)/25)*AA123+(1-EXP(-LN(2)/25))/(LN(2)/25)*Calculateur!V124*Calculateur!X124*VLOOKUP('Données projet'!$B$9,Paramètres!$A$1:$I$89,3,0)*0.475*44/12</f>
        <v>15.654509731822477</v>
      </c>
      <c r="AB124" s="23">
        <f>EXP(-LN(2)/2)*AB123+(1-EXP(-LN(2)/2))/(LN(2)/2)*V124*Y124*VLOOKUP('Données projet'!$B$9,Paramètres!$A$1:$I$89,3,0)*0.475*44/12</f>
        <v>1.7635427049092697E-7</v>
      </c>
      <c r="AC124" s="24">
        <f t="shared" si="57"/>
        <v>156.75421258822584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3.1036506698001178E-14</v>
      </c>
      <c r="AK124" s="14">
        <f t="shared" si="89"/>
        <v>5.3428243983771088E-13</v>
      </c>
      <c r="AL124" s="22">
        <f t="shared" si="58"/>
        <v>9.8459716521636505E-13</v>
      </c>
      <c r="AM124" s="62">
        <f t="shared" si="59"/>
        <v>293.33333333333428</v>
      </c>
      <c r="AN124" s="62">
        <f ca="1">AVERAGE(OFFSET($AM$3,0,0,'Données projet'!$E$10+1,1))-AVERAGE(OFFSET($H$3,0,0,'Données projet'!$E$10+1,1))</f>
        <v>262.6671000229498</v>
      </c>
      <c r="AO124" s="62">
        <f t="shared" si="90"/>
        <v>289.30432245776024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79.68257931538561</v>
      </c>
      <c r="AV124" s="23">
        <f>EXP(-LN(2)/25)*AV123+(1-EXP(-LN(2)/25))/(LN(2)/25)*Calculateur!AQ124*Calculateur!AS124*VLOOKUP('Données projet'!$B$10,Paramètres!$A$1:$I$89,3,0)*0.475*44/12</f>
        <v>12.466480735340426</v>
      </c>
      <c r="AW124" s="23">
        <f>EXP(-LN(2)/2)*AW123+(1-EXP(-LN(2)/2))/(LN(2)/2)*AQ124*AT124*VLOOKUP('Données projet'!$B$10,Paramètres!$A$1:$I$89,3,0)*0.475*44/12</f>
        <v>1.5142175448606603E-5</v>
      </c>
      <c r="AX124" s="23">
        <f t="shared" si="60"/>
        <v>92.149075192901478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268.27008134105046</v>
      </c>
      <c r="CZ124" s="62">
        <f t="shared" si="96"/>
        <v>252.36274686619709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74.455146401408058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74.455146401408058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>
        <f>DO124*VLOOKUP('Données projet'!$B$14,Paramètres!$A$1:$I$89,3,0)*VLOOKUP('Données projet'!$B$14,Paramètres!$A$1:$I$89,5,0)</f>
        <v>0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279.49721661620544</v>
      </c>
      <c r="DU124" s="62">
        <f t="shared" si="98"/>
        <v>275.18739333988754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65.41864916450119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65.41864916450119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394.11074988418096</v>
      </c>
      <c r="EP124" s="62">
        <f t="shared" si="100"/>
        <v>241.85593029696236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167.29630041942914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167.29630041942914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4.5474735088646412E-13</v>
      </c>
      <c r="O125" s="14">
        <f>N125*VLOOKUP('Données projet'!$B$9,Paramètres!$A$1:$I$89,3,0)*VLOOKUP('Données projet'!$B$9,Paramètres!$A$1:$I$89,5,0)</f>
        <v>2.5420376914553347E-13</v>
      </c>
      <c r="P125" s="14">
        <f t="shared" si="87"/>
        <v>3.4258699088369875E-12</v>
      </c>
      <c r="Q125" s="22">
        <f t="shared" si="107"/>
        <v>6.4094616558195571E-12</v>
      </c>
      <c r="R125" s="62">
        <f t="shared" si="55"/>
        <v>293.33333333333974</v>
      </c>
      <c r="S125" s="62">
        <f ca="1">AVERAGE(OFFSET($R$3,0,0,'Données projet'!$E$9+1,1))-AVERAGE(OFFSET($H$3,0,0,'Données projet'!$E$9+1,1))</f>
        <v>539.2446452106276</v>
      </c>
      <c r="T125" s="62">
        <f t="shared" si="88"/>
        <v>596.73830276071465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138.33282357281402</v>
      </c>
      <c r="AA125" s="23">
        <f>EXP(-LN(2)/25)*AA124+(1-EXP(-LN(2)/25))/(LN(2)/25)*Calculateur!V125*Calculateur!X125*VLOOKUP('Données projet'!$B$9,Paramètres!$A$1:$I$89,3,0)*0.475*44/12</f>
        <v>15.226436339970904</v>
      </c>
      <c r="AB125" s="23">
        <f>EXP(-LN(2)/2)*AB124+(1-EXP(-LN(2)/2))/(LN(2)/2)*V125*Y125*VLOOKUP('Données projet'!$B$9,Paramètres!$A$1:$I$89,3,0)*0.475*44/12</f>
        <v>1.2470130055534111E-7</v>
      </c>
      <c r="AC125" s="24">
        <f t="shared" si="57"/>
        <v>153.55926003748624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3.1036506698001178E-14</v>
      </c>
      <c r="AK125" s="14">
        <f t="shared" si="89"/>
        <v>5.3428243983771088E-13</v>
      </c>
      <c r="AL125" s="22">
        <f t="shared" si="58"/>
        <v>9.8459716521636505E-13</v>
      </c>
      <c r="AM125" s="62">
        <f t="shared" si="59"/>
        <v>293.33333333333428</v>
      </c>
      <c r="AN125" s="62">
        <f ca="1">AVERAGE(OFFSET($AM$3,0,0,'Données projet'!$E$10+1,1))-AVERAGE(OFFSET($H$3,0,0,'Données projet'!$E$10+1,1))</f>
        <v>262.6671000229498</v>
      </c>
      <c r="AO125" s="62">
        <f t="shared" si="90"/>
        <v>289.30432245776024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78.120052536585277</v>
      </c>
      <c r="AV125" s="23">
        <f>EXP(-LN(2)/25)*AV124+(1-EXP(-LN(2)/25))/(LN(2)/25)*Calculateur!AQ125*Calculateur!AS125*VLOOKUP('Données projet'!$B$10,Paramètres!$A$1:$I$89,3,0)*0.475*44/12</f>
        <v>12.125584164048812</v>
      </c>
      <c r="AW125" s="23">
        <f>EXP(-LN(2)/2)*AW124+(1-EXP(-LN(2)/2))/(LN(2)/2)*AQ125*AT125*VLOOKUP('Données projet'!$B$10,Paramètres!$A$1:$I$89,3,0)*0.475*44/12</f>
        <v>1.0707134941626183E-5</v>
      </c>
      <c r="AX125" s="23">
        <f t="shared" si="60"/>
        <v>90.245647407769042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268.27008134105046</v>
      </c>
      <c r="CZ125" s="62">
        <f t="shared" si="96"/>
        <v>252.36274686619709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72.99512639363158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72.99512639363158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>
        <f>DO125*VLOOKUP('Données projet'!$B$14,Paramètres!$A$1:$I$89,3,0)*VLOOKUP('Données projet'!$B$14,Paramètres!$A$1:$I$89,5,0)</f>
        <v>0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279.49721661620544</v>
      </c>
      <c r="DU125" s="62">
        <f t="shared" si="98"/>
        <v>275.18739333988754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64.135829355821372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64.135829355821372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394.11074988418096</v>
      </c>
      <c r="EP125" s="62">
        <f t="shared" si="100"/>
        <v>241.85593029696236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164.01572200887171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164.01572200887171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4.5474735088646412E-13</v>
      </c>
      <c r="O126" s="14">
        <f>N126*VLOOKUP('Données projet'!$B$9,Paramètres!$A$1:$I$89,3,0)*VLOOKUP('Données projet'!$B$9,Paramètres!$A$1:$I$89,5,0)</f>
        <v>2.5420376914553347E-13</v>
      </c>
      <c r="P126" s="14">
        <f t="shared" si="87"/>
        <v>3.4258699088369875E-12</v>
      </c>
      <c r="Q126" s="22">
        <f t="shared" si="107"/>
        <v>6.4094616558195571E-12</v>
      </c>
      <c r="R126" s="62">
        <f t="shared" si="55"/>
        <v>293.33333333333974</v>
      </c>
      <c r="S126" s="62">
        <f ca="1">AVERAGE(OFFSET($R$3,0,0,'Données projet'!$E$9+1,1))-AVERAGE(OFFSET($H$3,0,0,'Données projet'!$E$9+1,1))</f>
        <v>539.2446452106276</v>
      </c>
      <c r="T126" s="62">
        <f t="shared" si="88"/>
        <v>596.73830276071465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135.62020127724222</v>
      </c>
      <c r="AA126" s="23">
        <f>EXP(-LN(2)/25)*AA125+(1-EXP(-LN(2)/25))/(LN(2)/25)*Calculateur!V126*Calculateur!X126*VLOOKUP('Données projet'!$B$9,Paramètres!$A$1:$I$89,3,0)*0.475*44/12</f>
        <v>14.810068637530913</v>
      </c>
      <c r="AB126" s="23">
        <f>EXP(-LN(2)/2)*AB125+(1-EXP(-LN(2)/2))/(LN(2)/2)*V126*Y126*VLOOKUP('Données projet'!$B$9,Paramètres!$A$1:$I$89,3,0)*0.475*44/12</f>
        <v>8.8177135245463487E-8</v>
      </c>
      <c r="AC126" s="24">
        <f t="shared" si="57"/>
        <v>150.43027000295027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3.1036506698001178E-14</v>
      </c>
      <c r="AK126" s="14">
        <f t="shared" si="89"/>
        <v>5.3428243983771088E-13</v>
      </c>
      <c r="AL126" s="22">
        <f t="shared" si="58"/>
        <v>9.8459716521636505E-13</v>
      </c>
      <c r="AM126" s="62">
        <f t="shared" si="59"/>
        <v>293.33333333333428</v>
      </c>
      <c r="AN126" s="62">
        <f ca="1">AVERAGE(OFFSET($AM$3,0,0,'Données projet'!$E$10+1,1))-AVERAGE(OFFSET($H$3,0,0,'Données projet'!$E$10+1,1))</f>
        <v>262.6671000229498</v>
      </c>
      <c r="AO126" s="62">
        <f t="shared" si="90"/>
        <v>289.30432245776024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76.588165954869979</v>
      </c>
      <c r="AV126" s="23">
        <f>EXP(-LN(2)/25)*AV125+(1-EXP(-LN(2)/25))/(LN(2)/25)*Calculateur!AQ126*Calculateur!AS126*VLOOKUP('Données projet'!$B$10,Paramètres!$A$1:$I$89,3,0)*0.475*44/12</f>
        <v>11.79400942742614</v>
      </c>
      <c r="AW126" s="23">
        <f>EXP(-LN(2)/2)*AW125+(1-EXP(-LN(2)/2))/(LN(2)/2)*AQ126*AT126*VLOOKUP('Données projet'!$B$10,Paramètres!$A$1:$I$89,3,0)*0.475*44/12</f>
        <v>7.5710877243033032E-6</v>
      </c>
      <c r="AX126" s="23">
        <f t="shared" si="60"/>
        <v>88.382182953383833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268.27008134105046</v>
      </c>
      <c r="CZ126" s="62">
        <f t="shared" si="96"/>
        <v>252.36274686619709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71.563736487683315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71.563736487683315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>
        <f>DO126*VLOOKUP('Données projet'!$B$14,Paramètres!$A$1:$I$89,3,0)*VLOOKUP('Données projet'!$B$14,Paramètres!$A$1:$I$89,5,0)</f>
        <v>0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279.49721661620544</v>
      </c>
      <c r="DU126" s="62">
        <f t="shared" si="98"/>
        <v>275.18739333988754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62.878164861146942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62.878164861146942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394.11074988418096</v>
      </c>
      <c r="EP126" s="62">
        <f t="shared" si="100"/>
        <v>241.85593029696236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160.79947373999005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160.79947373999005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4.5474735088646412E-13</v>
      </c>
      <c r="O127" s="14">
        <f>N127*VLOOKUP('Données projet'!$B$9,Paramètres!$A$1:$I$89,3,0)*VLOOKUP('Données projet'!$B$9,Paramètres!$A$1:$I$89,5,0)</f>
        <v>2.5420376914553347E-13</v>
      </c>
      <c r="P127" s="14">
        <f t="shared" si="87"/>
        <v>3.4258699088369875E-12</v>
      </c>
      <c r="Q127" s="22">
        <f t="shared" si="107"/>
        <v>6.4094616558195571E-12</v>
      </c>
      <c r="R127" s="62">
        <f t="shared" si="55"/>
        <v>293.33333333333974</v>
      </c>
      <c r="S127" s="62">
        <f ca="1">AVERAGE(OFFSET($R$3,0,0,'Données projet'!$E$9+1,1))-AVERAGE(OFFSET($H$3,0,0,'Données projet'!$E$9+1,1))</f>
        <v>539.2446452106276</v>
      </c>
      <c r="T127" s="62">
        <f t="shared" si="88"/>
        <v>596.73830276071465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132.96077185035034</v>
      </c>
      <c r="AA127" s="23">
        <f>EXP(-LN(2)/25)*AA126+(1-EXP(-LN(2)/25))/(LN(2)/25)*Calculateur!V127*Calculateur!X127*VLOOKUP('Données projet'!$B$9,Paramètres!$A$1:$I$89,3,0)*0.475*44/12</f>
        <v>14.405086531809969</v>
      </c>
      <c r="AB127" s="23">
        <f>EXP(-LN(2)/2)*AB126+(1-EXP(-LN(2)/2))/(LN(2)/2)*V127*Y127*VLOOKUP('Données projet'!$B$9,Paramètres!$A$1:$I$89,3,0)*0.475*44/12</f>
        <v>6.2350650277670557E-8</v>
      </c>
      <c r="AC127" s="24">
        <f t="shared" si="57"/>
        <v>147.36585844451093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3.1036506698001178E-14</v>
      </c>
      <c r="AK127" s="14">
        <f t="shared" si="89"/>
        <v>5.3428243983771088E-13</v>
      </c>
      <c r="AL127" s="22">
        <f t="shared" si="58"/>
        <v>9.8459716521636505E-13</v>
      </c>
      <c r="AM127" s="62">
        <f t="shared" si="59"/>
        <v>293.33333333333428</v>
      </c>
      <c r="AN127" s="62">
        <f ca="1">AVERAGE(OFFSET($AM$3,0,0,'Données projet'!$E$10+1,1))-AVERAGE(OFFSET($H$3,0,0,'Données projet'!$E$10+1,1))</f>
        <v>262.6671000229498</v>
      </c>
      <c r="AO127" s="62">
        <f t="shared" si="90"/>
        <v>289.30432245776024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75.086318734663564</v>
      </c>
      <c r="AV127" s="23">
        <f>EXP(-LN(2)/25)*AV126+(1-EXP(-LN(2)/25))/(LN(2)/25)*Calculateur!AQ127*Calculateur!AS127*VLOOKUP('Données projet'!$B$10,Paramètres!$A$1:$I$89,3,0)*0.475*44/12</f>
        <v>11.471501619413171</v>
      </c>
      <c r="AW127" s="23">
        <f>EXP(-LN(2)/2)*AW126+(1-EXP(-LN(2)/2))/(LN(2)/2)*AQ127*AT127*VLOOKUP('Données projet'!$B$10,Paramètres!$A$1:$I$89,3,0)*0.475*44/12</f>
        <v>5.3535674708130922E-6</v>
      </c>
      <c r="AX127" s="23">
        <f t="shared" si="60"/>
        <v>86.557825707644213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268.27008134105046</v>
      </c>
      <c r="CZ127" s="62">
        <f t="shared" si="96"/>
        <v>252.36274686619709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70.160415264729068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70.160415264729068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>
        <f>DO127*VLOOKUP('Données projet'!$B$14,Paramètres!$A$1:$I$89,3,0)*VLOOKUP('Données projet'!$B$14,Paramètres!$A$1:$I$89,5,0)</f>
        <v>0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279.49721661620544</v>
      </c>
      <c r="DU127" s="62">
        <f t="shared" si="98"/>
        <v>275.18739333988754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61.645162400113477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61.645162400113477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394.11074988418096</v>
      </c>
      <c r="EP127" s="62">
        <f t="shared" si="100"/>
        <v>241.85593029696236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157.64629413794341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157.64629413794341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4.5474735088646412E-13</v>
      </c>
      <c r="O128" s="14">
        <f>N128*VLOOKUP('Données projet'!$B$9,Paramètres!$A$1:$I$89,3,0)*VLOOKUP('Données projet'!$B$9,Paramètres!$A$1:$I$89,5,0)</f>
        <v>2.5420376914553347E-13</v>
      </c>
      <c r="P128" s="14">
        <f t="shared" si="87"/>
        <v>3.4258699088369875E-12</v>
      </c>
      <c r="Q128" s="22">
        <f t="shared" si="107"/>
        <v>6.4094616558195571E-12</v>
      </c>
      <c r="R128" s="62">
        <f t="shared" si="55"/>
        <v>293.33333333333974</v>
      </c>
      <c r="S128" s="62">
        <f ca="1">AVERAGE(OFFSET($R$3,0,0,'Données projet'!$E$9+1,1))-AVERAGE(OFFSET($H$3,0,0,'Données projet'!$E$9+1,1))</f>
        <v>539.2446452106276</v>
      </c>
      <c r="T128" s="62">
        <f t="shared" si="88"/>
        <v>596.73830276071465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130.35349221242802</v>
      </c>
      <c r="AA128" s="23">
        <f>EXP(-LN(2)/25)*AA127+(1-EXP(-LN(2)/25))/(LN(2)/25)*Calculateur!V128*Calculateur!X128*VLOOKUP('Données projet'!$B$9,Paramètres!$A$1:$I$89,3,0)*0.475*44/12</f>
        <v>14.011178683067048</v>
      </c>
      <c r="AB128" s="23">
        <f>EXP(-LN(2)/2)*AB127+(1-EXP(-LN(2)/2))/(LN(2)/2)*V128*Y128*VLOOKUP('Données projet'!$B$9,Paramètres!$A$1:$I$89,3,0)*0.475*44/12</f>
        <v>4.4088567622731744E-8</v>
      </c>
      <c r="AC128" s="24">
        <f t="shared" si="57"/>
        <v>144.36467093958365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3.1036506698001178E-14</v>
      </c>
      <c r="AK128" s="14">
        <f t="shared" si="89"/>
        <v>5.3428243983771088E-13</v>
      </c>
      <c r="AL128" s="22">
        <f t="shared" si="58"/>
        <v>9.8459716521636505E-13</v>
      </c>
      <c r="AM128" s="62">
        <f t="shared" si="59"/>
        <v>293.33333333333428</v>
      </c>
      <c r="AN128" s="62">
        <f ca="1">AVERAGE(OFFSET($AM$3,0,0,'Données projet'!$E$10+1,1))-AVERAGE(OFFSET($H$3,0,0,'Données projet'!$E$10+1,1))</f>
        <v>262.6671000229498</v>
      </c>
      <c r="AO128" s="62">
        <f t="shared" si="90"/>
        <v>289.30432245776024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73.613921822409054</v>
      </c>
      <c r="AV128" s="23">
        <f>EXP(-LN(2)/25)*AV127+(1-EXP(-LN(2)/25))/(LN(2)/25)*Calculateur!AQ128*Calculateur!AS128*VLOOKUP('Données projet'!$B$10,Paramètres!$A$1:$I$89,3,0)*0.475*44/12</f>
        <v>11.157812804370266</v>
      </c>
      <c r="AW128" s="23">
        <f>EXP(-LN(2)/2)*AW127+(1-EXP(-LN(2)/2))/(LN(2)/2)*AQ128*AT128*VLOOKUP('Données projet'!$B$10,Paramètres!$A$1:$I$89,3,0)*0.475*44/12</f>
        <v>3.785543862151652E-6</v>
      </c>
      <c r="AX128" s="23">
        <f t="shared" si="60"/>
        <v>84.771738412323188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268.27008134105046</v>
      </c>
      <c r="CZ128" s="62">
        <f t="shared" si="96"/>
        <v>252.36274686619709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68.784612315015522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68.784612315015522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>
        <f>DO128*VLOOKUP('Données projet'!$B$14,Paramètres!$A$1:$I$89,3,0)*VLOOKUP('Données projet'!$B$14,Paramètres!$A$1:$I$89,5,0)</f>
        <v>0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279.49721661620544</v>
      </c>
      <c r="DU128" s="62">
        <f t="shared" si="98"/>
        <v>275.18739333988754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60.436338365283639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60.436338365283639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394.11074988418096</v>
      </c>
      <c r="EP128" s="62">
        <f t="shared" si="100"/>
        <v>241.85593029696236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154.55494646464328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154.55494646464328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4.5474735088646412E-13</v>
      </c>
      <c r="O129" s="14">
        <f>N129*VLOOKUP('Données projet'!$B$9,Paramètres!$A$1:$I$89,3,0)*VLOOKUP('Données projet'!$B$9,Paramètres!$A$1:$I$89,5,0)</f>
        <v>2.5420376914553347E-13</v>
      </c>
      <c r="P129" s="14">
        <f t="shared" si="87"/>
        <v>3.4258699088369875E-12</v>
      </c>
      <c r="Q129" s="22">
        <f t="shared" si="107"/>
        <v>6.4094616558195571E-12</v>
      </c>
      <c r="R129" s="62">
        <f t="shared" si="55"/>
        <v>293.33333333333974</v>
      </c>
      <c r="S129" s="62">
        <f ca="1">AVERAGE(OFFSET($R$3,0,0,'Données projet'!$E$9+1,1))-AVERAGE(OFFSET($H$3,0,0,'Données projet'!$E$9+1,1))</f>
        <v>539.2446452106276</v>
      </c>
      <c r="T129" s="62">
        <f t="shared" si="88"/>
        <v>596.73830276071465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127.79733973792182</v>
      </c>
      <c r="AA129" s="23">
        <f>EXP(-LN(2)/25)*AA128+(1-EXP(-LN(2)/25))/(LN(2)/25)*Calculateur!V129*Calculateur!X129*VLOOKUP('Données projet'!$B$9,Paramètres!$A$1:$I$89,3,0)*0.475*44/12</f>
        <v>13.628042265162716</v>
      </c>
      <c r="AB129" s="23">
        <f>EXP(-LN(2)/2)*AB128+(1-EXP(-LN(2)/2))/(LN(2)/2)*V129*Y129*VLOOKUP('Données projet'!$B$9,Paramètres!$A$1:$I$89,3,0)*0.475*44/12</f>
        <v>3.1175325138835278E-8</v>
      </c>
      <c r="AC129" s="24">
        <f t="shared" si="57"/>
        <v>141.42538203425985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3.1036506698001178E-14</v>
      </c>
      <c r="AK129" s="14">
        <f t="shared" si="89"/>
        <v>5.3428243983771088E-13</v>
      </c>
      <c r="AL129" s="22">
        <f t="shared" si="58"/>
        <v>9.8459716521636505E-13</v>
      </c>
      <c r="AM129" s="62">
        <f t="shared" si="59"/>
        <v>293.33333333333428</v>
      </c>
      <c r="AN129" s="62">
        <f ca="1">AVERAGE(OFFSET($AM$3,0,0,'Données projet'!$E$10+1,1))-AVERAGE(OFFSET($H$3,0,0,'Données projet'!$E$10+1,1))</f>
        <v>262.6671000229498</v>
      </c>
      <c r="AO129" s="62">
        <f t="shared" si="90"/>
        <v>289.30432245776024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72.170397715530413</v>
      </c>
      <c r="AV129" s="23">
        <f>EXP(-LN(2)/25)*AV128+(1-EXP(-LN(2)/25))/(LN(2)/25)*Calculateur!AQ129*Calculateur!AS129*VLOOKUP('Données projet'!$B$10,Paramètres!$A$1:$I$89,3,0)*0.475*44/12</f>
        <v>10.852701826470888</v>
      </c>
      <c r="AW129" s="23">
        <f>EXP(-LN(2)/2)*AW128+(1-EXP(-LN(2)/2))/(LN(2)/2)*AQ129*AT129*VLOOKUP('Données projet'!$B$10,Paramètres!$A$1:$I$89,3,0)*0.475*44/12</f>
        <v>2.6767837354065465E-6</v>
      </c>
      <c r="AX129" s="23">
        <f t="shared" si="60"/>
        <v>83.023102218785041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268.27008134105046</v>
      </c>
      <c r="CZ129" s="62">
        <f t="shared" si="96"/>
        <v>252.36274686619709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67.435788021988927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67.435788021988927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>
        <f>DO129*VLOOKUP('Données projet'!$B$14,Paramètres!$A$1:$I$89,3,0)*VLOOKUP('Données projet'!$B$14,Paramètres!$A$1:$I$89,5,0)</f>
        <v>0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279.49721661620544</v>
      </c>
      <c r="DU129" s="62">
        <f t="shared" si="98"/>
        <v>275.18739333988754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59.251218632466959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59.251218632466959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394.11074988418096</v>
      </c>
      <c r="EP129" s="62">
        <f t="shared" si="100"/>
        <v>241.85593029696236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151.52421823368067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151.52421823368067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4.5474735088646412E-13</v>
      </c>
      <c r="O130" s="14">
        <f>N130*VLOOKUP('Données projet'!$B$9,Paramètres!$A$1:$I$89,3,0)*VLOOKUP('Données projet'!$B$9,Paramètres!$A$1:$I$89,5,0)</f>
        <v>2.5420376914553347E-13</v>
      </c>
      <c r="P130" s="14">
        <f t="shared" si="87"/>
        <v>3.4258699088369875E-12</v>
      </c>
      <c r="Q130" s="22">
        <f t="shared" si="107"/>
        <v>6.4094616558195571E-12</v>
      </c>
      <c r="R130" s="62">
        <f t="shared" si="55"/>
        <v>293.33333333333974</v>
      </c>
      <c r="S130" s="62">
        <f ca="1">AVERAGE(OFFSET($R$3,0,0,'Données projet'!$E$9+1,1))-AVERAGE(OFFSET($H$3,0,0,'Données projet'!$E$9+1,1))</f>
        <v>539.2446452106276</v>
      </c>
      <c r="T130" s="62">
        <f t="shared" si="88"/>
        <v>596.73830276071465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125.29131185434161</v>
      </c>
      <c r="AA130" s="23">
        <f>EXP(-LN(2)/25)*AA129+(1-EXP(-LN(2)/25))/(LN(2)/25)*Calculateur!V130*Calculateur!X130*VLOOKUP('Données projet'!$B$9,Paramètres!$A$1:$I$89,3,0)*0.475*44/12</f>
        <v>13.255382732754246</v>
      </c>
      <c r="AB130" s="23">
        <f>EXP(-LN(2)/2)*AB129+(1-EXP(-LN(2)/2))/(LN(2)/2)*V130*Y130*VLOOKUP('Données projet'!$B$9,Paramètres!$A$1:$I$89,3,0)*0.475*44/12</f>
        <v>2.2044283811365872E-8</v>
      </c>
      <c r="AC130" s="24">
        <f t="shared" si="57"/>
        <v>138.54669460914013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3.1036506698001178E-14</v>
      </c>
      <c r="AK130" s="14">
        <f t="shared" si="89"/>
        <v>5.3428243983771088E-13</v>
      </c>
      <c r="AL130" s="22">
        <f t="shared" si="58"/>
        <v>9.8459716521636505E-13</v>
      </c>
      <c r="AM130" s="62">
        <f t="shared" si="59"/>
        <v>293.33333333333428</v>
      </c>
      <c r="AN130" s="62">
        <f ca="1">AVERAGE(OFFSET($AM$3,0,0,'Données projet'!$E$10+1,1))-AVERAGE(OFFSET($H$3,0,0,'Données projet'!$E$10+1,1))</f>
        <v>262.6671000229498</v>
      </c>
      <c r="AO130" s="62">
        <f t="shared" si="90"/>
        <v>289.30432245776024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70.755180235924897</v>
      </c>
      <c r="AV130" s="23">
        <f>EXP(-LN(2)/25)*AV129+(1-EXP(-LN(2)/25))/(LN(2)/25)*Calculateur!AQ130*Calculateur!AS130*VLOOKUP('Données projet'!$B$10,Paramètres!$A$1:$I$89,3,0)*0.475*44/12</f>
        <v>10.555934124307257</v>
      </c>
      <c r="AW130" s="23">
        <f>EXP(-LN(2)/2)*AW129+(1-EXP(-LN(2)/2))/(LN(2)/2)*AQ130*AT130*VLOOKUP('Données projet'!$B$10,Paramètres!$A$1:$I$89,3,0)*0.475*44/12</f>
        <v>1.8927719310758264E-6</v>
      </c>
      <c r="AX130" s="23">
        <f t="shared" si="60"/>
        <v>81.311116253004087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268.27008134105046</v>
      </c>
      <c r="CZ130" s="62">
        <f t="shared" si="96"/>
        <v>252.36274686619709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66.113413350646994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66.113413350646994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>
        <f>DO130*VLOOKUP('Données projet'!$B$14,Paramètres!$A$1:$I$89,3,0)*VLOOKUP('Données projet'!$B$14,Paramètres!$A$1:$I$89,5,0)</f>
        <v>0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279.49721661620544</v>
      </c>
      <c r="DU130" s="62">
        <f t="shared" si="98"/>
        <v>275.18739333988754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58.089338374759151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58.089338374759151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394.11074988418096</v>
      </c>
      <c r="EP130" s="62">
        <f t="shared" si="100"/>
        <v>241.85593029696236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148.55292073476554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148.55292073476554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4.5474735088646412E-13</v>
      </c>
      <c r="O131" s="14">
        <f>N131*VLOOKUP('Données projet'!$B$9,Paramètres!$A$1:$I$89,3,0)*VLOOKUP('Données projet'!$B$9,Paramètres!$A$1:$I$89,5,0)</f>
        <v>2.5420376914553347E-13</v>
      </c>
      <c r="P131" s="14">
        <f t="shared" si="87"/>
        <v>3.4258699088369875E-12</v>
      </c>
      <c r="Q131" s="22">
        <f t="shared" ref="Q131:Q153" si="108">(O131+P131)*0.475*44/12</f>
        <v>6.4094616558195571E-12</v>
      </c>
      <c r="R131" s="62">
        <f t="shared" ref="R131:R194" si="109">Q131+(I131+J131)*44/12</f>
        <v>293.33333333333974</v>
      </c>
      <c r="S131" s="62">
        <f ca="1">AVERAGE(OFFSET($R$3,0,0,'Données projet'!$E$9+1,1))-AVERAGE(OFFSET($H$3,0,0,'Données projet'!$E$9+1,1))</f>
        <v>539.2446452106276</v>
      </c>
      <c r="T131" s="62">
        <f t="shared" si="88"/>
        <v>596.73830276071465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122.83442564903234</v>
      </c>
      <c r="AA131" s="23">
        <f>EXP(-LN(2)/25)*AA130+(1-EXP(-LN(2)/25))/(LN(2)/25)*Calculateur!V131*Calculateur!X131*VLOOKUP('Données projet'!$B$9,Paramètres!$A$1:$I$89,3,0)*0.475*44/12</f>
        <v>12.892913594856799</v>
      </c>
      <c r="AB131" s="23">
        <f>EXP(-LN(2)/2)*AB130+(1-EXP(-LN(2)/2))/(LN(2)/2)*V131*Y131*VLOOKUP('Données projet'!$B$9,Paramètres!$A$1:$I$89,3,0)*0.475*44/12</f>
        <v>1.5587662569417639E-8</v>
      </c>
      <c r="AC131" s="24">
        <f t="shared" si="57"/>
        <v>135.72733925947679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3.1036506698001178E-14</v>
      </c>
      <c r="AK131" s="14">
        <f t="shared" si="89"/>
        <v>5.3428243983771088E-13</v>
      </c>
      <c r="AL131" s="22">
        <f t="shared" si="58"/>
        <v>9.8459716521636505E-13</v>
      </c>
      <c r="AM131" s="62">
        <f t="shared" si="59"/>
        <v>293.33333333333428</v>
      </c>
      <c r="AN131" s="62">
        <f ca="1">AVERAGE(OFFSET($AM$3,0,0,'Données projet'!$E$10+1,1))-AVERAGE(OFFSET($H$3,0,0,'Données projet'!$E$10+1,1))</f>
        <v>262.6671000229498</v>
      </c>
      <c r="AO131" s="62">
        <f t="shared" si="90"/>
        <v>289.30432245776024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69.367714307897018</v>
      </c>
      <c r="AV131" s="23">
        <f>EXP(-LN(2)/25)*AV130+(1-EXP(-LN(2)/25))/(LN(2)/25)*Calculateur!AQ131*Calculateur!AS131*VLOOKUP('Données projet'!$B$10,Paramètres!$A$1:$I$89,3,0)*0.475*44/12</f>
        <v>10.267281550565626</v>
      </c>
      <c r="AW131" s="23">
        <f>EXP(-LN(2)/2)*AW130+(1-EXP(-LN(2)/2))/(LN(2)/2)*AQ131*AT131*VLOOKUP('Données projet'!$B$10,Paramètres!$A$1:$I$89,3,0)*0.475*44/12</f>
        <v>1.3383918677032735E-6</v>
      </c>
      <c r="AX131" s="23">
        <f t="shared" si="60"/>
        <v>79.634997196854513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268.27008134105046</v>
      </c>
      <c r="CZ131" s="62">
        <f t="shared" si="96"/>
        <v>252.36274686619709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64.816969640041165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64.816969640041165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>
        <f>DO131*VLOOKUP('Données projet'!$B$14,Paramètres!$A$1:$I$89,3,0)*VLOOKUP('Données projet'!$B$14,Paramètres!$A$1:$I$89,5,0)</f>
        <v>0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279.49721661620544</v>
      </c>
      <c r="DU131" s="62">
        <f t="shared" si="98"/>
        <v>275.18739333988754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56.950241880228013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56.950241880228013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394.11074988418096</v>
      </c>
      <c r="EP131" s="62">
        <f t="shared" si="100"/>
        <v>241.85593029696236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145.6398885674916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145.6398885674916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4.5474735088646412E-13</v>
      </c>
      <c r="O132" s="14">
        <f>N132*VLOOKUP('Données projet'!$B$9,Paramètres!$A$1:$I$89,3,0)*VLOOKUP('Données projet'!$B$9,Paramètres!$A$1:$I$89,5,0)</f>
        <v>2.5420376914553347E-13</v>
      </c>
      <c r="P132" s="14">
        <f t="shared" si="87"/>
        <v>3.4258699088369875E-12</v>
      </c>
      <c r="Q132" s="22">
        <f t="shared" si="108"/>
        <v>6.4094616558195571E-12</v>
      </c>
      <c r="R132" s="62">
        <f t="shared" si="109"/>
        <v>293.33333333333974</v>
      </c>
      <c r="S132" s="62">
        <f ca="1">AVERAGE(OFFSET($R$3,0,0,'Données projet'!$E$9+1,1))-AVERAGE(OFFSET($H$3,0,0,'Données projet'!$E$9+1,1))</f>
        <v>539.2446452106276</v>
      </c>
      <c r="T132" s="62">
        <f t="shared" si="88"/>
        <v>596.73830276071465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120.42571748365657</v>
      </c>
      <c r="AA132" s="23">
        <f>EXP(-LN(2)/25)*AA131+(1-EXP(-LN(2)/25))/(LN(2)/25)*Calculateur!V132*Calculateur!X132*VLOOKUP('Données projet'!$B$9,Paramètres!$A$1:$I$89,3,0)*0.475*44/12</f>
        <v>12.54035619459658</v>
      </c>
      <c r="AB132" s="23">
        <f>EXP(-LN(2)/2)*AB131+(1-EXP(-LN(2)/2))/(LN(2)/2)*V132*Y132*VLOOKUP('Données projet'!$B$9,Paramètres!$A$1:$I$89,3,0)*0.475*44/12</f>
        <v>1.1022141905682936E-8</v>
      </c>
      <c r="AC132" s="24">
        <f t="shared" ref="AC132:AC153" si="111">SUM(Z132:AB132)</f>
        <v>132.96607368927528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3.1036506698001178E-14</v>
      </c>
      <c r="AK132" s="14">
        <f t="shared" si="89"/>
        <v>5.3428243983771088E-13</v>
      </c>
      <c r="AL132" s="22">
        <f t="shared" ref="AL132:AL153" si="112">(AJ132+AK132)*0.475*44/12</f>
        <v>9.8459716521636505E-13</v>
      </c>
      <c r="AM132" s="62">
        <f t="shared" ref="AM132:AM195" si="113">AL132+(AD132+AE132)*44/12</f>
        <v>293.33333333333428</v>
      </c>
      <c r="AN132" s="62">
        <f ca="1">AVERAGE(OFFSET($AM$3,0,0,'Données projet'!$E$10+1,1))-AVERAGE(OFFSET($H$3,0,0,'Données projet'!$E$10+1,1))</f>
        <v>262.6671000229498</v>
      </c>
      <c r="AO132" s="62">
        <f t="shared" si="90"/>
        <v>289.30432245776024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68.007455740447114</v>
      </c>
      <c r="AV132" s="23">
        <f>EXP(-LN(2)/25)*AV131+(1-EXP(-LN(2)/25))/(LN(2)/25)*Calculateur!AQ132*Calculateur!AS132*VLOOKUP('Données projet'!$B$10,Paramètres!$A$1:$I$89,3,0)*0.475*44/12</f>
        <v>9.9865221966325386</v>
      </c>
      <c r="AW132" s="23">
        <f>EXP(-LN(2)/2)*AW131+(1-EXP(-LN(2)/2))/(LN(2)/2)*AQ132*AT132*VLOOKUP('Données projet'!$B$10,Paramètres!$A$1:$I$89,3,0)*0.475*44/12</f>
        <v>9.4638596553791332E-7</v>
      </c>
      <c r="AX132" s="23">
        <f t="shared" ref="AX132:AX153" si="114">SUM(AU132:AW132)</f>
        <v>77.993978883465616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268.27008134105046</v>
      </c>
      <c r="CZ132" s="62">
        <f t="shared" si="96"/>
        <v>252.36274686619709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63.545948399847738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63.545948399847738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>
        <f>DO132*VLOOKUP('Données projet'!$B$14,Paramètres!$A$1:$I$89,3,0)*VLOOKUP('Données projet'!$B$14,Paramètres!$A$1:$I$89,5,0)</f>
        <v>0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279.49721661620544</v>
      </c>
      <c r="DU132" s="62">
        <f t="shared" si="98"/>
        <v>275.18739333988754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55.83348237317437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55.83348237317437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394.11074988418096</v>
      </c>
      <c r="EP132" s="62">
        <f t="shared" si="100"/>
        <v>241.85593029696236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142.78397918424372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142.78397918424372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4.5474735088646412E-13</v>
      </c>
      <c r="O133" s="14">
        <f>N133*VLOOKUP('Données projet'!$B$9,Paramètres!$A$1:$I$89,3,0)*VLOOKUP('Données projet'!$B$9,Paramètres!$A$1:$I$89,5,0)</f>
        <v>2.5420376914553347E-13</v>
      </c>
      <c r="P133" s="14">
        <f t="shared" ref="P133:P196" si="141">EXP(-1.0587+0.8836*LN(O133)+0.284)</f>
        <v>3.4258699088369875E-12</v>
      </c>
      <c r="Q133" s="22">
        <f t="shared" si="108"/>
        <v>6.4094616558195571E-12</v>
      </c>
      <c r="R133" s="62">
        <f t="shared" si="109"/>
        <v>293.33333333333974</v>
      </c>
      <c r="S133" s="62">
        <f ca="1">AVERAGE(OFFSET($R$3,0,0,'Données projet'!$E$9+1,1))-AVERAGE(OFFSET($H$3,0,0,'Données projet'!$E$9+1,1))</f>
        <v>539.2446452106276</v>
      </c>
      <c r="T133" s="62">
        <f t="shared" ref="T133:T196" si="142">$T$3</f>
        <v>596.73830276071465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118.06424261623691</v>
      </c>
      <c r="AA133" s="23">
        <f>EXP(-LN(2)/25)*AA132+(1-EXP(-LN(2)/25))/(LN(2)/25)*Calculateur!V133*Calculateur!X133*VLOOKUP('Données projet'!$B$9,Paramètres!$A$1:$I$89,3,0)*0.475*44/12</f>
        <v>12.197439494986666</v>
      </c>
      <c r="AB133" s="23">
        <f>EXP(-LN(2)/2)*AB132+(1-EXP(-LN(2)/2))/(LN(2)/2)*V133*Y133*VLOOKUP('Données projet'!$B$9,Paramètres!$A$1:$I$89,3,0)*0.475*44/12</f>
        <v>7.7938312847088196E-9</v>
      </c>
      <c r="AC133" s="24">
        <f t="shared" si="111"/>
        <v>130.26168211901739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3.1036506698001178E-14</v>
      </c>
      <c r="AK133" s="14">
        <f t="shared" ref="AK133:AK153" si="143">EXP(-1.0587+0.8836*LN(AJ133)+0.284)</f>
        <v>5.3428243983771088E-13</v>
      </c>
      <c r="AL133" s="22">
        <f t="shared" si="112"/>
        <v>9.8459716521636505E-13</v>
      </c>
      <c r="AM133" s="62">
        <f t="shared" si="113"/>
        <v>293.33333333333428</v>
      </c>
      <c r="AN133" s="62">
        <f ca="1">AVERAGE(OFFSET($AM$3,0,0,'Données projet'!$E$10+1,1))-AVERAGE(OFFSET($H$3,0,0,'Données projet'!$E$10+1,1))</f>
        <v>262.6671000229498</v>
      </c>
      <c r="AO133" s="62">
        <f t="shared" ref="AO133:AO196" si="144">$AO$3</f>
        <v>289.30432245776024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66.6738710138291</v>
      </c>
      <c r="AV133" s="23">
        <f>EXP(-LN(2)/25)*AV132+(1-EXP(-LN(2)/25))/(LN(2)/25)*Calculateur!AQ133*Calculateur!AS133*VLOOKUP('Données projet'!$B$10,Paramètres!$A$1:$I$89,3,0)*0.475*44/12</f>
        <v>9.713440221997244</v>
      </c>
      <c r="AW133" s="23">
        <f>EXP(-LN(2)/2)*AW132+(1-EXP(-LN(2)/2))/(LN(2)/2)*AQ133*AT133*VLOOKUP('Données projet'!$B$10,Paramètres!$A$1:$I$89,3,0)*0.475*44/12</f>
        <v>6.6919593385163684E-7</v>
      </c>
      <c r="AX133" s="23">
        <f t="shared" si="114"/>
        <v>76.387311905022273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268.27008134105046</v>
      </c>
      <c r="CZ133" s="62">
        <f t="shared" ref="CZ133:CZ196" si="150">$CZ$3</f>
        <v>252.36274686619709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62.299851110928095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62.299851110928095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>
        <f>DO133*VLOOKUP('Données projet'!$B$14,Paramètres!$A$1:$I$89,3,0)*VLOOKUP('Données projet'!$B$14,Paramètres!$A$1:$I$89,5,0)</f>
        <v>0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279.49721661620544</v>
      </c>
      <c r="DU133" s="62">
        <f t="shared" ref="DU133:DU196" si="152">$DU$3</f>
        <v>275.18739333988754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54.738621838898013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54.738621838898013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394.11074988418096</v>
      </c>
      <c r="EP133" s="62">
        <f t="shared" ref="EP133:EP196" si="154">$EP$3</f>
        <v>241.85593029696236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139.98407244206862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139.98407244206862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4.5474735088646412E-13</v>
      </c>
      <c r="O134" s="14">
        <f>N134*VLOOKUP('Données projet'!$B$9,Paramètres!$A$1:$I$89,3,0)*VLOOKUP('Données projet'!$B$9,Paramètres!$A$1:$I$89,5,0)</f>
        <v>2.5420376914553347E-13</v>
      </c>
      <c r="P134" s="14">
        <f t="shared" si="141"/>
        <v>3.4258699088369875E-12</v>
      </c>
      <c r="Q134" s="22">
        <f t="shared" si="108"/>
        <v>6.4094616558195571E-12</v>
      </c>
      <c r="R134" s="62">
        <f t="shared" si="109"/>
        <v>293.33333333333974</v>
      </c>
      <c r="S134" s="62">
        <f ca="1">AVERAGE(OFFSET($R$3,0,0,'Données projet'!$E$9+1,1))-AVERAGE(OFFSET($H$3,0,0,'Données projet'!$E$9+1,1))</f>
        <v>539.2446452106276</v>
      </c>
      <c r="T134" s="62">
        <f t="shared" si="142"/>
        <v>596.73830276071465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115.7490748306099</v>
      </c>
      <c r="AA134" s="23">
        <f>EXP(-LN(2)/25)*AA133+(1-EXP(-LN(2)/25))/(LN(2)/25)*Calculateur!V134*Calculateur!X134*VLOOKUP('Données projet'!$B$9,Paramètres!$A$1:$I$89,3,0)*0.475*44/12</f>
        <v>11.86389987056079</v>
      </c>
      <c r="AB134" s="23">
        <f>EXP(-LN(2)/2)*AB133+(1-EXP(-LN(2)/2))/(LN(2)/2)*V134*Y134*VLOOKUP('Données projet'!$B$9,Paramètres!$A$1:$I$89,3,0)*0.475*44/12</f>
        <v>5.5110709528414679E-9</v>
      </c>
      <c r="AC134" s="24">
        <f t="shared" si="111"/>
        <v>127.61297470668175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3.1036506698001178E-14</v>
      </c>
      <c r="AK134" s="14">
        <f t="shared" si="143"/>
        <v>5.3428243983771088E-13</v>
      </c>
      <c r="AL134" s="22">
        <f t="shared" si="112"/>
        <v>9.8459716521636505E-13</v>
      </c>
      <c r="AM134" s="62">
        <f t="shared" si="113"/>
        <v>293.33333333333428</v>
      </c>
      <c r="AN134" s="62">
        <f ca="1">AVERAGE(OFFSET($AM$3,0,0,'Données projet'!$E$10+1,1))-AVERAGE(OFFSET($H$3,0,0,'Données projet'!$E$10+1,1))</f>
        <v>262.6671000229498</v>
      </c>
      <c r="AO134" s="62">
        <f t="shared" si="144"/>
        <v>289.30432245776024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65.366437070293699</v>
      </c>
      <c r="AV134" s="23">
        <f>EXP(-LN(2)/25)*AV133+(1-EXP(-LN(2)/25))/(LN(2)/25)*Calculateur!AQ134*Calculateur!AS134*VLOOKUP('Données projet'!$B$10,Paramètres!$A$1:$I$89,3,0)*0.475*44/12</f>
        <v>9.4478256883191083</v>
      </c>
      <c r="AW134" s="23">
        <f>EXP(-LN(2)/2)*AW133+(1-EXP(-LN(2)/2))/(LN(2)/2)*AQ134*AT134*VLOOKUP('Données projet'!$B$10,Paramètres!$A$1:$I$89,3,0)*0.475*44/12</f>
        <v>4.7319298276895671E-7</v>
      </c>
      <c r="AX134" s="23">
        <f t="shared" si="114"/>
        <v>74.814263231805796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268.27008134105046</v>
      </c>
      <c r="CZ134" s="62">
        <f t="shared" si="150"/>
        <v>252.36274686619709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61.078189029799866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61.078189029799866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>
        <f>DO134*VLOOKUP('Données projet'!$B$14,Paramètres!$A$1:$I$89,3,0)*VLOOKUP('Données projet'!$B$14,Paramètres!$A$1:$I$89,5,0)</f>
        <v>0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279.49721661620544</v>
      </c>
      <c r="DU134" s="62">
        <f t="shared" si="152"/>
        <v>275.18739333988754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53.665230851899828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53.665230851899828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394.11074988418096</v>
      </c>
      <c r="EP134" s="62">
        <f t="shared" si="154"/>
        <v>241.85593029696236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137.23907016333308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137.23907016333308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4.5474735088646412E-13</v>
      </c>
      <c r="O135" s="14">
        <f>N135*VLOOKUP('Données projet'!$B$9,Paramètres!$A$1:$I$89,3,0)*VLOOKUP('Données projet'!$B$9,Paramètres!$A$1:$I$89,5,0)</f>
        <v>2.5420376914553347E-13</v>
      </c>
      <c r="P135" s="14">
        <f t="shared" si="141"/>
        <v>3.4258699088369875E-12</v>
      </c>
      <c r="Q135" s="22">
        <f t="shared" si="108"/>
        <v>6.4094616558195571E-12</v>
      </c>
      <c r="R135" s="62">
        <f t="shared" si="109"/>
        <v>293.33333333333974</v>
      </c>
      <c r="S135" s="62">
        <f ca="1">AVERAGE(OFFSET($R$3,0,0,'Données projet'!$E$9+1,1))-AVERAGE(OFFSET($H$3,0,0,'Données projet'!$E$9+1,1))</f>
        <v>539.2446452106276</v>
      </c>
      <c r="T135" s="62">
        <f t="shared" si="142"/>
        <v>596.73830276071465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113.47930607314612</v>
      </c>
      <c r="AA135" s="23">
        <f>EXP(-LN(2)/25)*AA134+(1-EXP(-LN(2)/25))/(LN(2)/25)*Calculateur!V135*Calculateur!X135*VLOOKUP('Données projet'!$B$9,Paramètres!$A$1:$I$89,3,0)*0.475*44/12</f>
        <v>11.539480904704925</v>
      </c>
      <c r="AB135" s="23">
        <f>EXP(-LN(2)/2)*AB134+(1-EXP(-LN(2)/2))/(LN(2)/2)*V135*Y135*VLOOKUP('Données projet'!$B$9,Paramètres!$A$1:$I$89,3,0)*0.475*44/12</f>
        <v>3.8969156423544098E-9</v>
      </c>
      <c r="AC135" s="24">
        <f t="shared" si="111"/>
        <v>125.01878698174797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3.1036506698001178E-14</v>
      </c>
      <c r="AK135" s="14">
        <f t="shared" si="143"/>
        <v>5.3428243983771088E-13</v>
      </c>
      <c r="AL135" s="22">
        <f t="shared" si="112"/>
        <v>9.8459716521636505E-13</v>
      </c>
      <c r="AM135" s="62">
        <f t="shared" si="113"/>
        <v>293.33333333333428</v>
      </c>
      <c r="AN135" s="62">
        <f ca="1">AVERAGE(OFFSET($AM$3,0,0,'Données projet'!$E$10+1,1))-AVERAGE(OFFSET($H$3,0,0,'Données projet'!$E$10+1,1))</f>
        <v>262.6671000229498</v>
      </c>
      <c r="AO135" s="62">
        <f t="shared" si="144"/>
        <v>289.30432245776024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64.08464110893506</v>
      </c>
      <c r="AV135" s="23">
        <f>EXP(-LN(2)/25)*AV134+(1-EXP(-LN(2)/25))/(LN(2)/25)*Calculateur!AQ135*Calculateur!AS135*VLOOKUP('Données projet'!$B$10,Paramètres!$A$1:$I$89,3,0)*0.475*44/12</f>
        <v>9.1894743980324627</v>
      </c>
      <c r="AW135" s="23">
        <f>EXP(-LN(2)/2)*AW134+(1-EXP(-LN(2)/2))/(LN(2)/2)*AQ135*AT135*VLOOKUP('Données projet'!$B$10,Paramètres!$A$1:$I$89,3,0)*0.475*44/12</f>
        <v>3.3459796692581847E-7</v>
      </c>
      <c r="AX135" s="23">
        <f t="shared" si="114"/>
        <v>73.274115841565489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268.27008134105046</v>
      </c>
      <c r="CZ135" s="62">
        <f t="shared" si="150"/>
        <v>252.36274686619709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59.88048299694227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59.88048299694227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>
        <f>DO135*VLOOKUP('Données projet'!$B$14,Paramètres!$A$1:$I$89,3,0)*VLOOKUP('Données projet'!$B$14,Paramètres!$A$1:$I$89,5,0)</f>
        <v>0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279.49721661620544</v>
      </c>
      <c r="DU135" s="62">
        <f t="shared" si="152"/>
        <v>275.18739333988754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52.612888407452822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52.612888407452822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394.11074988418096</v>
      </c>
      <c r="EP135" s="62">
        <f t="shared" si="154"/>
        <v>241.85593029696236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134.54789570499747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134.54789570499747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4.5474735088646412E-13</v>
      </c>
      <c r="O136" s="14">
        <f>N136*VLOOKUP('Données projet'!$B$9,Paramètres!$A$1:$I$89,3,0)*VLOOKUP('Données projet'!$B$9,Paramètres!$A$1:$I$89,5,0)</f>
        <v>2.5420376914553347E-13</v>
      </c>
      <c r="P136" s="14">
        <f t="shared" si="141"/>
        <v>3.4258699088369875E-12</v>
      </c>
      <c r="Q136" s="22">
        <f t="shared" si="108"/>
        <v>6.4094616558195571E-12</v>
      </c>
      <c r="R136" s="62">
        <f t="shared" si="109"/>
        <v>293.33333333333974</v>
      </c>
      <c r="S136" s="62">
        <f ca="1">AVERAGE(OFFSET($R$3,0,0,'Données projet'!$E$9+1,1))-AVERAGE(OFFSET($H$3,0,0,'Données projet'!$E$9+1,1))</f>
        <v>539.2446452106276</v>
      </c>
      <c r="T136" s="62">
        <f t="shared" si="142"/>
        <v>596.73830276071465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111.25404609659397</v>
      </c>
      <c r="AA136" s="23">
        <f>EXP(-LN(2)/25)*AA135+(1-EXP(-LN(2)/25))/(LN(2)/25)*Calculateur!V136*Calculateur!X136*VLOOKUP('Données projet'!$B$9,Paramètres!$A$1:$I$89,3,0)*0.475*44/12</f>
        <v>11.223933192530842</v>
      </c>
      <c r="AB136" s="23">
        <f>EXP(-LN(2)/2)*AB135+(1-EXP(-LN(2)/2))/(LN(2)/2)*V136*Y136*VLOOKUP('Données projet'!$B$9,Paramètres!$A$1:$I$89,3,0)*0.475*44/12</f>
        <v>2.755535476420734E-9</v>
      </c>
      <c r="AC136" s="24">
        <f t="shared" si="111"/>
        <v>122.47797929188035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3.1036506698001178E-14</v>
      </c>
      <c r="AK136" s="14">
        <f t="shared" si="143"/>
        <v>5.3428243983771088E-13</v>
      </c>
      <c r="AL136" s="22">
        <f t="shared" si="112"/>
        <v>9.8459716521636505E-13</v>
      </c>
      <c r="AM136" s="62">
        <f t="shared" si="113"/>
        <v>293.33333333333428</v>
      </c>
      <c r="AN136" s="62">
        <f ca="1">AVERAGE(OFFSET($AM$3,0,0,'Données projet'!$E$10+1,1))-AVERAGE(OFFSET($H$3,0,0,'Données projet'!$E$10+1,1))</f>
        <v>262.6671000229498</v>
      </c>
      <c r="AO136" s="62">
        <f t="shared" si="144"/>
        <v>289.30432245776024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62.82798038456032</v>
      </c>
      <c r="AV136" s="23">
        <f>EXP(-LN(2)/25)*AV135+(1-EXP(-LN(2)/25))/(LN(2)/25)*Calculateur!AQ136*Calculateur!AS136*VLOOKUP('Données projet'!$B$10,Paramètres!$A$1:$I$89,3,0)*0.475*44/12</f>
        <v>8.9381877373648084</v>
      </c>
      <c r="AW136" s="23">
        <f>EXP(-LN(2)/2)*AW135+(1-EXP(-LN(2)/2))/(LN(2)/2)*AQ136*AT136*VLOOKUP('Données projet'!$B$10,Paramètres!$A$1:$I$89,3,0)*0.475*44/12</f>
        <v>2.3659649138447841E-7</v>
      </c>
      <c r="AX136" s="23">
        <f t="shared" si="114"/>
        <v>71.766168358521625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268.27008134105046</v>
      </c>
      <c r="CZ136" s="62">
        <f t="shared" si="150"/>
        <v>252.36274686619709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58.706263248860466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58.706263248860466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>
        <f>DO136*VLOOKUP('Données projet'!$B$14,Paramètres!$A$1:$I$89,3,0)*VLOOKUP('Données projet'!$B$14,Paramètres!$A$1:$I$89,5,0)</f>
        <v>0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279.49721661620544</v>
      </c>
      <c r="DU136" s="62">
        <f t="shared" si="152"/>
        <v>275.18739333988754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51.581181756475907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51.581181756475907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394.11074988418096</v>
      </c>
      <c r="EP136" s="62">
        <f t="shared" si="154"/>
        <v>241.85593029696236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131.9094935363355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131.9094935363355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4.5474735088646412E-13</v>
      </c>
      <c r="O137" s="14">
        <f>N137*VLOOKUP('Données projet'!$B$9,Paramètres!$A$1:$I$89,3,0)*VLOOKUP('Données projet'!$B$9,Paramètres!$A$1:$I$89,5,0)</f>
        <v>2.5420376914553347E-13</v>
      </c>
      <c r="P137" s="14">
        <f t="shared" si="141"/>
        <v>3.4258699088369875E-12</v>
      </c>
      <c r="Q137" s="22">
        <f t="shared" si="108"/>
        <v>6.4094616558195571E-12</v>
      </c>
      <c r="R137" s="62">
        <f t="shared" si="109"/>
        <v>293.33333333333974</v>
      </c>
      <c r="S137" s="62">
        <f ca="1">AVERAGE(OFFSET($R$3,0,0,'Données projet'!$E$9+1,1))-AVERAGE(OFFSET($H$3,0,0,'Données projet'!$E$9+1,1))</f>
        <v>539.2446452106276</v>
      </c>
      <c r="T137" s="62">
        <f t="shared" si="142"/>
        <v>596.73830276071465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109.07242211090743</v>
      </c>
      <c r="AA137" s="23">
        <f>EXP(-LN(2)/25)*AA136+(1-EXP(-LN(2)/25))/(LN(2)/25)*Calculateur!V137*Calculateur!X137*VLOOKUP('Données projet'!$B$9,Paramètres!$A$1:$I$89,3,0)*0.475*44/12</f>
        <v>10.917014149140092</v>
      </c>
      <c r="AB137" s="23">
        <f>EXP(-LN(2)/2)*AB136+(1-EXP(-LN(2)/2))/(LN(2)/2)*V137*Y137*VLOOKUP('Données projet'!$B$9,Paramètres!$A$1:$I$89,3,0)*0.475*44/12</f>
        <v>1.9484578211772049E-9</v>
      </c>
      <c r="AC137" s="24">
        <f t="shared" si="111"/>
        <v>119.98943626199598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3.1036506698001178E-14</v>
      </c>
      <c r="AK137" s="14">
        <f t="shared" si="143"/>
        <v>5.3428243983771088E-13</v>
      </c>
      <c r="AL137" s="22">
        <f t="shared" si="112"/>
        <v>9.8459716521636505E-13</v>
      </c>
      <c r="AM137" s="62">
        <f t="shared" si="113"/>
        <v>293.33333333333428</v>
      </c>
      <c r="AN137" s="62">
        <f ca="1">AVERAGE(OFFSET($AM$3,0,0,'Données projet'!$E$10+1,1))-AVERAGE(OFFSET($H$3,0,0,'Données projet'!$E$10+1,1))</f>
        <v>262.6671000229498</v>
      </c>
      <c r="AO137" s="62">
        <f t="shared" si="144"/>
        <v>289.30432245776024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61.595962010503214</v>
      </c>
      <c r="AV137" s="23">
        <f>EXP(-LN(2)/25)*AV136+(1-EXP(-LN(2)/25))/(LN(2)/25)*Calculateur!AQ137*Calculateur!AS137*VLOOKUP('Données projet'!$B$10,Paramètres!$A$1:$I$89,3,0)*0.475*44/12</f>
        <v>8.6937725236477039</v>
      </c>
      <c r="AW137" s="23">
        <f>EXP(-LN(2)/2)*AW136+(1-EXP(-LN(2)/2))/(LN(2)/2)*AQ137*AT137*VLOOKUP('Données projet'!$B$10,Paramètres!$A$1:$I$89,3,0)*0.475*44/12</f>
        <v>1.6729898346290926E-7</v>
      </c>
      <c r="AX137" s="23">
        <f t="shared" si="114"/>
        <v>70.289734701449902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268.27008134105046</v>
      </c>
      <c r="CZ137" s="62">
        <f t="shared" si="150"/>
        <v>252.36274686619709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57.555069233835219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57.555069233835219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>
        <f>DO137*VLOOKUP('Données projet'!$B$14,Paramètres!$A$1:$I$89,3,0)*VLOOKUP('Données projet'!$B$14,Paramètres!$A$1:$I$89,5,0)</f>
        <v>0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279.49721661620544</v>
      </c>
      <c r="DU137" s="62">
        <f t="shared" si="152"/>
        <v>275.18739333988754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50.569706243645726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50.569706243645726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394.11074988418096</v>
      </c>
      <c r="EP137" s="62">
        <f t="shared" si="154"/>
        <v>241.85593029696236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129.32282882493456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129.32282882493456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4.5474735088646412E-13</v>
      </c>
      <c r="O138" s="14">
        <f>N138*VLOOKUP('Données projet'!$B$9,Paramètres!$A$1:$I$89,3,0)*VLOOKUP('Données projet'!$B$9,Paramètres!$A$1:$I$89,5,0)</f>
        <v>2.5420376914553347E-13</v>
      </c>
      <c r="P138" s="14">
        <f t="shared" si="141"/>
        <v>3.4258699088369875E-12</v>
      </c>
      <c r="Q138" s="22">
        <f t="shared" si="108"/>
        <v>6.4094616558195571E-12</v>
      </c>
      <c r="R138" s="62">
        <f t="shared" si="109"/>
        <v>293.33333333333974</v>
      </c>
      <c r="S138" s="62">
        <f ca="1">AVERAGE(OFFSET($R$3,0,0,'Données projet'!$E$9+1,1))-AVERAGE(OFFSET($H$3,0,0,'Données projet'!$E$9+1,1))</f>
        <v>539.2446452106276</v>
      </c>
      <c r="T138" s="62">
        <f t="shared" si="142"/>
        <v>596.73830276071465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106.93357844092097</v>
      </c>
      <c r="AA138" s="23">
        <f>EXP(-LN(2)/25)*AA137+(1-EXP(-LN(2)/25))/(LN(2)/25)*Calculateur!V138*Calculateur!X138*VLOOKUP('Données projet'!$B$9,Paramètres!$A$1:$I$89,3,0)*0.475*44/12</f>
        <v>10.618487823131034</v>
      </c>
      <c r="AB138" s="23">
        <f>EXP(-LN(2)/2)*AB137+(1-EXP(-LN(2)/2))/(LN(2)/2)*V138*Y138*VLOOKUP('Données projet'!$B$9,Paramètres!$A$1:$I$89,3,0)*0.475*44/12</f>
        <v>1.377767738210367E-9</v>
      </c>
      <c r="AC138" s="24">
        <f t="shared" si="111"/>
        <v>117.55206626542977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3.1036506698001178E-14</v>
      </c>
      <c r="AK138" s="14">
        <f t="shared" si="143"/>
        <v>5.3428243983771088E-13</v>
      </c>
      <c r="AL138" s="22">
        <f t="shared" si="112"/>
        <v>9.8459716521636505E-13</v>
      </c>
      <c r="AM138" s="62">
        <f t="shared" si="113"/>
        <v>293.33333333333428</v>
      </c>
      <c r="AN138" s="62">
        <f ca="1">AVERAGE(OFFSET($AM$3,0,0,'Données projet'!$E$10+1,1))-AVERAGE(OFFSET($H$3,0,0,'Données projet'!$E$10+1,1))</f>
        <v>262.6671000229498</v>
      </c>
      <c r="AO138" s="62">
        <f t="shared" si="144"/>
        <v>289.30432245776024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60.38810276530436</v>
      </c>
      <c r="AV138" s="23">
        <f>EXP(-LN(2)/25)*AV137+(1-EXP(-LN(2)/25))/(LN(2)/25)*Calculateur!AQ138*Calculateur!AS138*VLOOKUP('Données projet'!$B$10,Paramètres!$A$1:$I$89,3,0)*0.475*44/12</f>
        <v>8.4560408568029306</v>
      </c>
      <c r="AW138" s="23">
        <f>EXP(-LN(2)/2)*AW137+(1-EXP(-LN(2)/2))/(LN(2)/2)*AQ138*AT138*VLOOKUP('Données projet'!$B$10,Paramètres!$A$1:$I$89,3,0)*0.475*44/12</f>
        <v>1.1829824569223922E-7</v>
      </c>
      <c r="AX138" s="23">
        <f t="shared" si="114"/>
        <v>68.844143740405542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268.27008134105046</v>
      </c>
      <c r="CZ138" s="62">
        <f t="shared" si="150"/>
        <v>252.36274686619709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56.426449431285597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56.426449431285597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>
        <f>DO138*VLOOKUP('Données projet'!$B$14,Paramètres!$A$1:$I$89,3,0)*VLOOKUP('Données projet'!$B$14,Paramètres!$A$1:$I$89,5,0)</f>
        <v>0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279.49721661620544</v>
      </c>
      <c r="DU138" s="62">
        <f t="shared" si="152"/>
        <v>275.18739333988754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49.578065148683002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49.578065148683002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394.11074988418096</v>
      </c>
      <c r="EP138" s="62">
        <f t="shared" si="154"/>
        <v>241.85593029696236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126.78688703081451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126.78688703081451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4.5474735088646412E-13</v>
      </c>
      <c r="O139" s="14">
        <f>N139*VLOOKUP('Données projet'!$B$9,Paramètres!$A$1:$I$89,3,0)*VLOOKUP('Données projet'!$B$9,Paramètres!$A$1:$I$89,5,0)</f>
        <v>2.5420376914553347E-13</v>
      </c>
      <c r="P139" s="14">
        <f t="shared" si="141"/>
        <v>3.4258699088369875E-12</v>
      </c>
      <c r="Q139" s="22">
        <f t="shared" si="108"/>
        <v>6.4094616558195571E-12</v>
      </c>
      <c r="R139" s="62">
        <f t="shared" si="109"/>
        <v>293.33333333333974</v>
      </c>
      <c r="S139" s="62">
        <f ca="1">AVERAGE(OFFSET($R$3,0,0,'Données projet'!$E$9+1,1))-AVERAGE(OFFSET($H$3,0,0,'Données projet'!$E$9+1,1))</f>
        <v>539.2446452106276</v>
      </c>
      <c r="T139" s="62">
        <f t="shared" si="142"/>
        <v>596.73830276071465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104.83667619073712</v>
      </c>
      <c r="AA139" s="23">
        <f>EXP(-LN(2)/25)*AA138+(1-EXP(-LN(2)/25))/(LN(2)/25)*Calculateur!V139*Calculateur!X139*VLOOKUP('Données projet'!$B$9,Paramètres!$A$1:$I$89,3,0)*0.475*44/12</f>
        <v>10.32812471520551</v>
      </c>
      <c r="AB139" s="23">
        <f>EXP(-LN(2)/2)*AB138+(1-EXP(-LN(2)/2))/(LN(2)/2)*V139*Y139*VLOOKUP('Données projet'!$B$9,Paramètres!$A$1:$I$89,3,0)*0.475*44/12</f>
        <v>9.7422891058860245E-10</v>
      </c>
      <c r="AC139" s="24">
        <f t="shared" si="111"/>
        <v>115.16480090691685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3.1036506698001178E-14</v>
      </c>
      <c r="AK139" s="14">
        <f t="shared" si="143"/>
        <v>5.3428243983771088E-13</v>
      </c>
      <c r="AL139" s="22">
        <f t="shared" si="112"/>
        <v>9.8459716521636505E-13</v>
      </c>
      <c r="AM139" s="62">
        <f t="shared" si="113"/>
        <v>293.33333333333428</v>
      </c>
      <c r="AN139" s="62">
        <f ca="1">AVERAGE(OFFSET($AM$3,0,0,'Données projet'!$E$10+1,1))-AVERAGE(OFFSET($H$3,0,0,'Données projet'!$E$10+1,1))</f>
        <v>262.6671000229498</v>
      </c>
      <c r="AO139" s="62">
        <f t="shared" si="144"/>
        <v>289.30432245776024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59.203928903182458</v>
      </c>
      <c r="AV139" s="23">
        <f>EXP(-LN(2)/25)*AV138+(1-EXP(-LN(2)/25))/(LN(2)/25)*Calculateur!AQ139*Calculateur!AS139*VLOOKUP('Données projet'!$B$10,Paramètres!$A$1:$I$89,3,0)*0.475*44/12</f>
        <v>8.2248099748897925</v>
      </c>
      <c r="AW139" s="23">
        <f>EXP(-LN(2)/2)*AW138+(1-EXP(-LN(2)/2))/(LN(2)/2)*AQ139*AT139*VLOOKUP('Données projet'!$B$10,Paramètres!$A$1:$I$89,3,0)*0.475*44/12</f>
        <v>8.3649491731454644E-8</v>
      </c>
      <c r="AX139" s="23">
        <f t="shared" si="114"/>
        <v>67.428738961721749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268.27008134105046</v>
      </c>
      <c r="CZ139" s="62">
        <f t="shared" si="150"/>
        <v>252.36274686619709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55.319961174673871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55.319961174673871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>
        <f>DO139*VLOOKUP('Données projet'!$B$14,Paramètres!$A$1:$I$89,3,0)*VLOOKUP('Données projet'!$B$14,Paramètres!$A$1:$I$89,5,0)</f>
        <v>0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279.49721661620544</v>
      </c>
      <c r="DU139" s="62">
        <f t="shared" si="152"/>
        <v>275.18739333988754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48.605869530751157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48.605869530751157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394.11074988418096</v>
      </c>
      <c r="EP139" s="62">
        <f t="shared" si="154"/>
        <v>241.85593029696236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124.3006735085054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124.3006735085054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4.5474735088646412E-13</v>
      </c>
      <c r="O140" s="14">
        <f>N140*VLOOKUP('Données projet'!$B$9,Paramètres!$A$1:$I$89,3,0)*VLOOKUP('Données projet'!$B$9,Paramètres!$A$1:$I$89,5,0)</f>
        <v>2.5420376914553347E-13</v>
      </c>
      <c r="P140" s="14">
        <f t="shared" si="141"/>
        <v>3.4258699088369875E-12</v>
      </c>
      <c r="Q140" s="22">
        <f t="shared" si="108"/>
        <v>6.4094616558195571E-12</v>
      </c>
      <c r="R140" s="62">
        <f t="shared" si="109"/>
        <v>293.33333333333974</v>
      </c>
      <c r="S140" s="62">
        <f ca="1">AVERAGE(OFFSET($R$3,0,0,'Données projet'!$E$9+1,1))-AVERAGE(OFFSET($H$3,0,0,'Données projet'!$E$9+1,1))</f>
        <v>539.2446452106276</v>
      </c>
      <c r="T140" s="62">
        <f t="shared" si="142"/>
        <v>596.73830276071465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102.78089291469529</v>
      </c>
      <c r="AA140" s="23">
        <f>EXP(-LN(2)/25)*AA139+(1-EXP(-LN(2)/25))/(LN(2)/25)*Calculateur!V140*Calculateur!X140*VLOOKUP('Données projet'!$B$9,Paramètres!$A$1:$I$89,3,0)*0.475*44/12</f>
        <v>10.045701601735741</v>
      </c>
      <c r="AB140" s="23">
        <f>EXP(-LN(2)/2)*AB139+(1-EXP(-LN(2)/2))/(LN(2)/2)*V140*Y140*VLOOKUP('Données projet'!$B$9,Paramètres!$A$1:$I$89,3,0)*0.475*44/12</f>
        <v>6.8888386910518349E-10</v>
      </c>
      <c r="AC140" s="24">
        <f t="shared" si="111"/>
        <v>112.82659451711991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3.1036506698001178E-14</v>
      </c>
      <c r="AK140" s="14">
        <f t="shared" si="143"/>
        <v>5.3428243983771088E-13</v>
      </c>
      <c r="AL140" s="22">
        <f t="shared" si="112"/>
        <v>9.8459716521636505E-13</v>
      </c>
      <c r="AM140" s="62">
        <f t="shared" si="113"/>
        <v>293.33333333333428</v>
      </c>
      <c r="AN140" s="62">
        <f ca="1">AVERAGE(OFFSET($AM$3,0,0,'Données projet'!$E$10+1,1))-AVERAGE(OFFSET($H$3,0,0,'Données projet'!$E$10+1,1))</f>
        <v>262.6671000229498</v>
      </c>
      <c r="AO140" s="62">
        <f t="shared" si="144"/>
        <v>289.30432245776024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58.042975968222031</v>
      </c>
      <c r="AV140" s="23">
        <f>EXP(-LN(2)/25)*AV139+(1-EXP(-LN(2)/25))/(LN(2)/25)*Calculateur!AQ140*Calculateur!AS140*VLOOKUP('Données projet'!$B$10,Paramètres!$A$1:$I$89,3,0)*0.475*44/12</f>
        <v>7.9999021136024728</v>
      </c>
      <c r="AW140" s="23">
        <f>EXP(-LN(2)/2)*AW139+(1-EXP(-LN(2)/2))/(LN(2)/2)*AQ140*AT140*VLOOKUP('Données projet'!$B$10,Paramètres!$A$1:$I$89,3,0)*0.475*44/12</f>
        <v>5.9149122846119622E-8</v>
      </c>
      <c r="AX140" s="23">
        <f t="shared" si="114"/>
        <v>66.042878140973613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268.27008134105046</v>
      </c>
      <c r="CZ140" s="62">
        <f t="shared" si="150"/>
        <v>252.36274686619709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54.235170477883102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54.235170477883102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>
        <f>DO140*VLOOKUP('Données projet'!$B$14,Paramètres!$A$1:$I$89,3,0)*VLOOKUP('Données projet'!$B$14,Paramètres!$A$1:$I$89,5,0)</f>
        <v>0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279.49721661620544</v>
      </c>
      <c r="DU140" s="62">
        <f t="shared" si="152"/>
        <v>275.18739333988754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47.652738075906178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47.652738075906178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394.11074988418096</v>
      </c>
      <c r="EP140" s="62">
        <f t="shared" si="154"/>
        <v>241.85593029696236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121.86321311692825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121.86321311692825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4.5474735088646412E-13</v>
      </c>
      <c r="O141" s="14">
        <f>N141*VLOOKUP('Données projet'!$B$9,Paramètres!$A$1:$I$89,3,0)*VLOOKUP('Données projet'!$B$9,Paramètres!$A$1:$I$89,5,0)</f>
        <v>2.5420376914553347E-13</v>
      </c>
      <c r="P141" s="14">
        <f t="shared" si="141"/>
        <v>3.4258699088369875E-12</v>
      </c>
      <c r="Q141" s="22">
        <f t="shared" si="108"/>
        <v>6.4094616558195571E-12</v>
      </c>
      <c r="R141" s="62">
        <f t="shared" si="109"/>
        <v>293.33333333333974</v>
      </c>
      <c r="S141" s="62">
        <f ca="1">AVERAGE(OFFSET($R$3,0,0,'Données projet'!$E$9+1,1))-AVERAGE(OFFSET($H$3,0,0,'Données projet'!$E$9+1,1))</f>
        <v>539.2446452106276</v>
      </c>
      <c r="T141" s="62">
        <f t="shared" si="142"/>
        <v>596.73830276071465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100.76542229479266</v>
      </c>
      <c r="AA141" s="23">
        <f>EXP(-LN(2)/25)*AA140+(1-EXP(-LN(2)/25))/(LN(2)/25)*Calculateur!V141*Calculateur!X141*VLOOKUP('Données projet'!$B$9,Paramètres!$A$1:$I$89,3,0)*0.475*44/12</f>
        <v>9.7710013631557899</v>
      </c>
      <c r="AB141" s="23">
        <f>EXP(-LN(2)/2)*AB140+(1-EXP(-LN(2)/2))/(LN(2)/2)*V141*Y141*VLOOKUP('Données projet'!$B$9,Paramètres!$A$1:$I$89,3,0)*0.475*44/12</f>
        <v>4.8711445529430122E-10</v>
      </c>
      <c r="AC141" s="24">
        <f t="shared" si="111"/>
        <v>110.53642365843557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3.1036506698001178E-14</v>
      </c>
      <c r="AK141" s="14">
        <f t="shared" si="143"/>
        <v>5.3428243983771088E-13</v>
      </c>
      <c r="AL141" s="22">
        <f t="shared" si="112"/>
        <v>9.8459716521636505E-13</v>
      </c>
      <c r="AM141" s="62">
        <f t="shared" si="113"/>
        <v>293.33333333333428</v>
      </c>
      <c r="AN141" s="62">
        <f ca="1">AVERAGE(OFFSET($AM$3,0,0,'Données projet'!$E$10+1,1))-AVERAGE(OFFSET($H$3,0,0,'Données projet'!$E$10+1,1))</f>
        <v>262.6671000229498</v>
      </c>
      <c r="AO141" s="62">
        <f t="shared" si="144"/>
        <v>289.30432245776024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56.904788612204811</v>
      </c>
      <c r="AV141" s="23">
        <f>EXP(-LN(2)/25)*AV140+(1-EXP(-LN(2)/25))/(LN(2)/25)*Calculateur!AQ141*Calculateur!AS141*VLOOKUP('Données projet'!$B$10,Paramètres!$A$1:$I$89,3,0)*0.475*44/12</f>
        <v>7.7811443696094447</v>
      </c>
      <c r="AW141" s="23">
        <f>EXP(-LN(2)/2)*AW140+(1-EXP(-LN(2)/2))/(LN(2)/2)*AQ141*AT141*VLOOKUP('Données projet'!$B$10,Paramètres!$A$1:$I$89,3,0)*0.475*44/12</f>
        <v>4.1824745865727329E-8</v>
      </c>
      <c r="AX141" s="23">
        <f t="shared" si="114"/>
        <v>64.685933023639009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268.27008134105046</v>
      </c>
      <c r="CZ141" s="62">
        <f t="shared" si="150"/>
        <v>252.36274686619709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53.171651864999411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53.171651864999411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>
        <f>DO141*VLOOKUP('Données projet'!$B$14,Paramètres!$A$1:$I$89,3,0)*VLOOKUP('Données projet'!$B$14,Paramètres!$A$1:$I$89,5,0)</f>
        <v>0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279.49721661620544</v>
      </c>
      <c r="DU141" s="62">
        <f t="shared" si="152"/>
        <v>275.18739333988754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46.718296947537922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46.718296947537922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394.11074988418096</v>
      </c>
      <c r="EP141" s="62">
        <f t="shared" si="154"/>
        <v>241.85593029696236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119.47354983692588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119.47354983692588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4.5474735088646412E-13</v>
      </c>
      <c r="O142" s="14">
        <f>N142*VLOOKUP('Données projet'!$B$9,Paramètres!$A$1:$I$89,3,0)*VLOOKUP('Données projet'!$B$9,Paramètres!$A$1:$I$89,5,0)</f>
        <v>2.5420376914553347E-13</v>
      </c>
      <c r="P142" s="14">
        <f t="shared" si="141"/>
        <v>3.4258699088369875E-12</v>
      </c>
      <c r="Q142" s="22">
        <f t="shared" si="108"/>
        <v>6.4094616558195571E-12</v>
      </c>
      <c r="R142" s="62">
        <f t="shared" si="109"/>
        <v>293.33333333333974</v>
      </c>
      <c r="S142" s="62">
        <f ca="1">AVERAGE(OFFSET($R$3,0,0,'Données projet'!$E$9+1,1))-AVERAGE(OFFSET($H$3,0,0,'Données projet'!$E$9+1,1))</f>
        <v>539.2446452106276</v>
      </c>
      <c r="T142" s="62">
        <f t="shared" si="142"/>
        <v>596.73830276071465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98.789473824430615</v>
      </c>
      <c r="AA142" s="23">
        <f>EXP(-LN(2)/25)*AA141+(1-EXP(-LN(2)/25))/(LN(2)/25)*Calculateur!V142*Calculateur!X142*VLOOKUP('Données projet'!$B$9,Paramètres!$A$1:$I$89,3,0)*0.475*44/12</f>
        <v>9.5038128170456648</v>
      </c>
      <c r="AB142" s="23">
        <f>EXP(-LN(2)/2)*AB141+(1-EXP(-LN(2)/2))/(LN(2)/2)*V142*Y142*VLOOKUP('Données projet'!$B$9,Paramètres!$A$1:$I$89,3,0)*0.475*44/12</f>
        <v>3.4444193455259175E-10</v>
      </c>
      <c r="AC142" s="24">
        <f t="shared" si="111"/>
        <v>108.29328664182073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3.1036506698001178E-14</v>
      </c>
      <c r="AK142" s="14">
        <f t="shared" si="143"/>
        <v>5.3428243983771088E-13</v>
      </c>
      <c r="AL142" s="22">
        <f t="shared" si="112"/>
        <v>9.8459716521636505E-13</v>
      </c>
      <c r="AM142" s="62">
        <f t="shared" si="113"/>
        <v>293.33333333333428</v>
      </c>
      <c r="AN142" s="62">
        <f ca="1">AVERAGE(OFFSET($AM$3,0,0,'Données projet'!$E$10+1,1))-AVERAGE(OFFSET($H$3,0,0,'Données projet'!$E$10+1,1))</f>
        <v>262.6671000229498</v>
      </c>
      <c r="AO142" s="62">
        <f t="shared" si="144"/>
        <v>289.30432245776024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55.788920416013347</v>
      </c>
      <c r="AV142" s="23">
        <f>EXP(-LN(2)/25)*AV141+(1-EXP(-LN(2)/25))/(LN(2)/25)*Calculateur!AQ142*Calculateur!AS142*VLOOKUP('Données projet'!$B$10,Paramètres!$A$1:$I$89,3,0)*0.475*44/12</f>
        <v>7.568368567629876</v>
      </c>
      <c r="AW142" s="23">
        <f>EXP(-LN(2)/2)*AW141+(1-EXP(-LN(2)/2))/(LN(2)/2)*AQ142*AT142*VLOOKUP('Données projet'!$B$10,Paramètres!$A$1:$I$89,3,0)*0.475*44/12</f>
        <v>2.9574561423059814E-8</v>
      </c>
      <c r="AX142" s="23">
        <f t="shared" si="114"/>
        <v>63.35728901321778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268.27008134105046</v>
      </c>
      <c r="CZ142" s="62">
        <f t="shared" si="150"/>
        <v>252.36274686619709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52.128988203432066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52.128988203432066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>
        <f>DO142*VLOOKUP('Données projet'!$B$14,Paramètres!$A$1:$I$89,3,0)*VLOOKUP('Données projet'!$B$14,Paramètres!$A$1:$I$89,5,0)</f>
        <v>0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279.49721661620544</v>
      </c>
      <c r="DU142" s="62">
        <f t="shared" si="152"/>
        <v>275.18739333988754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45.802179639744161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45.802179639744161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394.11074988418096</v>
      </c>
      <c r="EP142" s="62">
        <f t="shared" si="154"/>
        <v>241.85593029696236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117.13074639629369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117.13074639629369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4.5474735088646412E-13</v>
      </c>
      <c r="O143" s="14">
        <f>N143*VLOOKUP('Données projet'!$B$9,Paramètres!$A$1:$I$89,3,0)*VLOOKUP('Données projet'!$B$9,Paramètres!$A$1:$I$89,5,0)</f>
        <v>2.5420376914553347E-13</v>
      </c>
      <c r="P143" s="14">
        <f t="shared" si="141"/>
        <v>3.4258699088369875E-12</v>
      </c>
      <c r="Q143" s="22">
        <f t="shared" si="108"/>
        <v>6.4094616558195571E-12</v>
      </c>
      <c r="R143" s="62">
        <f t="shared" si="109"/>
        <v>293.33333333333974</v>
      </c>
      <c r="S143" s="62">
        <f ca="1">AVERAGE(OFFSET($R$3,0,0,'Données projet'!$E$9+1,1))-AVERAGE(OFFSET($H$3,0,0,'Données projet'!$E$9+1,1))</f>
        <v>539.2446452106276</v>
      </c>
      <c r="T143" s="62">
        <f t="shared" si="142"/>
        <v>596.73830276071465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96.852272498362808</v>
      </c>
      <c r="AA143" s="23">
        <f>EXP(-LN(2)/25)*AA142+(1-EXP(-LN(2)/25))/(LN(2)/25)*Calculateur!V143*Calculateur!X143*VLOOKUP('Données projet'!$B$9,Paramètres!$A$1:$I$89,3,0)*0.475*44/12</f>
        <v>9.2439305557797571</v>
      </c>
      <c r="AB143" s="23">
        <f>EXP(-LN(2)/2)*AB142+(1-EXP(-LN(2)/2))/(LN(2)/2)*V143*Y143*VLOOKUP('Données projet'!$B$9,Paramètres!$A$1:$I$89,3,0)*0.475*44/12</f>
        <v>2.4355722764715061E-10</v>
      </c>
      <c r="AC143" s="24">
        <f t="shared" si="111"/>
        <v>106.09620305438612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3.1036506698001178E-14</v>
      </c>
      <c r="AK143" s="14">
        <f t="shared" si="143"/>
        <v>5.3428243983771088E-13</v>
      </c>
      <c r="AL143" s="22">
        <f t="shared" si="112"/>
        <v>9.8459716521636505E-13</v>
      </c>
      <c r="AM143" s="62">
        <f t="shared" si="113"/>
        <v>293.33333333333428</v>
      </c>
      <c r="AN143" s="62">
        <f ca="1">AVERAGE(OFFSET($AM$3,0,0,'Données projet'!$E$10+1,1))-AVERAGE(OFFSET($H$3,0,0,'Données projet'!$E$10+1,1))</f>
        <v>262.6671000229498</v>
      </c>
      <c r="AO143" s="62">
        <f t="shared" si="144"/>
        <v>289.30432245776024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54.694933714536802</v>
      </c>
      <c r="AV143" s="23">
        <f>EXP(-LN(2)/25)*AV142+(1-EXP(-LN(2)/25))/(LN(2)/25)*Calculateur!AQ143*Calculateur!AS143*VLOOKUP('Données projet'!$B$10,Paramètres!$A$1:$I$89,3,0)*0.475*44/12</f>
        <v>7.3614111311448314</v>
      </c>
      <c r="AW143" s="23">
        <f>EXP(-LN(2)/2)*AW142+(1-EXP(-LN(2)/2))/(LN(2)/2)*AQ143*AT143*VLOOKUP('Données projet'!$B$10,Paramètres!$A$1:$I$89,3,0)*0.475*44/12</f>
        <v>2.0912372932863668E-8</v>
      </c>
      <c r="AX143" s="23">
        <f t="shared" si="114"/>
        <v>62.05634486659401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268.27008134105046</v>
      </c>
      <c r="CZ143" s="62">
        <f t="shared" si="150"/>
        <v>252.36274686619709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51.106770540306016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51.106770540306016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>
        <f>DO143*VLOOKUP('Données projet'!$B$14,Paramètres!$A$1:$I$89,3,0)*VLOOKUP('Données projet'!$B$14,Paramètres!$A$1:$I$89,5,0)</f>
        <v>0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279.49721661620544</v>
      </c>
      <c r="DU143" s="62">
        <f t="shared" si="152"/>
        <v>275.18739333988754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44.904026833579849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44.904026833579849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394.11074988418096</v>
      </c>
      <c r="EP143" s="62">
        <f t="shared" si="154"/>
        <v>241.85593029696236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114.83388390216329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114.83388390216329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4.5474735088646412E-13</v>
      </c>
      <c r="O144" s="14">
        <f>N144*VLOOKUP('Données projet'!$B$9,Paramètres!$A$1:$I$89,3,0)*VLOOKUP('Données projet'!$B$9,Paramètres!$A$1:$I$89,5,0)</f>
        <v>2.5420376914553347E-13</v>
      </c>
      <c r="P144" s="14">
        <f t="shared" si="141"/>
        <v>3.4258699088369875E-12</v>
      </c>
      <c r="Q144" s="22">
        <f t="shared" si="108"/>
        <v>6.4094616558195571E-12</v>
      </c>
      <c r="R144" s="62">
        <f t="shared" si="109"/>
        <v>293.33333333333974</v>
      </c>
      <c r="S144" s="62">
        <f ca="1">AVERAGE(OFFSET($R$3,0,0,'Données projet'!$E$9+1,1))-AVERAGE(OFFSET($H$3,0,0,'Données projet'!$E$9+1,1))</f>
        <v>539.2446452106276</v>
      </c>
      <c r="T144" s="62">
        <f t="shared" si="142"/>
        <v>596.73830276071465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94.953058508723061</v>
      </c>
      <c r="AA144" s="23">
        <f>EXP(-LN(2)/25)*AA143+(1-EXP(-LN(2)/25))/(LN(2)/25)*Calculateur!V144*Calculateur!X144*VLOOKUP('Données projet'!$B$9,Paramètres!$A$1:$I$89,3,0)*0.475*44/12</f>
        <v>8.9911547886147787</v>
      </c>
      <c r="AB144" s="23">
        <f>EXP(-LN(2)/2)*AB143+(1-EXP(-LN(2)/2))/(LN(2)/2)*V144*Y144*VLOOKUP('Données projet'!$B$9,Paramètres!$A$1:$I$89,3,0)*0.475*44/12</f>
        <v>1.7222096727629587E-10</v>
      </c>
      <c r="AC144" s="24">
        <f t="shared" si="111"/>
        <v>103.94421329751006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3.1036506698001178E-14</v>
      </c>
      <c r="AK144" s="14">
        <f t="shared" si="143"/>
        <v>5.3428243983771088E-13</v>
      </c>
      <c r="AL144" s="22">
        <f t="shared" si="112"/>
        <v>9.8459716521636505E-13</v>
      </c>
      <c r="AM144" s="62">
        <f t="shared" si="113"/>
        <v>293.33333333333428</v>
      </c>
      <c r="AN144" s="62">
        <f ca="1">AVERAGE(OFFSET($AM$3,0,0,'Données projet'!$E$10+1,1))-AVERAGE(OFFSET($H$3,0,0,'Données projet'!$E$10+1,1))</f>
        <v>262.6671000229498</v>
      </c>
      <c r="AO144" s="62">
        <f t="shared" si="144"/>
        <v>289.30432245776024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53.622399425010215</v>
      </c>
      <c r="AV144" s="23">
        <f>EXP(-LN(2)/25)*AV143+(1-EXP(-LN(2)/25))/(LN(2)/25)*Calculateur!AQ144*Calculateur!AS144*VLOOKUP('Données projet'!$B$10,Paramètres!$A$1:$I$89,3,0)*0.475*44/12</f>
        <v>7.1601129566438892</v>
      </c>
      <c r="AW144" s="23">
        <f>EXP(-LN(2)/2)*AW143+(1-EXP(-LN(2)/2))/(LN(2)/2)*AQ144*AT144*VLOOKUP('Données projet'!$B$10,Paramètres!$A$1:$I$89,3,0)*0.475*44/12</f>
        <v>1.4787280711529909E-8</v>
      </c>
      <c r="AX144" s="23">
        <f t="shared" si="114"/>
        <v>60.782512396441383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268.27008134105046</v>
      </c>
      <c r="CZ144" s="62">
        <f t="shared" si="150"/>
        <v>252.36274686619709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50.104597942062661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50.104597942062661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>
        <f>DO144*VLOOKUP('Données projet'!$B$14,Paramètres!$A$1:$I$89,3,0)*VLOOKUP('Données projet'!$B$14,Paramètres!$A$1:$I$89,5,0)</f>
        <v>0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279.49721661620544</v>
      </c>
      <c r="DU144" s="62">
        <f t="shared" si="152"/>
        <v>275.18739333988754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44.023486256125302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44.023486256125302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394.11074988418096</v>
      </c>
      <c r="EP144" s="62">
        <f t="shared" si="154"/>
        <v>241.85593029696236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112.582061480595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112.582061480595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4.5474735088646412E-13</v>
      </c>
      <c r="O145" s="14">
        <f>N145*VLOOKUP('Données projet'!$B$9,Paramètres!$A$1:$I$89,3,0)*VLOOKUP('Données projet'!$B$9,Paramètres!$A$1:$I$89,5,0)</f>
        <v>2.5420376914553347E-13</v>
      </c>
      <c r="P145" s="14">
        <f t="shared" si="141"/>
        <v>3.4258699088369875E-12</v>
      </c>
      <c r="Q145" s="22">
        <f t="shared" si="108"/>
        <v>6.4094616558195571E-12</v>
      </c>
      <c r="R145" s="62">
        <f t="shared" si="109"/>
        <v>293.33333333333974</v>
      </c>
      <c r="S145" s="62">
        <f ca="1">AVERAGE(OFFSET($R$3,0,0,'Données projet'!$E$9+1,1))-AVERAGE(OFFSET($H$3,0,0,'Données projet'!$E$9+1,1))</f>
        <v>539.2446452106276</v>
      </c>
      <c r="T145" s="62">
        <f t="shared" si="142"/>
        <v>596.73830276071465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93.091086947013991</v>
      </c>
      <c r="AA145" s="23">
        <f>EXP(-LN(2)/25)*AA144+(1-EXP(-LN(2)/25))/(LN(2)/25)*Calculateur!V145*Calculateur!X145*VLOOKUP('Données projet'!$B$9,Paramètres!$A$1:$I$89,3,0)*0.475*44/12</f>
        <v>8.7452911880958268</v>
      </c>
      <c r="AB145" s="23">
        <f>EXP(-LN(2)/2)*AB144+(1-EXP(-LN(2)/2))/(LN(2)/2)*V145*Y145*VLOOKUP('Données projet'!$B$9,Paramètres!$A$1:$I$89,3,0)*0.475*44/12</f>
        <v>1.2177861382357531E-10</v>
      </c>
      <c r="AC145" s="24">
        <f t="shared" si="111"/>
        <v>101.83637813523158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3.1036506698001178E-14</v>
      </c>
      <c r="AK145" s="14">
        <f t="shared" si="143"/>
        <v>5.3428243983771088E-13</v>
      </c>
      <c r="AL145" s="22">
        <f t="shared" si="112"/>
        <v>9.8459716521636505E-13</v>
      </c>
      <c r="AM145" s="62">
        <f t="shared" si="113"/>
        <v>293.33333333333428</v>
      </c>
      <c r="AN145" s="62">
        <f ca="1">AVERAGE(OFFSET($AM$3,0,0,'Données projet'!$E$10+1,1))-AVERAGE(OFFSET($H$3,0,0,'Données projet'!$E$10+1,1))</f>
        <v>262.6671000229498</v>
      </c>
      <c r="AO145" s="62">
        <f t="shared" si="144"/>
        <v>289.30432245776024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52.570896878719921</v>
      </c>
      <c r="AV145" s="23">
        <f>EXP(-LN(2)/25)*AV144+(1-EXP(-LN(2)/25))/(LN(2)/25)*Calculateur!AQ145*Calculateur!AS145*VLOOKUP('Données projet'!$B$10,Paramètres!$A$1:$I$89,3,0)*0.475*44/12</f>
        <v>6.9643192913104865</v>
      </c>
      <c r="AW145" s="23">
        <f>EXP(-LN(2)/2)*AW144+(1-EXP(-LN(2)/2))/(LN(2)/2)*AQ145*AT145*VLOOKUP('Données projet'!$B$10,Paramètres!$A$1:$I$89,3,0)*0.475*44/12</f>
        <v>1.0456186466431836E-8</v>
      </c>
      <c r="AX145" s="23">
        <f t="shared" si="114"/>
        <v>59.535216180486593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268.27008134105046</v>
      </c>
      <c r="CZ145" s="62">
        <f t="shared" si="150"/>
        <v>252.36274686619709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49.12207733720593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49.12207733720593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>
        <f>DO145*VLOOKUP('Données projet'!$B$14,Paramètres!$A$1:$I$89,3,0)*VLOOKUP('Données projet'!$B$14,Paramètres!$A$1:$I$89,5,0)</f>
        <v>0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279.49721661620544</v>
      </c>
      <c r="DU145" s="62">
        <f t="shared" si="152"/>
        <v>275.18739333988754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43.160212542317922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43.160212542317922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394.11074988418096</v>
      </c>
      <c r="EP145" s="62">
        <f t="shared" si="154"/>
        <v>241.85593029696236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110.37439592323761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110.37439592323761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4.5474735088646412E-13</v>
      </c>
      <c r="O146" s="14">
        <f>N146*VLOOKUP('Données projet'!$B$9,Paramètres!$A$1:$I$89,3,0)*VLOOKUP('Données projet'!$B$9,Paramètres!$A$1:$I$89,5,0)</f>
        <v>2.5420376914553347E-13</v>
      </c>
      <c r="P146" s="14">
        <f t="shared" si="141"/>
        <v>3.4258699088369875E-12</v>
      </c>
      <c r="Q146" s="22">
        <f t="shared" si="108"/>
        <v>6.4094616558195571E-12</v>
      </c>
      <c r="R146" s="62">
        <f t="shared" si="109"/>
        <v>293.33333333333974</v>
      </c>
      <c r="S146" s="62">
        <f ca="1">AVERAGE(OFFSET($R$3,0,0,'Données projet'!$E$9+1,1))-AVERAGE(OFFSET($H$3,0,0,'Données projet'!$E$9+1,1))</f>
        <v>539.2446452106276</v>
      </c>
      <c r="T146" s="62">
        <f t="shared" si="142"/>
        <v>596.73830276071465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91.265627511939527</v>
      </c>
      <c r="AA146" s="23">
        <f>EXP(-LN(2)/25)*AA145+(1-EXP(-LN(2)/25))/(LN(2)/25)*Calculateur!V146*Calculateur!X146*VLOOKUP('Données projet'!$B$9,Paramètres!$A$1:$I$89,3,0)*0.475*44/12</f>
        <v>8.5061507406624699</v>
      </c>
      <c r="AB146" s="23">
        <f>EXP(-LN(2)/2)*AB145+(1-EXP(-LN(2)/2))/(LN(2)/2)*V146*Y146*VLOOKUP('Données projet'!$B$9,Paramètres!$A$1:$I$89,3,0)*0.475*44/12</f>
        <v>8.6110483638147937E-11</v>
      </c>
      <c r="AC146" s="24">
        <f t="shared" si="111"/>
        <v>99.771778252688094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3.1036506698001178E-14</v>
      </c>
      <c r="AK146" s="14">
        <f t="shared" si="143"/>
        <v>5.3428243983771088E-13</v>
      </c>
      <c r="AL146" s="22">
        <f t="shared" si="112"/>
        <v>9.8459716521636505E-13</v>
      </c>
      <c r="AM146" s="62">
        <f t="shared" si="113"/>
        <v>293.33333333333428</v>
      </c>
      <c r="AN146" s="62">
        <f ca="1">AVERAGE(OFFSET($AM$3,0,0,'Données projet'!$E$10+1,1))-AVERAGE(OFFSET($H$3,0,0,'Données projet'!$E$10+1,1))</f>
        <v>262.6671000229498</v>
      </c>
      <c r="AO146" s="62">
        <f t="shared" si="144"/>
        <v>289.30432245776024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51.540013656009158</v>
      </c>
      <c r="AV146" s="23">
        <f>EXP(-LN(2)/25)*AV145+(1-EXP(-LN(2)/25))/(LN(2)/25)*Calculateur!AQ146*Calculateur!AS146*VLOOKUP('Données projet'!$B$10,Paramètres!$A$1:$I$89,3,0)*0.475*44/12</f>
        <v>6.7738796140519666</v>
      </c>
      <c r="AW146" s="23">
        <f>EXP(-LN(2)/2)*AW145+(1-EXP(-LN(2)/2))/(LN(2)/2)*AQ146*AT146*VLOOKUP('Données projet'!$B$10,Paramètres!$A$1:$I$89,3,0)*0.475*44/12</f>
        <v>7.3936403557649561E-9</v>
      </c>
      <c r="AX146" s="23">
        <f t="shared" si="114"/>
        <v>58.31389327745476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268.27008134105046</v>
      </c>
      <c r="CZ146" s="62">
        <f t="shared" si="150"/>
        <v>252.36274686619709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48.158823362132047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48.158823362132047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>
        <f>DO146*VLOOKUP('Données projet'!$B$14,Paramètres!$A$1:$I$89,3,0)*VLOOKUP('Données projet'!$B$14,Paramètres!$A$1:$I$89,5,0)</f>
        <v>0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279.49721661620544</v>
      </c>
      <c r="DU146" s="62">
        <f t="shared" si="152"/>
        <v>275.18739333988754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42.313867099493329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42.313867099493329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394.11074988418096</v>
      </c>
      <c r="EP146" s="62">
        <f t="shared" si="154"/>
        <v>241.85593029696236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108.21002134091697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108.21002134091697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4.5474735088646412E-13</v>
      </c>
      <c r="O147" s="14">
        <f>N147*VLOOKUP('Données projet'!$B$9,Paramètres!$A$1:$I$89,3,0)*VLOOKUP('Données projet'!$B$9,Paramètres!$A$1:$I$89,5,0)</f>
        <v>2.5420376914553347E-13</v>
      </c>
      <c r="P147" s="14">
        <f t="shared" si="141"/>
        <v>3.4258699088369875E-12</v>
      </c>
      <c r="Q147" s="22">
        <f t="shared" si="108"/>
        <v>6.4094616558195571E-12</v>
      </c>
      <c r="R147" s="62">
        <f t="shared" si="109"/>
        <v>293.33333333333974</v>
      </c>
      <c r="S147" s="62">
        <f ca="1">AVERAGE(OFFSET($R$3,0,0,'Données projet'!$E$9+1,1))-AVERAGE(OFFSET($H$3,0,0,'Données projet'!$E$9+1,1))</f>
        <v>539.2446452106276</v>
      </c>
      <c r="T147" s="62">
        <f t="shared" si="142"/>
        <v>596.73830276071465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89.475964222966567</v>
      </c>
      <c r="AA147" s="23">
        <f>EXP(-LN(2)/25)*AA146+(1-EXP(-LN(2)/25))/(LN(2)/25)*Calculateur!V147*Calculateur!X147*VLOOKUP('Données projet'!$B$9,Paramètres!$A$1:$I$89,3,0)*0.475*44/12</f>
        <v>8.2735496013400276</v>
      </c>
      <c r="AB147" s="23">
        <f>EXP(-LN(2)/2)*AB146+(1-EXP(-LN(2)/2))/(LN(2)/2)*V147*Y147*VLOOKUP('Données projet'!$B$9,Paramètres!$A$1:$I$89,3,0)*0.475*44/12</f>
        <v>6.0889306911787653E-11</v>
      </c>
      <c r="AC147" s="24">
        <f t="shared" si="111"/>
        <v>97.749513824367483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3.1036506698001178E-14</v>
      </c>
      <c r="AK147" s="14">
        <f t="shared" si="143"/>
        <v>5.3428243983771088E-13</v>
      </c>
      <c r="AL147" s="22">
        <f t="shared" si="112"/>
        <v>9.8459716521636505E-13</v>
      </c>
      <c r="AM147" s="62">
        <f t="shared" si="113"/>
        <v>293.33333333333428</v>
      </c>
      <c r="AN147" s="62">
        <f ca="1">AVERAGE(OFFSET($AM$3,0,0,'Données projet'!$E$10+1,1))-AVERAGE(OFFSET($H$3,0,0,'Données projet'!$E$10+1,1))</f>
        <v>262.6671000229498</v>
      </c>
      <c r="AO147" s="62">
        <f t="shared" si="144"/>
        <v>289.30432245776024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50.529345424519072</v>
      </c>
      <c r="AV147" s="23">
        <f>EXP(-LN(2)/25)*AV146+(1-EXP(-LN(2)/25))/(LN(2)/25)*Calculateur!AQ147*Calculateur!AS147*VLOOKUP('Données projet'!$B$10,Paramètres!$A$1:$I$89,3,0)*0.475*44/12</f>
        <v>6.5886475197828682</v>
      </c>
      <c r="AW147" s="23">
        <f>EXP(-LN(2)/2)*AW146+(1-EXP(-LN(2)/2))/(LN(2)/2)*AQ147*AT147*VLOOKUP('Données projet'!$B$10,Paramètres!$A$1:$I$89,3,0)*0.475*44/12</f>
        <v>5.2280932332159186E-9</v>
      </c>
      <c r="AX147" s="23">
        <f t="shared" si="114"/>
        <v>57.117992949530034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268.27008134105046</v>
      </c>
      <c r="CZ147" s="62">
        <f t="shared" si="150"/>
        <v>252.36274686619709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47.214458209982446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47.214458209982446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>
        <f>DO147*VLOOKUP('Données projet'!$B$14,Paramètres!$A$1:$I$89,3,0)*VLOOKUP('Données projet'!$B$14,Paramètres!$A$1:$I$89,5,0)</f>
        <v>0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279.49721661620544</v>
      </c>
      <c r="DU147" s="62">
        <f t="shared" si="152"/>
        <v>275.18739333988754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41.48411797458278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41.48411797458278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394.11074988418096</v>
      </c>
      <c r="EP147" s="62">
        <f t="shared" si="154"/>
        <v>241.85593029696236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106.08808882401749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106.08808882401749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4.5474735088646412E-13</v>
      </c>
      <c r="O148" s="14">
        <f>N148*VLOOKUP('Données projet'!$B$9,Paramètres!$A$1:$I$89,3,0)*VLOOKUP('Données projet'!$B$9,Paramètres!$A$1:$I$89,5,0)</f>
        <v>2.5420376914553347E-13</v>
      </c>
      <c r="P148" s="14">
        <f t="shared" si="141"/>
        <v>3.4258699088369875E-12</v>
      </c>
      <c r="Q148" s="22">
        <f t="shared" si="108"/>
        <v>6.4094616558195571E-12</v>
      </c>
      <c r="R148" s="62">
        <f t="shared" si="109"/>
        <v>293.33333333333974</v>
      </c>
      <c r="S148" s="62">
        <f ca="1">AVERAGE(OFFSET($R$3,0,0,'Données projet'!$E$9+1,1))-AVERAGE(OFFSET($H$3,0,0,'Données projet'!$E$9+1,1))</f>
        <v>539.2446452106276</v>
      </c>
      <c r="T148" s="62">
        <f t="shared" si="142"/>
        <v>596.73830276071465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87.721395139503542</v>
      </c>
      <c r="AA148" s="23">
        <f>EXP(-LN(2)/25)*AA147+(1-EXP(-LN(2)/25))/(LN(2)/25)*Calculateur!V148*Calculateur!X148*VLOOKUP('Données projet'!$B$9,Paramètres!$A$1:$I$89,3,0)*0.475*44/12</f>
        <v>8.04730895240432</v>
      </c>
      <c r="AB148" s="23">
        <f>EXP(-LN(2)/2)*AB147+(1-EXP(-LN(2)/2))/(LN(2)/2)*V148*Y148*VLOOKUP('Données projet'!$B$9,Paramètres!$A$1:$I$89,3,0)*0.475*44/12</f>
        <v>4.3055241819073968E-11</v>
      </c>
      <c r="AC148" s="24">
        <f t="shared" si="111"/>
        <v>95.768704091950923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3.1036506698001178E-14</v>
      </c>
      <c r="AK148" s="14">
        <f t="shared" si="143"/>
        <v>5.3428243983771088E-13</v>
      </c>
      <c r="AL148" s="22">
        <f t="shared" si="112"/>
        <v>9.8459716521636505E-13</v>
      </c>
      <c r="AM148" s="62">
        <f t="shared" si="113"/>
        <v>293.33333333333428</v>
      </c>
      <c r="AN148" s="62">
        <f ca="1">AVERAGE(OFFSET($AM$3,0,0,'Données projet'!$E$10+1,1))-AVERAGE(OFFSET($H$3,0,0,'Données projet'!$E$10+1,1))</f>
        <v>262.6671000229498</v>
      </c>
      <c r="AO148" s="62">
        <f t="shared" si="144"/>
        <v>289.30432245776024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49.538495780601757</v>
      </c>
      <c r="AV148" s="23">
        <f>EXP(-LN(2)/25)*AV147+(1-EXP(-LN(2)/25))/(LN(2)/25)*Calculateur!AQ148*Calculateur!AS148*VLOOKUP('Données projet'!$B$10,Paramètres!$A$1:$I$89,3,0)*0.475*44/12</f>
        <v>6.4084806068724909</v>
      </c>
      <c r="AW148" s="23">
        <f>EXP(-LN(2)/2)*AW147+(1-EXP(-LN(2)/2))/(LN(2)/2)*AQ148*AT148*VLOOKUP('Données projet'!$B$10,Paramètres!$A$1:$I$89,3,0)*0.475*44/12</f>
        <v>3.6968201778824785E-9</v>
      </c>
      <c r="AX148" s="23">
        <f t="shared" si="114"/>
        <v>55.94697639117107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268.27008134105046</v>
      </c>
      <c r="CZ148" s="62">
        <f t="shared" si="150"/>
        <v>252.36274686619709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46.288611482460638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46.288611482460638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>
        <f>DO148*VLOOKUP('Données projet'!$B$14,Paramètres!$A$1:$I$89,3,0)*VLOOKUP('Données projet'!$B$14,Paramètres!$A$1:$I$89,5,0)</f>
        <v>0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279.49721661620544</v>
      </c>
      <c r="DU148" s="62">
        <f t="shared" si="152"/>
        <v>275.18739333988754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40.670639723914732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40.670639723914732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394.11074988418096</v>
      </c>
      <c r="EP148" s="62">
        <f t="shared" si="154"/>
        <v>241.85593029696236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104.00776610952337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104.00776610952337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4.5474735088646412E-13</v>
      </c>
      <c r="O149" s="14">
        <f>N149*VLOOKUP('Données projet'!$B$9,Paramètres!$A$1:$I$89,3,0)*VLOOKUP('Données projet'!$B$9,Paramètres!$A$1:$I$89,5,0)</f>
        <v>2.5420376914553347E-13</v>
      </c>
      <c r="P149" s="14">
        <f t="shared" si="141"/>
        <v>3.4258699088369875E-12</v>
      </c>
      <c r="Q149" s="22">
        <f t="shared" si="108"/>
        <v>6.4094616558195571E-12</v>
      </c>
      <c r="R149" s="62">
        <f t="shared" si="109"/>
        <v>293.33333333333974</v>
      </c>
      <c r="S149" s="62">
        <f ca="1">AVERAGE(OFFSET($R$3,0,0,'Données projet'!$E$9+1,1))-AVERAGE(OFFSET($H$3,0,0,'Données projet'!$E$9+1,1))</f>
        <v>539.2446452106276</v>
      </c>
      <c r="T149" s="62">
        <f t="shared" si="142"/>
        <v>596.73830276071465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86.001232085585755</v>
      </c>
      <c r="AA149" s="23">
        <f>EXP(-LN(2)/25)*AA148+(1-EXP(-LN(2)/25))/(LN(2)/25)*Calculateur!V149*Calculateur!X149*VLOOKUP('Données projet'!$B$9,Paramètres!$A$1:$I$89,3,0)*0.475*44/12</f>
        <v>7.8272548659112386</v>
      </c>
      <c r="AB149" s="23">
        <f>EXP(-LN(2)/2)*AB148+(1-EXP(-LN(2)/2))/(LN(2)/2)*V149*Y149*VLOOKUP('Données projet'!$B$9,Paramètres!$A$1:$I$89,3,0)*0.475*44/12</f>
        <v>3.0444653455893827E-11</v>
      </c>
      <c r="AC149" s="24">
        <f t="shared" si="111"/>
        <v>93.828486951527438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3.1036506698001178E-14</v>
      </c>
      <c r="AK149" s="14">
        <f t="shared" si="143"/>
        <v>5.3428243983771088E-13</v>
      </c>
      <c r="AL149" s="22">
        <f t="shared" si="112"/>
        <v>9.8459716521636505E-13</v>
      </c>
      <c r="AM149" s="62">
        <f t="shared" si="113"/>
        <v>293.33333333333428</v>
      </c>
      <c r="AN149" s="62">
        <f ca="1">AVERAGE(OFFSET($AM$3,0,0,'Données projet'!$E$10+1,1))-AVERAGE(OFFSET($H$3,0,0,'Données projet'!$E$10+1,1))</f>
        <v>262.6671000229498</v>
      </c>
      <c r="AO149" s="62">
        <f t="shared" si="144"/>
        <v>289.30432245776024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48.567076093843049</v>
      </c>
      <c r="AV149" s="23">
        <f>EXP(-LN(2)/25)*AV148+(1-EXP(-LN(2)/25))/(LN(2)/25)*Calculateur!AQ149*Calculateur!AS149*VLOOKUP('Données projet'!$B$10,Paramètres!$A$1:$I$89,3,0)*0.475*44/12</f>
        <v>6.2332403676702146</v>
      </c>
      <c r="AW149" s="23">
        <f>EXP(-LN(2)/2)*AW148+(1-EXP(-LN(2)/2))/(LN(2)/2)*AQ149*AT149*VLOOKUP('Données projet'!$B$10,Paramètres!$A$1:$I$89,3,0)*0.475*44/12</f>
        <v>2.6140466166079597E-9</v>
      </c>
      <c r="AX149" s="23">
        <f t="shared" si="114"/>
        <v>54.800316464127306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268.27008134105046</v>
      </c>
      <c r="CZ149" s="62">
        <f t="shared" si="150"/>
        <v>252.36274686619709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45.380920044554784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45.380920044554784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>
        <f>DO149*VLOOKUP('Données projet'!$B$14,Paramètres!$A$1:$I$89,3,0)*VLOOKUP('Données projet'!$B$14,Paramètres!$A$1:$I$89,5,0)</f>
        <v>0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279.49721661620544</v>
      </c>
      <c r="DU149" s="62">
        <f t="shared" si="152"/>
        <v>275.18739333988754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39.873113285569545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39.873113285569545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394.11074988418096</v>
      </c>
      <c r="EP149" s="62">
        <f t="shared" si="154"/>
        <v>241.85593029696236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101.96823725458891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101.96823725458891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4.5474735088646412E-13</v>
      </c>
      <c r="O150" s="14">
        <f>N150*VLOOKUP('Données projet'!$B$9,Paramètres!$A$1:$I$89,3,0)*VLOOKUP('Données projet'!$B$9,Paramètres!$A$1:$I$89,5,0)</f>
        <v>2.5420376914553347E-13</v>
      </c>
      <c r="P150" s="14">
        <f t="shared" si="141"/>
        <v>3.4258699088369875E-12</v>
      </c>
      <c r="Q150" s="22">
        <f t="shared" si="108"/>
        <v>6.4094616558195571E-12</v>
      </c>
      <c r="R150" s="62">
        <f t="shared" si="109"/>
        <v>293.33333333333974</v>
      </c>
      <c r="S150" s="62">
        <f ca="1">AVERAGE(OFFSET($R$3,0,0,'Données projet'!$E$9+1,1))-AVERAGE(OFFSET($H$3,0,0,'Données projet'!$E$9+1,1))</f>
        <v>539.2446452106276</v>
      </c>
      <c r="T150" s="62">
        <f t="shared" si="142"/>
        <v>596.73830276071465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84.314800379959436</v>
      </c>
      <c r="AA150" s="23">
        <f>EXP(-LN(2)/25)*AA149+(1-EXP(-LN(2)/25))/(LN(2)/25)*Calculateur!V150*Calculateur!X150*VLOOKUP('Données projet'!$B$9,Paramètres!$A$1:$I$89,3,0)*0.475*44/12</f>
        <v>7.6132181699854522</v>
      </c>
      <c r="AB150" s="23">
        <f>EXP(-LN(2)/2)*AB149+(1-EXP(-LN(2)/2))/(LN(2)/2)*V150*Y150*VLOOKUP('Données projet'!$B$9,Paramètres!$A$1:$I$89,3,0)*0.475*44/12</f>
        <v>2.1527620909536984E-11</v>
      </c>
      <c r="AC150" s="24">
        <f t="shared" si="111"/>
        <v>91.928018549966424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3.1036506698001178E-14</v>
      </c>
      <c r="AK150" s="14">
        <f t="shared" si="143"/>
        <v>5.3428243983771088E-13</v>
      </c>
      <c r="AL150" s="22">
        <f t="shared" si="112"/>
        <v>9.8459716521636505E-13</v>
      </c>
      <c r="AM150" s="62">
        <f t="shared" si="113"/>
        <v>293.33333333333428</v>
      </c>
      <c r="AN150" s="62">
        <f ca="1">AVERAGE(OFFSET($AM$3,0,0,'Données projet'!$E$10+1,1))-AVERAGE(OFFSET($H$3,0,0,'Données projet'!$E$10+1,1))</f>
        <v>262.6671000229498</v>
      </c>
      <c r="AO150" s="62">
        <f t="shared" si="144"/>
        <v>289.30432245776024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47.614705354634175</v>
      </c>
      <c r="AV150" s="23">
        <f>EXP(-LN(2)/25)*AV149+(1-EXP(-LN(2)/25))/(LN(2)/25)*Calculateur!AQ150*Calculateur!AS150*VLOOKUP('Données projet'!$B$10,Paramètres!$A$1:$I$89,3,0)*0.475*44/12</f>
        <v>6.0627920820244077</v>
      </c>
      <c r="AW150" s="23">
        <f>EXP(-LN(2)/2)*AW149+(1-EXP(-LN(2)/2))/(LN(2)/2)*AQ150*AT150*VLOOKUP('Données projet'!$B$10,Paramètres!$A$1:$I$89,3,0)*0.475*44/12</f>
        <v>1.8484100889412396E-9</v>
      </c>
      <c r="AX150" s="23">
        <f t="shared" si="114"/>
        <v>53.677497438506997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268.27008134105046</v>
      </c>
      <c r="CZ150" s="62">
        <f t="shared" si="150"/>
        <v>252.36274686619709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44.491027882109158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44.491027882109158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>
        <f>DO150*VLOOKUP('Données projet'!$B$14,Paramètres!$A$1:$I$89,3,0)*VLOOKUP('Données projet'!$B$14,Paramètres!$A$1:$I$89,5,0)</f>
        <v>0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279.49721661620544</v>
      </c>
      <c r="DU150" s="62">
        <f t="shared" si="152"/>
        <v>275.18739333988754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39.091225854237209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39.091225854237209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394.11074988418096</v>
      </c>
      <c r="EP150" s="62">
        <f t="shared" si="154"/>
        <v>241.85593029696236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99.968702316509962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99.968702316509962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4.5474735088646412E-13</v>
      </c>
      <c r="O151" s="14">
        <f>N151*VLOOKUP('Données projet'!$B$9,Paramètres!$A$1:$I$89,3,0)*VLOOKUP('Données projet'!$B$9,Paramètres!$A$1:$I$89,5,0)</f>
        <v>2.5420376914553347E-13</v>
      </c>
      <c r="P151" s="14">
        <f t="shared" si="141"/>
        <v>3.4258699088369875E-12</v>
      </c>
      <c r="Q151" s="22">
        <f t="shared" si="108"/>
        <v>6.4094616558195571E-12</v>
      </c>
      <c r="R151" s="62">
        <f t="shared" si="109"/>
        <v>293.33333333333974</v>
      </c>
      <c r="S151" s="62">
        <f ca="1">AVERAGE(OFFSET($R$3,0,0,'Données projet'!$E$9+1,1))-AVERAGE(OFFSET($H$3,0,0,'Données projet'!$E$9+1,1))</f>
        <v>539.2446452106276</v>
      </c>
      <c r="T151" s="62">
        <f t="shared" si="142"/>
        <v>596.73830276071465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82.661438571458675</v>
      </c>
      <c r="AA151" s="23">
        <f>EXP(-LN(2)/25)*AA150+(1-EXP(-LN(2)/25))/(LN(2)/25)*Calculateur!V151*Calculateur!X151*VLOOKUP('Données projet'!$B$9,Paramètres!$A$1:$I$89,3,0)*0.475*44/12</f>
        <v>7.4050343187654564</v>
      </c>
      <c r="AB151" s="23">
        <f>EXP(-LN(2)/2)*AB150+(1-EXP(-LN(2)/2))/(LN(2)/2)*V151*Y151*VLOOKUP('Données projet'!$B$9,Paramètres!$A$1:$I$89,3,0)*0.475*44/12</f>
        <v>1.5222326727946913E-11</v>
      </c>
      <c r="AC151" s="24">
        <f t="shared" si="111"/>
        <v>90.066472890239353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3.1036506698001178E-14</v>
      </c>
      <c r="AK151" s="14">
        <f t="shared" si="143"/>
        <v>5.3428243983771088E-13</v>
      </c>
      <c r="AL151" s="22">
        <f t="shared" si="112"/>
        <v>9.8459716521636505E-13</v>
      </c>
      <c r="AM151" s="62">
        <f t="shared" si="113"/>
        <v>293.33333333333428</v>
      </c>
      <c r="AN151" s="62">
        <f ca="1">AVERAGE(OFFSET($AM$3,0,0,'Données projet'!$E$10+1,1))-AVERAGE(OFFSET($H$3,0,0,'Données projet'!$E$10+1,1))</f>
        <v>262.6671000229498</v>
      </c>
      <c r="AO151" s="62">
        <f t="shared" si="144"/>
        <v>289.30432245776024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46.681010024732394</v>
      </c>
      <c r="AV151" s="23">
        <f>EXP(-LN(2)/25)*AV150+(1-EXP(-LN(2)/25))/(LN(2)/25)*Calculateur!AQ151*Calculateur!AS151*VLOOKUP('Données projet'!$B$10,Paramètres!$A$1:$I$89,3,0)*0.475*44/12</f>
        <v>5.8970047137130717</v>
      </c>
      <c r="AW151" s="23">
        <f>EXP(-LN(2)/2)*AW150+(1-EXP(-LN(2)/2))/(LN(2)/2)*AQ151*AT151*VLOOKUP('Données projet'!$B$10,Paramètres!$A$1:$I$89,3,0)*0.475*44/12</f>
        <v>1.3070233083039801E-9</v>
      </c>
      <c r="AX151" s="23">
        <f t="shared" si="114"/>
        <v>52.57801473975249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268.27008134105046</v>
      </c>
      <c r="CZ151" s="62">
        <f t="shared" si="150"/>
        <v>252.36274686619709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43.618585962188462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43.618585962188462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>
        <f>DO151*VLOOKUP('Données projet'!$B$14,Paramètres!$A$1:$I$89,3,0)*VLOOKUP('Données projet'!$B$14,Paramètres!$A$1:$I$89,5,0)</f>
        <v>0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279.49721661620544</v>
      </c>
      <c r="DU151" s="62">
        <f t="shared" si="152"/>
        <v>275.18739333988754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38.324670758529059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38.324670758529059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394.11074988418096</v>
      </c>
      <c r="EP151" s="62">
        <f t="shared" si="154"/>
        <v>241.85593029696236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98.008377038970849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98.008377038970849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4.5474735088646412E-13</v>
      </c>
      <c r="O152" s="14">
        <f>N152*VLOOKUP('Données projet'!$B$9,Paramètres!$A$1:$I$89,3,0)*VLOOKUP('Données projet'!$B$9,Paramètres!$A$1:$I$89,5,0)</f>
        <v>2.5420376914553347E-13</v>
      </c>
      <c r="P152" s="14">
        <f t="shared" si="141"/>
        <v>3.4258699088369875E-12</v>
      </c>
      <c r="Q152" s="22">
        <f t="shared" si="108"/>
        <v>6.4094616558195571E-12</v>
      </c>
      <c r="R152" s="62">
        <f t="shared" si="109"/>
        <v>293.33333333333974</v>
      </c>
      <c r="S152" s="62">
        <f ca="1">AVERAGE(OFFSET($R$3,0,0,'Données projet'!$E$9+1,1))-AVERAGE(OFFSET($H$3,0,0,'Données projet'!$E$9+1,1))</f>
        <v>539.2446452106276</v>
      </c>
      <c r="T152" s="62">
        <f t="shared" si="142"/>
        <v>596.73830276071465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81.040498179571486</v>
      </c>
      <c r="AA152" s="23">
        <f>EXP(-LN(2)/25)*AA151+(1-EXP(-LN(2)/25))/(LN(2)/25)*Calculateur!V152*Calculateur!X152*VLOOKUP('Données projet'!$B$9,Paramètres!$A$1:$I$89,3,0)*0.475*44/12</f>
        <v>7.2025432659049846</v>
      </c>
      <c r="AB152" s="23">
        <f>EXP(-LN(2)/2)*AB151+(1-EXP(-LN(2)/2))/(LN(2)/2)*V152*Y152*VLOOKUP('Données projet'!$B$9,Paramètres!$A$1:$I$89,3,0)*0.475*44/12</f>
        <v>1.0763810454768492E-11</v>
      </c>
      <c r="AC152" s="24">
        <f t="shared" si="111"/>
        <v>88.243041445487222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3.1036506698001178E-14</v>
      </c>
      <c r="AK152" s="14">
        <f t="shared" si="143"/>
        <v>5.3428243983771088E-13</v>
      </c>
      <c r="AL152" s="22">
        <f t="shared" si="112"/>
        <v>9.8459716521636505E-13</v>
      </c>
      <c r="AM152" s="62">
        <f t="shared" si="113"/>
        <v>293.33333333333428</v>
      </c>
      <c r="AN152" s="62">
        <f ca="1">AVERAGE(OFFSET($AM$3,0,0,'Données projet'!$E$10+1,1))-AVERAGE(OFFSET($H$3,0,0,'Données projet'!$E$10+1,1))</f>
        <v>262.6671000229498</v>
      </c>
      <c r="AO152" s="62">
        <f t="shared" si="144"/>
        <v>289.30432245776024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45.765623890752074</v>
      </c>
      <c r="AV152" s="23">
        <f>EXP(-LN(2)/25)*AV151+(1-EXP(-LN(2)/25))/(LN(2)/25)*Calculateur!AQ152*Calculateur!AS152*VLOOKUP('Données projet'!$B$10,Paramètres!$A$1:$I$89,3,0)*0.475*44/12</f>
        <v>5.7357508097065875</v>
      </c>
      <c r="AW152" s="23">
        <f>EXP(-LN(2)/2)*AW151+(1-EXP(-LN(2)/2))/(LN(2)/2)*AQ152*AT152*VLOOKUP('Données projet'!$B$10,Paramètres!$A$1:$I$89,3,0)*0.475*44/12</f>
        <v>9.2420504447061993E-10</v>
      </c>
      <c r="AX152" s="23">
        <f t="shared" si="114"/>
        <v>51.501374701382865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268.27008134105046</v>
      </c>
      <c r="CZ152" s="62">
        <f t="shared" si="150"/>
        <v>252.36274686619709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42.763252096180388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42.763252096180388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>
        <f>DO152*VLOOKUP('Données projet'!$B$14,Paramètres!$A$1:$I$89,3,0)*VLOOKUP('Données projet'!$B$14,Paramètres!$A$1:$I$89,5,0)</f>
        <v>0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279.49721661620544</v>
      </c>
      <c r="DU152" s="62">
        <f t="shared" si="152"/>
        <v>275.18739333988754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37.573147340695307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37.573147340695307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394.11074988418096</v>
      </c>
      <c r="EP152" s="62">
        <f t="shared" si="154"/>
        <v>241.85593029696236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96.086492544443914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96.086492544443914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4.5474735088646412E-13</v>
      </c>
      <c r="O153" s="14">
        <f>N153*VLOOKUP('Données projet'!$B$9,Paramètres!$A$1:$I$89,3,0)*VLOOKUP('Données projet'!$B$9,Paramètres!$A$1:$I$89,5,0)</f>
        <v>2.5420376914553347E-13</v>
      </c>
      <c r="P153" s="14">
        <f t="shared" si="141"/>
        <v>3.4258699088369875E-12</v>
      </c>
      <c r="Q153" s="22">
        <f t="shared" si="108"/>
        <v>6.4094616558195571E-12</v>
      </c>
      <c r="R153" s="62">
        <f t="shared" si="109"/>
        <v>293.33333333333974</v>
      </c>
      <c r="S153" s="62">
        <f ca="1">AVERAGE(OFFSET($R$3,0,0,'Données projet'!$E$9+1,1))-AVERAGE(OFFSET($H$3,0,0,'Données projet'!$E$9+1,1))</f>
        <v>539.2446452106276</v>
      </c>
      <c r="T153" s="62">
        <f t="shared" si="142"/>
        <v>596.73830276071465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79.451343440093183</v>
      </c>
      <c r="AA153" s="23">
        <f>EXP(-LN(2)/25)*AA152+(1-EXP(-LN(2)/25))/(LN(2)/25)*Calculateur!V153*Calculateur!X153*VLOOKUP('Données projet'!$B$9,Paramètres!$A$1:$I$89,3,0)*0.475*44/12</f>
        <v>7.0055893415335238</v>
      </c>
      <c r="AB153" s="23">
        <f>EXP(-LN(2)/2)*AB152+(1-EXP(-LN(2)/2))/(LN(2)/2)*V153*Y153*VLOOKUP('Données projet'!$B$9,Paramètres!$A$1:$I$89,3,0)*0.475*44/12</f>
        <v>7.6111633639734566E-12</v>
      </c>
      <c r="AC153" s="24">
        <f t="shared" si="111"/>
        <v>86.456932781634322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3.1036506698001178E-14</v>
      </c>
      <c r="AK153" s="14">
        <f t="shared" si="143"/>
        <v>5.3428243983771088E-13</v>
      </c>
      <c r="AL153" s="22">
        <f t="shared" si="112"/>
        <v>9.8459716521636505E-13</v>
      </c>
      <c r="AM153" s="62">
        <f t="shared" si="113"/>
        <v>293.33333333333428</v>
      </c>
      <c r="AN153" s="62">
        <f ca="1">AVERAGE(OFFSET($AM$3,0,0,'Données projet'!$E$10+1,1))-AVERAGE(OFFSET($H$3,0,0,'Données projet'!$E$10+1,1))</f>
        <v>262.6671000229498</v>
      </c>
      <c r="AO153" s="62">
        <f t="shared" si="144"/>
        <v>289.30432245776024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44.868187920528698</v>
      </c>
      <c r="AV153" s="23">
        <f>EXP(-LN(2)/25)*AV152+(1-EXP(-LN(2)/25))/(LN(2)/25)*Calculateur!AQ153*Calculateur!AS153*VLOOKUP('Données projet'!$B$10,Paramètres!$A$1:$I$89,3,0)*0.475*44/12</f>
        <v>5.5789064021851349</v>
      </c>
      <c r="AW153" s="23">
        <f>EXP(-LN(2)/2)*AW152+(1-EXP(-LN(2)/2))/(LN(2)/2)*AQ153*AT153*VLOOKUP('Données projet'!$B$10,Paramètres!$A$1:$I$89,3,0)*0.475*44/12</f>
        <v>6.5351165415199013E-10</v>
      </c>
      <c r="AX153" s="23">
        <f t="shared" si="114"/>
        <v>50.447094323367345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268.27008134105046</v>
      </c>
      <c r="CZ153" s="62">
        <f t="shared" si="150"/>
        <v>252.36274686619709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41.924690805582586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41.924690805582586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>
        <f>DO153*VLOOKUP('Données projet'!$B$14,Paramètres!$A$1:$I$89,3,0)*VLOOKUP('Données projet'!$B$14,Paramètres!$A$1:$I$89,5,0)</f>
        <v>0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279.49721661620544</v>
      </c>
      <c r="DU153" s="62">
        <f t="shared" si="152"/>
        <v>275.18739333988754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36.836360838701246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36.836360838701246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394.11074988418096</v>
      </c>
      <c r="EP153" s="62">
        <f t="shared" si="154"/>
        <v>241.85593029696236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94.202295032620867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94.202295032620867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4.5474735088646412E-13</v>
      </c>
      <c r="O154" s="14">
        <f>N154*VLOOKUP('Données projet'!$B$9,Paramètres!$A$1:$I$89,3,0)*VLOOKUP('Données projet'!$B$9,Paramètres!$A$1:$I$89,5,0)</f>
        <v>2.5420376914553347E-13</v>
      </c>
      <c r="P154" s="14">
        <f t="shared" si="141"/>
        <v>3.4258699088369875E-12</v>
      </c>
      <c r="Q154" s="22">
        <f t="shared" ref="Q154:Q203" si="162">(O154+P154)*0.475*44/12</f>
        <v>6.4094616558195571E-12</v>
      </c>
      <c r="R154" s="62">
        <f t="shared" si="109"/>
        <v>293.33333333333974</v>
      </c>
      <c r="S154" s="62">
        <f ca="1">AVERAGE(OFFSET($R$3,0,0,'Données projet'!$E$9+1,1))-AVERAGE(OFFSET($H$3,0,0,'Données projet'!$E$9+1,1))</f>
        <v>539.2446452106276</v>
      </c>
      <c r="T154" s="62">
        <f t="shared" si="142"/>
        <v>596.73830276071465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77.893351055767369</v>
      </c>
      <c r="AA154" s="23">
        <f>EXP(-LN(2)/25)*AA153+(1-EXP(-LN(2)/25))/(LN(2)/25)*Calculateur!V154*Calculateur!X154*VLOOKUP('Données projet'!$B$9,Paramètres!$A$1:$I$89,3,0)*0.475*44/12</f>
        <v>6.8140211325813578</v>
      </c>
      <c r="AB154" s="23">
        <f>EXP(-LN(2)/2)*AB153+(1-EXP(-LN(2)/2))/(LN(2)/2)*V154*Y154*VLOOKUP('Données projet'!$B$9,Paramètres!$A$1:$I$89,3,0)*0.475*44/12</f>
        <v>5.381905227384246E-12</v>
      </c>
      <c r="AC154" s="24">
        <f t="shared" ref="AC154:AC203" si="163">SUM(Z154:AB154)</f>
        <v>84.707372188354114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3.1036506698001178E-14</v>
      </c>
      <c r="AK154" s="14">
        <f t="shared" ref="AK154:AK203" si="164">EXP(-1.0587+0.8836*LN(AJ154)+0.284)</f>
        <v>5.3428243983771088E-13</v>
      </c>
      <c r="AL154" s="22">
        <f t="shared" ref="AL154:AL203" si="165">(AJ154+AK154)*0.475*44/12</f>
        <v>9.8459716521636505E-13</v>
      </c>
      <c r="AM154" s="62">
        <f t="shared" si="113"/>
        <v>293.33333333333428</v>
      </c>
      <c r="AN154" s="62">
        <f ca="1">AVERAGE(OFFSET($AM$3,0,0,'Données projet'!$E$10+1,1))-AVERAGE(OFFSET($H$3,0,0,'Données projet'!$E$10+1,1))</f>
        <v>262.6671000229498</v>
      </c>
      <c r="AO154" s="62">
        <f t="shared" si="144"/>
        <v>289.30432245776024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43.988350122299508</v>
      </c>
      <c r="AV154" s="23">
        <f>EXP(-LN(2)/25)*AV153+(1-EXP(-LN(2)/25))/(LN(2)/25)*Calculateur!AQ154*Calculateur!AS154*VLOOKUP('Données projet'!$B$10,Paramètres!$A$1:$I$89,3,0)*0.475*44/12</f>
        <v>5.4263509132354457</v>
      </c>
      <c r="AW154" s="23">
        <f>EXP(-LN(2)/2)*AW153+(1-EXP(-LN(2)/2))/(LN(2)/2)*AQ154*AT154*VLOOKUP('Données projet'!$B$10,Paramètres!$A$1:$I$89,3,0)*0.475*44/12</f>
        <v>4.6210252223531002E-10</v>
      </c>
      <c r="AX154" s="23">
        <f t="shared" ref="AX154:AX203" si="166">SUM(AU154:AW154)</f>
        <v>49.414701035997055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268.27008134105046</v>
      </c>
      <c r="CZ154" s="62">
        <f t="shared" si="150"/>
        <v>252.36274686619709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41.102573190421523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41.102573190421523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>
        <f>DO154*VLOOKUP('Données projet'!$B$14,Paramètres!$A$1:$I$89,3,0)*VLOOKUP('Données projet'!$B$14,Paramètres!$A$1:$I$89,5,0)</f>
        <v>0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279.49721661620544</v>
      </c>
      <c r="DU154" s="62">
        <f t="shared" si="152"/>
        <v>275.18739333988754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36.114022270615898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36.114022270615898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394.11074988418096</v>
      </c>
      <c r="EP154" s="62">
        <f t="shared" si="154"/>
        <v>241.85593029696236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92.355045484757667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92.355045484757667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4.5474735088646412E-13</v>
      </c>
      <c r="O155" s="14">
        <f>N155*VLOOKUP('Données projet'!$B$9,Paramètres!$A$1:$I$89,3,0)*VLOOKUP('Données projet'!$B$9,Paramètres!$A$1:$I$89,5,0)</f>
        <v>2.5420376914553347E-13</v>
      </c>
      <c r="P155" s="14">
        <f t="shared" si="141"/>
        <v>3.4258699088369875E-12</v>
      </c>
      <c r="Q155" s="22">
        <f t="shared" si="162"/>
        <v>6.4094616558195571E-12</v>
      </c>
      <c r="R155" s="62">
        <f t="shared" si="109"/>
        <v>293.33333333333974</v>
      </c>
      <c r="S155" s="62">
        <f ca="1">AVERAGE(OFFSET($R$3,0,0,'Données projet'!$E$9+1,1))-AVERAGE(OFFSET($H$3,0,0,'Données projet'!$E$9+1,1))</f>
        <v>539.2446452106276</v>
      </c>
      <c r="T155" s="62">
        <f t="shared" si="142"/>
        <v>596.73830276071465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76.365909951816661</v>
      </c>
      <c r="AA155" s="23">
        <f>EXP(-LN(2)/25)*AA154+(1-EXP(-LN(2)/25))/(LN(2)/25)*Calculateur!V155*Calculateur!X155*VLOOKUP('Données projet'!$B$9,Paramètres!$A$1:$I$89,3,0)*0.475*44/12</f>
        <v>6.6276913663771229</v>
      </c>
      <c r="AB155" s="23">
        <f>EXP(-LN(2)/2)*AB154+(1-EXP(-LN(2)/2))/(LN(2)/2)*V155*Y155*VLOOKUP('Données projet'!$B$9,Paramètres!$A$1:$I$89,3,0)*0.475*44/12</f>
        <v>3.8055816819867283E-12</v>
      </c>
      <c r="AC155" s="24">
        <f t="shared" si="163"/>
        <v>82.993601318197591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3.1036506698001178E-14</v>
      </c>
      <c r="AK155" s="14">
        <f t="shared" si="164"/>
        <v>5.3428243983771088E-13</v>
      </c>
      <c r="AL155" s="22">
        <f t="shared" si="165"/>
        <v>9.8459716521636505E-13</v>
      </c>
      <c r="AM155" s="62">
        <f t="shared" si="113"/>
        <v>293.33333333333428</v>
      </c>
      <c r="AN155" s="62">
        <f ca="1">AVERAGE(OFFSET($AM$3,0,0,'Données projet'!$E$10+1,1))-AVERAGE(OFFSET($H$3,0,0,'Données projet'!$E$10+1,1))</f>
        <v>262.6671000229498</v>
      </c>
      <c r="AO155" s="62">
        <f t="shared" si="144"/>
        <v>289.30432245776024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43.12576540664552</v>
      </c>
      <c r="AV155" s="23">
        <f>EXP(-LN(2)/25)*AV154+(1-EXP(-LN(2)/25))/(LN(2)/25)*Calculateur!AQ155*Calculateur!AS155*VLOOKUP('Données projet'!$B$10,Paramètres!$A$1:$I$89,3,0)*0.475*44/12</f>
        <v>5.2779670621536301</v>
      </c>
      <c r="AW155" s="23">
        <f>EXP(-LN(2)/2)*AW154+(1-EXP(-LN(2)/2))/(LN(2)/2)*AQ155*AT155*VLOOKUP('Données projet'!$B$10,Paramètres!$A$1:$I$89,3,0)*0.475*44/12</f>
        <v>3.2675582707599512E-10</v>
      </c>
      <c r="AX155" s="23">
        <f t="shared" si="166"/>
        <v>48.403732469125906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268.27008134105046</v>
      </c>
      <c r="CZ155" s="62">
        <f t="shared" si="150"/>
        <v>252.36274686619709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40.296576800251536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40.296576800251536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>
        <f>DO155*VLOOKUP('Données projet'!$B$14,Paramètres!$A$1:$I$89,3,0)*VLOOKUP('Données projet'!$B$14,Paramètres!$A$1:$I$89,5,0)</f>
        <v>0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279.49721661620544</v>
      </c>
      <c r="DU155" s="62">
        <f t="shared" si="152"/>
        <v>275.18739333988754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35.405848321267683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35.405848321267683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394.11074988418096</v>
      </c>
      <c r="EP155" s="62">
        <f t="shared" si="154"/>
        <v>241.85593029696236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90.544019373817093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90.544019373817093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4.5474735088646412E-13</v>
      </c>
      <c r="O156" s="14">
        <f>N156*VLOOKUP('Données projet'!$B$9,Paramètres!$A$1:$I$89,3,0)*VLOOKUP('Données projet'!$B$9,Paramètres!$A$1:$I$89,5,0)</f>
        <v>2.5420376914553347E-13</v>
      </c>
      <c r="P156" s="14">
        <f t="shared" si="141"/>
        <v>3.4258699088369875E-12</v>
      </c>
      <c r="Q156" s="22">
        <f t="shared" si="162"/>
        <v>6.4094616558195571E-12</v>
      </c>
      <c r="R156" s="62">
        <f t="shared" si="109"/>
        <v>293.33333333333974</v>
      </c>
      <c r="S156" s="62">
        <f ca="1">AVERAGE(OFFSET($R$3,0,0,'Données projet'!$E$9+1,1))-AVERAGE(OFFSET($H$3,0,0,'Données projet'!$E$9+1,1))</f>
        <v>539.2446452106276</v>
      </c>
      <c r="T156" s="62">
        <f t="shared" si="142"/>
        <v>596.73830276071465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74.86842103626735</v>
      </c>
      <c r="AA156" s="23">
        <f>EXP(-LN(2)/25)*AA155+(1-EXP(-LN(2)/25))/(LN(2)/25)*Calculateur!V156*Calculateur!X156*VLOOKUP('Données projet'!$B$9,Paramètres!$A$1:$I$89,3,0)*0.475*44/12</f>
        <v>6.4464567974283993</v>
      </c>
      <c r="AB156" s="23">
        <f>EXP(-LN(2)/2)*AB155+(1-EXP(-LN(2)/2))/(LN(2)/2)*V156*Y156*VLOOKUP('Données projet'!$B$9,Paramètres!$A$1:$I$89,3,0)*0.475*44/12</f>
        <v>2.690952613692123E-12</v>
      </c>
      <c r="AC156" s="24">
        <f t="shared" si="163"/>
        <v>81.314877833698432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3.1036506698001178E-14</v>
      </c>
      <c r="AK156" s="14">
        <f t="shared" si="164"/>
        <v>5.3428243983771088E-13</v>
      </c>
      <c r="AL156" s="22">
        <f t="shared" si="165"/>
        <v>9.8459716521636505E-13</v>
      </c>
      <c r="AM156" s="62">
        <f t="shared" si="113"/>
        <v>293.33333333333428</v>
      </c>
      <c r="AN156" s="62">
        <f ca="1">AVERAGE(OFFSET($AM$3,0,0,'Données projet'!$E$10+1,1))-AVERAGE(OFFSET($H$3,0,0,'Données projet'!$E$10+1,1))</f>
        <v>262.6671000229498</v>
      </c>
      <c r="AO156" s="62">
        <f t="shared" si="144"/>
        <v>289.30432245776024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42.280095451140781</v>
      </c>
      <c r="AV156" s="23">
        <f>EXP(-LN(2)/25)*AV155+(1-EXP(-LN(2)/25))/(LN(2)/25)*Calculateur!AQ156*Calculateur!AS156*VLOOKUP('Données projet'!$B$10,Paramètres!$A$1:$I$89,3,0)*0.475*44/12</f>
        <v>5.1336407752828146</v>
      </c>
      <c r="AW156" s="23">
        <f>EXP(-LN(2)/2)*AW155+(1-EXP(-LN(2)/2))/(LN(2)/2)*AQ156*AT156*VLOOKUP('Données projet'!$B$10,Paramètres!$A$1:$I$89,3,0)*0.475*44/12</f>
        <v>2.3105126111765506E-10</v>
      </c>
      <c r="AX156" s="23">
        <f t="shared" si="166"/>
        <v>47.413736226654649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268.27008134105046</v>
      </c>
      <c r="CZ156" s="62">
        <f t="shared" si="150"/>
        <v>252.36274686619709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39.506385507683525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39.506385507683525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>
        <f>DO156*VLOOKUP('Données projet'!$B$14,Paramètres!$A$1:$I$89,3,0)*VLOOKUP('Données projet'!$B$14,Paramètres!$A$1:$I$89,5,0)</f>
        <v>0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279.49721661620544</v>
      </c>
      <c r="DU156" s="62">
        <f t="shared" si="152"/>
        <v>275.18739333988754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34.71156123112273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34.71156123112273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394.11074988418096</v>
      </c>
      <c r="EP156" s="62">
        <f t="shared" si="154"/>
        <v>241.85593029696236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88.768506380295207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88.768506380295207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4.5474735088646412E-13</v>
      </c>
      <c r="O157" s="14">
        <f>N157*VLOOKUP('Données projet'!$B$9,Paramètres!$A$1:$I$89,3,0)*VLOOKUP('Données projet'!$B$9,Paramètres!$A$1:$I$89,5,0)</f>
        <v>2.5420376914553347E-13</v>
      </c>
      <c r="P157" s="14">
        <f t="shared" si="141"/>
        <v>3.4258699088369875E-12</v>
      </c>
      <c r="Q157" s="22">
        <f t="shared" si="162"/>
        <v>6.4094616558195571E-12</v>
      </c>
      <c r="R157" s="62">
        <f t="shared" si="109"/>
        <v>293.33333333333974</v>
      </c>
      <c r="S157" s="62">
        <f ca="1">AVERAGE(OFFSET($R$3,0,0,'Données projet'!$E$9+1,1))-AVERAGE(OFFSET($H$3,0,0,'Données projet'!$E$9+1,1))</f>
        <v>539.2446452106276</v>
      </c>
      <c r="T157" s="62">
        <f t="shared" si="142"/>
        <v>596.73830276071465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73.400296964973919</v>
      </c>
      <c r="AA157" s="23">
        <f>EXP(-LN(2)/25)*AA156+(1-EXP(-LN(2)/25))/(LN(2)/25)*Calculateur!V157*Calculateur!X157*VLOOKUP('Données projet'!$B$9,Paramètres!$A$1:$I$89,3,0)*0.475*44/12</f>
        <v>6.2701780972982899</v>
      </c>
      <c r="AB157" s="23">
        <f>EXP(-LN(2)/2)*AB156+(1-EXP(-LN(2)/2))/(LN(2)/2)*V157*Y157*VLOOKUP('Données projet'!$B$9,Paramètres!$A$1:$I$89,3,0)*0.475*44/12</f>
        <v>1.9027908409933642E-12</v>
      </c>
      <c r="AC157" s="24">
        <f t="shared" si="163"/>
        <v>79.670475062274107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3.1036506698001178E-14</v>
      </c>
      <c r="AK157" s="14">
        <f t="shared" si="164"/>
        <v>5.3428243983771088E-13</v>
      </c>
      <c r="AL157" s="22">
        <f t="shared" si="165"/>
        <v>9.8459716521636505E-13</v>
      </c>
      <c r="AM157" s="62">
        <f t="shared" si="113"/>
        <v>293.33333333333428</v>
      </c>
      <c r="AN157" s="62">
        <f ca="1">AVERAGE(OFFSET($AM$3,0,0,'Données projet'!$E$10+1,1))-AVERAGE(OFFSET($H$3,0,0,'Données projet'!$E$10+1,1))</f>
        <v>262.6671000229498</v>
      </c>
      <c r="AO157" s="62">
        <f t="shared" si="144"/>
        <v>289.30432245776024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41.451008567655748</v>
      </c>
      <c r="AV157" s="23">
        <f>EXP(-LN(2)/25)*AV156+(1-EXP(-LN(2)/25))/(LN(2)/25)*Calculateur!AQ157*Calculateur!AS157*VLOOKUP('Données projet'!$B$10,Paramètres!$A$1:$I$89,3,0)*0.475*44/12</f>
        <v>4.9932610983162711</v>
      </c>
      <c r="AW157" s="23">
        <f>EXP(-LN(2)/2)*AW156+(1-EXP(-LN(2)/2))/(LN(2)/2)*AQ157*AT157*VLOOKUP('Données projet'!$B$10,Paramètres!$A$1:$I$89,3,0)*0.475*44/12</f>
        <v>1.6337791353799758E-10</v>
      </c>
      <c r="AX157" s="23">
        <f t="shared" si="166"/>
        <v>46.444269666135391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268.27008134105046</v>
      </c>
      <c r="CZ157" s="62">
        <f t="shared" si="150"/>
        <v>252.36274686619709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38.731689384393675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38.731689384393675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>
        <f>DO157*VLOOKUP('Données projet'!$B$14,Paramètres!$A$1:$I$89,3,0)*VLOOKUP('Données projet'!$B$14,Paramètres!$A$1:$I$89,5,0)</f>
        <v>0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279.49721661620544</v>
      </c>
      <c r="DU157" s="62">
        <f t="shared" si="152"/>
        <v>275.18739333988754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34.030888687342205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34.030888687342205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394.11074988418096</v>
      </c>
      <c r="EP157" s="62">
        <f t="shared" si="154"/>
        <v>241.85593029696236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87.027810113620291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87.027810113620291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4.5474735088646412E-13</v>
      </c>
      <c r="O158" s="14">
        <f>N158*VLOOKUP('Données projet'!$B$9,Paramètres!$A$1:$I$89,3,0)*VLOOKUP('Données projet'!$B$9,Paramètres!$A$1:$I$89,5,0)</f>
        <v>2.5420376914553347E-13</v>
      </c>
      <c r="P158" s="14">
        <f t="shared" si="141"/>
        <v>3.4258699088369875E-12</v>
      </c>
      <c r="Q158" s="22">
        <f t="shared" si="162"/>
        <v>6.4094616558195571E-12</v>
      </c>
      <c r="R158" s="62">
        <f t="shared" si="109"/>
        <v>293.33333333333974</v>
      </c>
      <c r="S158" s="62">
        <f ca="1">AVERAGE(OFFSET($R$3,0,0,'Données projet'!$E$9+1,1))-AVERAGE(OFFSET($H$3,0,0,'Données projet'!$E$9+1,1))</f>
        <v>539.2446452106276</v>
      </c>
      <c r="T158" s="62">
        <f t="shared" si="142"/>
        <v>596.73830276071465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71.960961911251289</v>
      </c>
      <c r="AA158" s="23">
        <f>EXP(-LN(2)/25)*AA157+(1-EXP(-LN(2)/25))/(LN(2)/25)*Calculateur!V158*Calculateur!X158*VLOOKUP('Données projet'!$B$9,Paramètres!$A$1:$I$89,3,0)*0.475*44/12</f>
        <v>6.098719747493333</v>
      </c>
      <c r="AB158" s="23">
        <f>EXP(-LN(2)/2)*AB157+(1-EXP(-LN(2)/2))/(LN(2)/2)*V158*Y158*VLOOKUP('Données projet'!$B$9,Paramètres!$A$1:$I$89,3,0)*0.475*44/12</f>
        <v>1.3454763068460615E-12</v>
      </c>
      <c r="AC158" s="24">
        <f t="shared" si="163"/>
        <v>78.059681658745973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3.1036506698001178E-14</v>
      </c>
      <c r="AK158" s="14">
        <f t="shared" si="164"/>
        <v>5.3428243983771088E-13</v>
      </c>
      <c r="AL158" s="22">
        <f t="shared" si="165"/>
        <v>9.8459716521636505E-13</v>
      </c>
      <c r="AM158" s="62">
        <f t="shared" si="113"/>
        <v>293.33333333333428</v>
      </c>
      <c r="AN158" s="62">
        <f ca="1">AVERAGE(OFFSET($AM$3,0,0,'Données projet'!$E$10+1,1))-AVERAGE(OFFSET($H$3,0,0,'Données projet'!$E$10+1,1))</f>
        <v>262.6671000229498</v>
      </c>
      <c r="AO158" s="62">
        <f t="shared" si="144"/>
        <v>289.30432245776024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40.638179572262793</v>
      </c>
      <c r="AV158" s="23">
        <f>EXP(-LN(2)/25)*AV157+(1-EXP(-LN(2)/25))/(LN(2)/25)*Calculateur!AQ158*Calculateur!AS158*VLOOKUP('Données projet'!$B$10,Paramètres!$A$1:$I$89,3,0)*0.475*44/12</f>
        <v>4.8567201109986238</v>
      </c>
      <c r="AW158" s="23">
        <f>EXP(-LN(2)/2)*AW157+(1-EXP(-LN(2)/2))/(LN(2)/2)*AQ158*AT158*VLOOKUP('Données projet'!$B$10,Paramètres!$A$1:$I$89,3,0)*0.475*44/12</f>
        <v>1.1552563055882754E-10</v>
      </c>
      <c r="AX158" s="23">
        <f t="shared" si="166"/>
        <v>45.494899683376943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268.27008134105046</v>
      </c>
      <c r="CZ158" s="62">
        <f t="shared" si="150"/>
        <v>252.36274686619709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37.972184579563567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37.972184579563567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>
        <f>DO158*VLOOKUP('Données projet'!$B$14,Paramètres!$A$1:$I$89,3,0)*VLOOKUP('Données projet'!$B$14,Paramètres!$A$1:$I$89,5,0)</f>
        <v>0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279.49721661620544</v>
      </c>
      <c r="DU158" s="62">
        <f t="shared" si="152"/>
        <v>275.18739333988754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33.36356371697596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33.36356371697596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394.11074988418096</v>
      </c>
      <c r="EP158" s="62">
        <f t="shared" si="154"/>
        <v>241.85593029696236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85.321247839014987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85.321247839014987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4.5474735088646412E-13</v>
      </c>
      <c r="O159" s="14">
        <f>N159*VLOOKUP('Données projet'!$B$9,Paramètres!$A$1:$I$89,3,0)*VLOOKUP('Données projet'!$B$9,Paramètres!$A$1:$I$89,5,0)</f>
        <v>2.5420376914553347E-13</v>
      </c>
      <c r="P159" s="14">
        <f t="shared" si="141"/>
        <v>3.4258699088369875E-12</v>
      </c>
      <c r="Q159" s="22">
        <f t="shared" si="162"/>
        <v>6.4094616558195571E-12</v>
      </c>
      <c r="R159" s="62">
        <f t="shared" si="109"/>
        <v>293.33333333333974</v>
      </c>
      <c r="S159" s="62">
        <f ca="1">AVERAGE(OFFSET($R$3,0,0,'Données projet'!$E$9+1,1))-AVERAGE(OFFSET($H$3,0,0,'Données projet'!$E$9+1,1))</f>
        <v>539.2446452106276</v>
      </c>
      <c r="T159" s="62">
        <f t="shared" si="142"/>
        <v>596.73830276071465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70.54985134002446</v>
      </c>
      <c r="AA159" s="23">
        <f>EXP(-LN(2)/25)*AA158+(1-EXP(-LN(2)/25))/(LN(2)/25)*Calculateur!V159*Calculateur!X159*VLOOKUP('Données projet'!$B$9,Paramètres!$A$1:$I$89,3,0)*0.475*44/12</f>
        <v>5.9319499352803948</v>
      </c>
      <c r="AB159" s="23">
        <f>EXP(-LN(2)/2)*AB158+(1-EXP(-LN(2)/2))/(LN(2)/2)*V159*Y159*VLOOKUP('Données projet'!$B$9,Paramètres!$A$1:$I$89,3,0)*0.475*44/12</f>
        <v>9.5139542049668208E-13</v>
      </c>
      <c r="AC159" s="24">
        <f t="shared" si="163"/>
        <v>76.481801275305813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3.1036506698001178E-14</v>
      </c>
      <c r="AK159" s="14">
        <f t="shared" si="164"/>
        <v>5.3428243983771088E-13</v>
      </c>
      <c r="AL159" s="22">
        <f t="shared" si="165"/>
        <v>9.8459716521636505E-13</v>
      </c>
      <c r="AM159" s="62">
        <f t="shared" si="113"/>
        <v>293.33333333333428</v>
      </c>
      <c r="AN159" s="62">
        <f ca="1">AVERAGE(OFFSET($AM$3,0,0,'Données projet'!$E$10+1,1))-AVERAGE(OFFSET($H$3,0,0,'Données projet'!$E$10+1,1))</f>
        <v>262.6671000229498</v>
      </c>
      <c r="AO159" s="62">
        <f t="shared" si="144"/>
        <v>289.30432245776024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39.841289657692762</v>
      </c>
      <c r="AV159" s="23">
        <f>EXP(-LN(2)/25)*AV158+(1-EXP(-LN(2)/25))/(LN(2)/25)*Calculateur!AQ159*Calculateur!AS159*VLOOKUP('Données projet'!$B$10,Paramètres!$A$1:$I$89,3,0)*0.475*44/12</f>
        <v>4.7239128441595559</v>
      </c>
      <c r="AW159" s="23">
        <f>EXP(-LN(2)/2)*AW158+(1-EXP(-LN(2)/2))/(LN(2)/2)*AQ159*AT159*VLOOKUP('Données projet'!$B$10,Paramètres!$A$1:$I$89,3,0)*0.475*44/12</f>
        <v>8.1688956768998805E-11</v>
      </c>
      <c r="AX159" s="23">
        <f t="shared" si="166"/>
        <v>44.56520250193401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268.27008134105046</v>
      </c>
      <c r="CZ159" s="62">
        <f t="shared" si="150"/>
        <v>252.36274686619709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37.227573200703986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37.227573200703986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>
        <f>DO159*VLOOKUP('Données projet'!$B$14,Paramètres!$A$1:$I$89,3,0)*VLOOKUP('Données projet'!$B$14,Paramètres!$A$1:$I$89,5,0)</f>
        <v>0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279.49721661620544</v>
      </c>
      <c r="DU159" s="62">
        <f t="shared" si="152"/>
        <v>275.18739333988754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32.709324582250559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32.709324582250559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394.11074988418096</v>
      </c>
      <c r="EP159" s="62">
        <f t="shared" si="154"/>
        <v>241.85593029696236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83.648150209714487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83.648150209714487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4.5474735088646412E-13</v>
      </c>
      <c r="O160" s="14">
        <f>N160*VLOOKUP('Données projet'!$B$9,Paramètres!$A$1:$I$89,3,0)*VLOOKUP('Données projet'!$B$9,Paramètres!$A$1:$I$89,5,0)</f>
        <v>2.5420376914553347E-13</v>
      </c>
      <c r="P160" s="14">
        <f t="shared" si="141"/>
        <v>3.4258699088369875E-12</v>
      </c>
      <c r="Q160" s="22">
        <f t="shared" si="162"/>
        <v>6.4094616558195571E-12</v>
      </c>
      <c r="R160" s="62">
        <f t="shared" si="109"/>
        <v>293.33333333333974</v>
      </c>
      <c r="S160" s="62">
        <f ca="1">AVERAGE(OFFSET($R$3,0,0,'Données projet'!$E$9+1,1))-AVERAGE(OFFSET($H$3,0,0,'Données projet'!$E$9+1,1))</f>
        <v>539.2446452106276</v>
      </c>
      <c r="T160" s="62">
        <f t="shared" si="142"/>
        <v>596.73830276071465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69.166411786406925</v>
      </c>
      <c r="AA160" s="23">
        <f>EXP(-LN(2)/25)*AA159+(1-EXP(-LN(2)/25))/(LN(2)/25)*Calculateur!V160*Calculateur!X160*VLOOKUP('Données projet'!$B$9,Paramètres!$A$1:$I$89,3,0)*0.475*44/12</f>
        <v>5.7697404523524627</v>
      </c>
      <c r="AB160" s="23">
        <f>EXP(-LN(2)/2)*AB159+(1-EXP(-LN(2)/2))/(LN(2)/2)*V160*Y160*VLOOKUP('Données projet'!$B$9,Paramètres!$A$1:$I$89,3,0)*0.475*44/12</f>
        <v>6.7273815342303075E-13</v>
      </c>
      <c r="AC160" s="24">
        <f t="shared" si="163"/>
        <v>74.936152238760059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3.1036506698001178E-14</v>
      </c>
      <c r="AK160" s="14">
        <f t="shared" si="164"/>
        <v>5.3428243983771088E-13</v>
      </c>
      <c r="AL160" s="22">
        <f t="shared" si="165"/>
        <v>9.8459716521636505E-13</v>
      </c>
      <c r="AM160" s="62">
        <f t="shared" si="113"/>
        <v>293.33333333333428</v>
      </c>
      <c r="AN160" s="62">
        <f ca="1">AVERAGE(OFFSET($AM$3,0,0,'Données projet'!$E$10+1,1))-AVERAGE(OFFSET($H$3,0,0,'Données projet'!$E$10+1,1))</f>
        <v>262.6671000229498</v>
      </c>
      <c r="AO160" s="62">
        <f t="shared" si="144"/>
        <v>289.30432245776024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39.060026268292596</v>
      </c>
      <c r="AV160" s="23">
        <f>EXP(-LN(2)/25)*AV159+(1-EXP(-LN(2)/25))/(LN(2)/25)*Calculateur!AQ160*Calculateur!AS160*VLOOKUP('Données projet'!$B$10,Paramètres!$A$1:$I$89,3,0)*0.475*44/12</f>
        <v>4.5947371990162331</v>
      </c>
      <c r="AW160" s="23">
        <f>EXP(-LN(2)/2)*AW159+(1-EXP(-LN(2)/2))/(LN(2)/2)*AQ160*AT160*VLOOKUP('Données projet'!$B$10,Paramètres!$A$1:$I$89,3,0)*0.475*44/12</f>
        <v>5.7762815279413784E-11</v>
      </c>
      <c r="AX160" s="23">
        <f t="shared" si="166"/>
        <v>43.654763467366585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268.27008134105046</v>
      </c>
      <c r="CZ160" s="62">
        <f t="shared" si="150"/>
        <v>252.36274686619709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36.497563196815747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36.497563196815747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>
        <f>DO160*VLOOKUP('Données projet'!$B$14,Paramètres!$A$1:$I$89,3,0)*VLOOKUP('Données projet'!$B$14,Paramètres!$A$1:$I$89,5,0)</f>
        <v>0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279.49721661620544</v>
      </c>
      <c r="DU160" s="62">
        <f t="shared" si="152"/>
        <v>275.18739333988754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32.06791467791065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32.06791467791065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394.11074988418096</v>
      </c>
      <c r="EP160" s="62">
        <f t="shared" si="154"/>
        <v>241.85593029696236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82.007861004435767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82.007861004435767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4.5474735088646412E-13</v>
      </c>
      <c r="O161" s="14">
        <f>N161*VLOOKUP('Données projet'!$B$9,Paramètres!$A$1:$I$89,3,0)*VLOOKUP('Données projet'!$B$9,Paramètres!$A$1:$I$89,5,0)</f>
        <v>2.5420376914553347E-13</v>
      </c>
      <c r="P161" s="14">
        <f t="shared" si="141"/>
        <v>3.4258699088369875E-12</v>
      </c>
      <c r="Q161" s="22">
        <f t="shared" si="162"/>
        <v>6.4094616558195571E-12</v>
      </c>
      <c r="R161" s="62">
        <f t="shared" si="109"/>
        <v>293.33333333333974</v>
      </c>
      <c r="S161" s="62">
        <f ca="1">AVERAGE(OFFSET($R$3,0,0,'Données projet'!$E$9+1,1))-AVERAGE(OFFSET($H$3,0,0,'Données projet'!$E$9+1,1))</f>
        <v>539.2446452106276</v>
      </c>
      <c r="T161" s="62">
        <f t="shared" si="142"/>
        <v>596.73830276071465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67.810100638621023</v>
      </c>
      <c r="AA161" s="23">
        <f>EXP(-LN(2)/25)*AA160+(1-EXP(-LN(2)/25))/(LN(2)/25)*Calculateur!V161*Calculateur!X161*VLOOKUP('Données projet'!$B$9,Paramètres!$A$1:$I$89,3,0)*0.475*44/12</f>
        <v>5.6119665962654208</v>
      </c>
      <c r="AB161" s="23">
        <f>EXP(-LN(2)/2)*AB160+(1-EXP(-LN(2)/2))/(LN(2)/2)*V161*Y161*VLOOKUP('Données projet'!$B$9,Paramètres!$A$1:$I$89,3,0)*0.475*44/12</f>
        <v>4.7569771024834104E-13</v>
      </c>
      <c r="AC161" s="24">
        <f t="shared" si="163"/>
        <v>73.42206723488691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3.1036506698001178E-14</v>
      </c>
      <c r="AK161" s="14">
        <f t="shared" si="164"/>
        <v>5.3428243983771088E-13</v>
      </c>
      <c r="AL161" s="22">
        <f t="shared" si="165"/>
        <v>9.8459716521636505E-13</v>
      </c>
      <c r="AM161" s="62">
        <f t="shared" si="113"/>
        <v>293.33333333333428</v>
      </c>
      <c r="AN161" s="62">
        <f ca="1">AVERAGE(OFFSET($AM$3,0,0,'Données projet'!$E$10+1,1))-AVERAGE(OFFSET($H$3,0,0,'Données projet'!$E$10+1,1))</f>
        <v>262.6671000229498</v>
      </c>
      <c r="AO161" s="62">
        <f t="shared" si="144"/>
        <v>289.30432245776024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38.294082977434954</v>
      </c>
      <c r="AV161" s="23">
        <f>EXP(-LN(2)/25)*AV160+(1-EXP(-LN(2)/25))/(LN(2)/25)*Calculateur!AQ161*Calculateur!AS161*VLOOKUP('Données projet'!$B$10,Paramètres!$A$1:$I$89,3,0)*0.475*44/12</f>
        <v>4.469093868682406</v>
      </c>
      <c r="AW161" s="23">
        <f>EXP(-LN(2)/2)*AW160+(1-EXP(-LN(2)/2))/(LN(2)/2)*AQ161*AT161*VLOOKUP('Données projet'!$B$10,Paramètres!$A$1:$I$89,3,0)*0.475*44/12</f>
        <v>4.0844478384499409E-11</v>
      </c>
      <c r="AX161" s="23">
        <f t="shared" si="166"/>
        <v>42.763176846158203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268.27008134105046</v>
      </c>
      <c r="CZ161" s="62">
        <f t="shared" si="150"/>
        <v>252.36274686619709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35.781868243841615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35.781868243841615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>
        <f>DO161*VLOOKUP('Données projet'!$B$14,Paramètres!$A$1:$I$89,3,0)*VLOOKUP('Données projet'!$B$14,Paramètres!$A$1:$I$89,5,0)</f>
        <v>0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279.49721661620544</v>
      </c>
      <c r="DU161" s="62">
        <f t="shared" si="152"/>
        <v>275.18739333988754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31.439082430573436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31.439082430573436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394.11074988418096</v>
      </c>
      <c r="EP161" s="62">
        <f t="shared" si="154"/>
        <v>241.85593029696236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80.399736869994939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80.399736869994939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4.5474735088646412E-13</v>
      </c>
      <c r="O162" s="14">
        <f>N162*VLOOKUP('Données projet'!$B$9,Paramètres!$A$1:$I$89,3,0)*VLOOKUP('Données projet'!$B$9,Paramètres!$A$1:$I$89,5,0)</f>
        <v>2.5420376914553347E-13</v>
      </c>
      <c r="P162" s="14">
        <f t="shared" si="141"/>
        <v>3.4258699088369875E-12</v>
      </c>
      <c r="Q162" s="22">
        <f t="shared" si="162"/>
        <v>6.4094616558195571E-12</v>
      </c>
      <c r="R162" s="62">
        <f t="shared" si="109"/>
        <v>293.33333333333974</v>
      </c>
      <c r="S162" s="62">
        <f ca="1">AVERAGE(OFFSET($R$3,0,0,'Données projet'!$E$9+1,1))-AVERAGE(OFFSET($H$3,0,0,'Données projet'!$E$9+1,1))</f>
        <v>539.2446452106276</v>
      </c>
      <c r="T162" s="62">
        <f t="shared" si="142"/>
        <v>596.73830276071465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66.480385925175085</v>
      </c>
      <c r="AA162" s="23">
        <f>EXP(-LN(2)/25)*AA161+(1-EXP(-LN(2)/25))/(LN(2)/25)*Calculateur!V162*Calculateur!X162*VLOOKUP('Données projet'!$B$9,Paramètres!$A$1:$I$89,3,0)*0.475*44/12</f>
        <v>5.4585070745700461</v>
      </c>
      <c r="AB162" s="23">
        <f>EXP(-LN(2)/2)*AB161+(1-EXP(-LN(2)/2))/(LN(2)/2)*V162*Y162*VLOOKUP('Données projet'!$B$9,Paramètres!$A$1:$I$89,3,0)*0.475*44/12</f>
        <v>3.3636907671151538E-13</v>
      </c>
      <c r="AC162" s="24">
        <f t="shared" si="163"/>
        <v>71.938892999745477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3.1036506698001178E-14</v>
      </c>
      <c r="AK162" s="14">
        <f t="shared" si="164"/>
        <v>5.3428243983771088E-13</v>
      </c>
      <c r="AL162" s="22">
        <f t="shared" si="165"/>
        <v>9.8459716521636505E-13</v>
      </c>
      <c r="AM162" s="62">
        <f t="shared" si="113"/>
        <v>293.33333333333428</v>
      </c>
      <c r="AN162" s="62">
        <f ca="1">AVERAGE(OFFSET($AM$3,0,0,'Données projet'!$E$10+1,1))-AVERAGE(OFFSET($H$3,0,0,'Données projet'!$E$10+1,1))</f>
        <v>262.6671000229498</v>
      </c>
      <c r="AO162" s="62">
        <f t="shared" si="144"/>
        <v>289.30432245776024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37.543159367331754</v>
      </c>
      <c r="AV162" s="23">
        <f>EXP(-LN(2)/25)*AV161+(1-EXP(-LN(2)/25))/(LN(2)/25)*Calculateur!AQ162*Calculateur!AS162*VLOOKUP('Données projet'!$B$10,Paramètres!$A$1:$I$89,3,0)*0.475*44/12</f>
        <v>4.3468862618238537</v>
      </c>
      <c r="AW162" s="23">
        <f>EXP(-LN(2)/2)*AW161+(1-EXP(-LN(2)/2))/(LN(2)/2)*AQ162*AT162*VLOOKUP('Données projet'!$B$10,Paramètres!$A$1:$I$89,3,0)*0.475*44/12</f>
        <v>2.8881407639706895E-11</v>
      </c>
      <c r="AX162" s="23">
        <f t="shared" si="166"/>
        <v>41.890045629184492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268.27008134105046</v>
      </c>
      <c r="CZ162" s="62">
        <f t="shared" si="150"/>
        <v>252.36274686619709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35.080207632364491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35.080207632364491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>
        <f>DO162*VLOOKUP('Données projet'!$B$14,Paramètres!$A$1:$I$89,3,0)*VLOOKUP('Données projet'!$B$14,Paramètres!$A$1:$I$89,5,0)</f>
        <v>0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279.49721661620544</v>
      </c>
      <c r="DU162" s="62">
        <f t="shared" si="152"/>
        <v>275.18739333988754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30.822581200056707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30.822581200056707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394.11074988418096</v>
      </c>
      <c r="EP162" s="62">
        <f t="shared" si="154"/>
        <v>241.85593029696236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78.823147068971636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78.823147068971636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4.5474735088646412E-13</v>
      </c>
      <c r="O163" s="14">
        <f>N163*VLOOKUP('Données projet'!$B$9,Paramètres!$A$1:$I$89,3,0)*VLOOKUP('Données projet'!$B$9,Paramètres!$A$1:$I$89,5,0)</f>
        <v>2.5420376914553347E-13</v>
      </c>
      <c r="P163" s="14">
        <f t="shared" si="141"/>
        <v>3.4258699088369875E-12</v>
      </c>
      <c r="Q163" s="22">
        <f t="shared" si="162"/>
        <v>6.4094616558195571E-12</v>
      </c>
      <c r="R163" s="62">
        <f t="shared" si="109"/>
        <v>293.33333333333974</v>
      </c>
      <c r="S163" s="62">
        <f ca="1">AVERAGE(OFFSET($R$3,0,0,'Données projet'!$E$9+1,1))-AVERAGE(OFFSET($H$3,0,0,'Données projet'!$E$9+1,1))</f>
        <v>539.2446452106276</v>
      </c>
      <c r="T163" s="62">
        <f t="shared" si="142"/>
        <v>596.73830276071465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65.176746106213926</v>
      </c>
      <c r="AA163" s="23">
        <f>EXP(-LN(2)/25)*AA162+(1-EXP(-LN(2)/25))/(LN(2)/25)*Calculateur!V163*Calculateur!X163*VLOOKUP('Données projet'!$B$9,Paramètres!$A$1:$I$89,3,0)*0.475*44/12</f>
        <v>5.3092439115655168</v>
      </c>
      <c r="AB163" s="23">
        <f>EXP(-LN(2)/2)*AB162+(1-EXP(-LN(2)/2))/(LN(2)/2)*V163*Y163*VLOOKUP('Données projet'!$B$9,Paramètres!$A$1:$I$89,3,0)*0.475*44/12</f>
        <v>2.3784885512417052E-13</v>
      </c>
      <c r="AC163" s="24">
        <f t="shared" si="163"/>
        <v>70.485990017779685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3.1036506698001178E-14</v>
      </c>
      <c r="AK163" s="14">
        <f t="shared" si="164"/>
        <v>5.3428243983771088E-13</v>
      </c>
      <c r="AL163" s="22">
        <f t="shared" si="165"/>
        <v>9.8459716521636505E-13</v>
      </c>
      <c r="AM163" s="62">
        <f t="shared" si="113"/>
        <v>293.33333333333428</v>
      </c>
      <c r="AN163" s="62">
        <f ca="1">AVERAGE(OFFSET($AM$3,0,0,'Données projet'!$E$10+1,1))-AVERAGE(OFFSET($H$3,0,0,'Données projet'!$E$10+1,1))</f>
        <v>262.6671000229498</v>
      </c>
      <c r="AO163" s="62">
        <f t="shared" si="144"/>
        <v>289.30432245776024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36.806960911204499</v>
      </c>
      <c r="AV163" s="23">
        <f>EXP(-LN(2)/25)*AV162+(1-EXP(-LN(2)/25))/(LN(2)/25)*Calculateur!AQ163*Calculateur!AS163*VLOOKUP('Données projet'!$B$10,Paramètres!$A$1:$I$89,3,0)*0.475*44/12</f>
        <v>4.2280204284014671</v>
      </c>
      <c r="AW163" s="23">
        <f>EXP(-LN(2)/2)*AW162+(1-EXP(-LN(2)/2))/(LN(2)/2)*AQ163*AT163*VLOOKUP('Données projet'!$B$10,Paramètres!$A$1:$I$89,3,0)*0.475*44/12</f>
        <v>2.0422239192249708E-11</v>
      </c>
      <c r="AX163" s="23">
        <f t="shared" si="166"/>
        <v>41.034981339626384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268.27008134105046</v>
      </c>
      <c r="CZ163" s="62">
        <f t="shared" si="150"/>
        <v>252.36274686619709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34.392306157507718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34.392306157507718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>
        <f>DO163*VLOOKUP('Données projet'!$B$14,Paramètres!$A$1:$I$89,3,0)*VLOOKUP('Données projet'!$B$14,Paramètres!$A$1:$I$89,5,0)</f>
        <v>0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279.49721661620544</v>
      </c>
      <c r="DU163" s="62">
        <f t="shared" si="152"/>
        <v>275.18739333988754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30.218169182641788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30.218169182641788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394.11074988418096</v>
      </c>
      <c r="EP163" s="62">
        <f t="shared" si="154"/>
        <v>241.85593029696236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77.277473232321569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77.277473232321569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4.5474735088646412E-13</v>
      </c>
      <c r="O164" s="14">
        <f>N164*VLOOKUP('Données projet'!$B$9,Paramètres!$A$1:$I$89,3,0)*VLOOKUP('Données projet'!$B$9,Paramètres!$A$1:$I$89,5,0)</f>
        <v>2.5420376914553347E-13</v>
      </c>
      <c r="P164" s="14">
        <f t="shared" si="141"/>
        <v>3.4258699088369875E-12</v>
      </c>
      <c r="Q164" s="22">
        <f t="shared" si="162"/>
        <v>6.4094616558195571E-12</v>
      </c>
      <c r="R164" s="62">
        <f t="shared" si="109"/>
        <v>293.33333333333974</v>
      </c>
      <c r="S164" s="62">
        <f ca="1">AVERAGE(OFFSET($R$3,0,0,'Données projet'!$E$9+1,1))-AVERAGE(OFFSET($H$3,0,0,'Données projet'!$E$9+1,1))</f>
        <v>539.2446452106276</v>
      </c>
      <c r="T164" s="62">
        <f t="shared" si="142"/>
        <v>596.73830276071465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63.898669868960823</v>
      </c>
      <c r="AA164" s="23">
        <f>EXP(-LN(2)/25)*AA163+(1-EXP(-LN(2)/25))/(LN(2)/25)*Calculateur!V164*Calculateur!X164*VLOOKUP('Données projet'!$B$9,Paramètres!$A$1:$I$89,3,0)*0.475*44/12</f>
        <v>5.1640623576027549</v>
      </c>
      <c r="AB164" s="23">
        <f>EXP(-LN(2)/2)*AB163+(1-EXP(-LN(2)/2))/(LN(2)/2)*V164*Y164*VLOOKUP('Données projet'!$B$9,Paramètres!$A$1:$I$89,3,0)*0.475*44/12</f>
        <v>1.6818453835575769E-13</v>
      </c>
      <c r="AC164" s="24">
        <f t="shared" si="163"/>
        <v>69.062732226563753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3.1036506698001178E-14</v>
      </c>
      <c r="AK164" s="14">
        <f t="shared" si="164"/>
        <v>5.3428243983771088E-13</v>
      </c>
      <c r="AL164" s="22">
        <f t="shared" si="165"/>
        <v>9.8459716521636505E-13</v>
      </c>
      <c r="AM164" s="62">
        <f t="shared" si="113"/>
        <v>293.33333333333428</v>
      </c>
      <c r="AN164" s="62">
        <f ca="1">AVERAGE(OFFSET($AM$3,0,0,'Données projet'!$E$10+1,1))-AVERAGE(OFFSET($H$3,0,0,'Données projet'!$E$10+1,1))</f>
        <v>262.6671000229498</v>
      </c>
      <c r="AO164" s="62">
        <f t="shared" si="144"/>
        <v>289.30432245776024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36.085198857765178</v>
      </c>
      <c r="AV164" s="23">
        <f>EXP(-LN(2)/25)*AV163+(1-EXP(-LN(2)/25))/(LN(2)/25)*Calculateur!AQ164*Calculateur!AS164*VLOOKUP('Données projet'!$B$10,Paramètres!$A$1:$I$89,3,0)*0.475*44/12</f>
        <v>4.112404987444898</v>
      </c>
      <c r="AW164" s="23">
        <f>EXP(-LN(2)/2)*AW163+(1-EXP(-LN(2)/2))/(LN(2)/2)*AQ164*AT164*VLOOKUP('Données projet'!$B$10,Paramètres!$A$1:$I$89,3,0)*0.475*44/12</f>
        <v>1.4440703819853451E-11</v>
      </c>
      <c r="AX164" s="23">
        <f t="shared" si="166"/>
        <v>40.197603845224513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268.27008134105046</v>
      </c>
      <c r="CZ164" s="62">
        <f t="shared" si="150"/>
        <v>252.36274686619709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33.717894010994421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33.717894010994421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>
        <f>DO164*VLOOKUP('Données projet'!$B$14,Paramètres!$A$1:$I$89,3,0)*VLOOKUP('Données projet'!$B$14,Paramètres!$A$1:$I$89,5,0)</f>
        <v>0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279.49721661620544</v>
      </c>
      <c r="DU164" s="62">
        <f t="shared" si="152"/>
        <v>275.18739333988754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29.625609316233447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29.625609316233447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394.11074988418096</v>
      </c>
      <c r="EP164" s="62">
        <f t="shared" si="154"/>
        <v>241.85593029696236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75.762109116840264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75.762109116840264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4.5474735088646412E-13</v>
      </c>
      <c r="O165" s="14">
        <f>N165*VLOOKUP('Données projet'!$B$9,Paramètres!$A$1:$I$89,3,0)*VLOOKUP('Données projet'!$B$9,Paramètres!$A$1:$I$89,5,0)</f>
        <v>2.5420376914553347E-13</v>
      </c>
      <c r="P165" s="14">
        <f t="shared" si="141"/>
        <v>3.4258699088369875E-12</v>
      </c>
      <c r="Q165" s="22">
        <f t="shared" si="162"/>
        <v>6.4094616558195571E-12</v>
      </c>
      <c r="R165" s="62">
        <f t="shared" si="109"/>
        <v>293.33333333333974</v>
      </c>
      <c r="S165" s="62">
        <f ca="1">AVERAGE(OFFSET($R$3,0,0,'Données projet'!$E$9+1,1))-AVERAGE(OFFSET($H$3,0,0,'Données projet'!$E$9+1,1))</f>
        <v>539.2446452106276</v>
      </c>
      <c r="T165" s="62">
        <f t="shared" si="142"/>
        <v>596.73830276071465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62.645655927170722</v>
      </c>
      <c r="AA165" s="23">
        <f>EXP(-LN(2)/25)*AA164+(1-EXP(-LN(2)/25))/(LN(2)/25)*Calculateur!V165*Calculateur!X165*VLOOKUP('Données projet'!$B$9,Paramètres!$A$1:$I$89,3,0)*0.475*44/12</f>
        <v>5.0228508008678707</v>
      </c>
      <c r="AB165" s="23">
        <f>EXP(-LN(2)/2)*AB164+(1-EXP(-LN(2)/2))/(LN(2)/2)*V165*Y165*VLOOKUP('Données projet'!$B$9,Paramètres!$A$1:$I$89,3,0)*0.475*44/12</f>
        <v>1.1892442756208526E-13</v>
      </c>
      <c r="AC165" s="24">
        <f t="shared" si="163"/>
        <v>67.668506728038707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3.1036506698001178E-14</v>
      </c>
      <c r="AK165" s="14">
        <f t="shared" si="164"/>
        <v>5.3428243983771088E-13</v>
      </c>
      <c r="AL165" s="22">
        <f t="shared" si="165"/>
        <v>9.8459716521636505E-13</v>
      </c>
      <c r="AM165" s="62">
        <f t="shared" si="113"/>
        <v>293.33333333333428</v>
      </c>
      <c r="AN165" s="62">
        <f ca="1">AVERAGE(OFFSET($AM$3,0,0,'Données projet'!$E$10+1,1))-AVERAGE(OFFSET($H$3,0,0,'Données projet'!$E$10+1,1))</f>
        <v>262.6671000229498</v>
      </c>
      <c r="AO165" s="62">
        <f t="shared" si="144"/>
        <v>289.30432245776024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35.37759011796242</v>
      </c>
      <c r="AV165" s="23">
        <f>EXP(-LN(2)/25)*AV164+(1-EXP(-LN(2)/25))/(LN(2)/25)*Calculateur!AQ165*Calculateur!AS165*VLOOKUP('Données projet'!$B$10,Paramètres!$A$1:$I$89,3,0)*0.475*44/12</f>
        <v>3.9999510568012382</v>
      </c>
      <c r="AW165" s="23">
        <f>EXP(-LN(2)/2)*AW164+(1-EXP(-LN(2)/2))/(LN(2)/2)*AQ165*AT165*VLOOKUP('Données projet'!$B$10,Paramètres!$A$1:$I$89,3,0)*0.475*44/12</f>
        <v>1.0211119596124856E-11</v>
      </c>
      <c r="AX165" s="23">
        <f t="shared" si="166"/>
        <v>39.377541174773867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268.27008134105046</v>
      </c>
      <c r="CZ165" s="62">
        <f t="shared" si="150"/>
        <v>252.36274686619709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33.056706675323454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33.056706675323454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>
        <f>DO165*VLOOKUP('Données projet'!$B$14,Paramètres!$A$1:$I$89,3,0)*VLOOKUP('Données projet'!$B$14,Paramètres!$A$1:$I$89,5,0)</f>
        <v>0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279.49721661620544</v>
      </c>
      <c r="DU165" s="62">
        <f t="shared" si="152"/>
        <v>275.18739333988754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29.044669187379544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29.044669187379544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394.11074988418096</v>
      </c>
      <c r="EP165" s="62">
        <f t="shared" si="154"/>
        <v>241.85593029696236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74.276460367382697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74.276460367382697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4.5474735088646412E-13</v>
      </c>
      <c r="O166" s="14">
        <f>N166*VLOOKUP('Données projet'!$B$9,Paramètres!$A$1:$I$89,3,0)*VLOOKUP('Données projet'!$B$9,Paramètres!$A$1:$I$89,5,0)</f>
        <v>2.5420376914553347E-13</v>
      </c>
      <c r="P166" s="14">
        <f t="shared" si="141"/>
        <v>3.4258699088369875E-12</v>
      </c>
      <c r="Q166" s="22">
        <f t="shared" si="162"/>
        <v>6.4094616558195571E-12</v>
      </c>
      <c r="R166" s="62">
        <f t="shared" si="109"/>
        <v>293.33333333333974</v>
      </c>
      <c r="S166" s="62">
        <f ca="1">AVERAGE(OFFSET($R$3,0,0,'Données projet'!$E$9+1,1))-AVERAGE(OFFSET($H$3,0,0,'Données projet'!$E$9+1,1))</f>
        <v>539.2446452106276</v>
      </c>
      <c r="T166" s="62">
        <f t="shared" si="142"/>
        <v>596.73830276071465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61.417212824516085</v>
      </c>
      <c r="AA166" s="23">
        <f>EXP(-LN(2)/25)*AA165+(1-EXP(-LN(2)/25))/(LN(2)/25)*Calculateur!V166*Calculateur!X166*VLOOKUP('Données projet'!$B$9,Paramètres!$A$1:$I$89,3,0)*0.475*44/12</f>
        <v>4.885500681577895</v>
      </c>
      <c r="AB166" s="23">
        <f>EXP(-LN(2)/2)*AB165+(1-EXP(-LN(2)/2))/(LN(2)/2)*V166*Y166*VLOOKUP('Données projet'!$B$9,Paramètres!$A$1:$I$89,3,0)*0.475*44/12</f>
        <v>8.4092269177878844E-14</v>
      </c>
      <c r="AC166" s="24">
        <f t="shared" si="163"/>
        <v>66.302713506094065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3.1036506698001178E-14</v>
      </c>
      <c r="AK166" s="14">
        <f t="shared" si="164"/>
        <v>5.3428243983771088E-13</v>
      </c>
      <c r="AL166" s="22">
        <f t="shared" si="165"/>
        <v>9.8459716521636505E-13</v>
      </c>
      <c r="AM166" s="62">
        <f t="shared" si="113"/>
        <v>293.33333333333428</v>
      </c>
      <c r="AN166" s="62">
        <f ca="1">AVERAGE(OFFSET($AM$3,0,0,'Données projet'!$E$10+1,1))-AVERAGE(OFFSET($H$3,0,0,'Données projet'!$E$10+1,1))</f>
        <v>262.6671000229498</v>
      </c>
      <c r="AO166" s="62">
        <f t="shared" si="144"/>
        <v>289.30432245776024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34.68385715394848</v>
      </c>
      <c r="AV166" s="23">
        <f>EXP(-LN(2)/25)*AV165+(1-EXP(-LN(2)/25))/(LN(2)/25)*Calculateur!AQ166*Calculateur!AS166*VLOOKUP('Données projet'!$B$10,Paramètres!$A$1:$I$89,3,0)*0.475*44/12</f>
        <v>3.8905721848047241</v>
      </c>
      <c r="AW166" s="23">
        <f>EXP(-LN(2)/2)*AW165+(1-EXP(-LN(2)/2))/(LN(2)/2)*AQ166*AT166*VLOOKUP('Données projet'!$B$10,Paramètres!$A$1:$I$89,3,0)*0.475*44/12</f>
        <v>7.2203519099267263E-12</v>
      </c>
      <c r="AX166" s="23">
        <f t="shared" si="166"/>
        <v>38.574429338760424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268.27008134105046</v>
      </c>
      <c r="CZ166" s="62">
        <f t="shared" si="150"/>
        <v>252.36274686619709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32.40848482002054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32.40848482002054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>
        <f>DO166*VLOOKUP('Données projet'!$B$14,Paramètres!$A$1:$I$89,3,0)*VLOOKUP('Données projet'!$B$14,Paramètres!$A$1:$I$89,5,0)</f>
        <v>0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279.49721661620544</v>
      </c>
      <c r="DU166" s="62">
        <f t="shared" si="152"/>
        <v>275.18739333988754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28.475120940113975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28.475120940113975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394.11074988418096</v>
      </c>
      <c r="EP166" s="62">
        <f t="shared" si="154"/>
        <v>241.85593029696236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72.819944283745727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72.819944283745727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4.5474735088646412E-13</v>
      </c>
      <c r="O167" s="14">
        <f>N167*VLOOKUP('Données projet'!$B$9,Paramètres!$A$1:$I$89,3,0)*VLOOKUP('Données projet'!$B$9,Paramètres!$A$1:$I$89,5,0)</f>
        <v>2.5420376914553347E-13</v>
      </c>
      <c r="P167" s="14">
        <f t="shared" si="141"/>
        <v>3.4258699088369875E-12</v>
      </c>
      <c r="Q167" s="22">
        <f t="shared" si="162"/>
        <v>6.4094616558195571E-12</v>
      </c>
      <c r="R167" s="62">
        <f t="shared" si="109"/>
        <v>293.33333333333974</v>
      </c>
      <c r="S167" s="62">
        <f ca="1">AVERAGE(OFFSET($R$3,0,0,'Données projet'!$E$9+1,1))-AVERAGE(OFFSET($H$3,0,0,'Données projet'!$E$9+1,1))</f>
        <v>539.2446452106276</v>
      </c>
      <c r="T167" s="62">
        <f t="shared" si="142"/>
        <v>596.73830276071465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60.2128587418282</v>
      </c>
      <c r="AA167" s="23">
        <f>EXP(-LN(2)/25)*AA166+(1-EXP(-LN(2)/25))/(LN(2)/25)*Calculateur!V167*Calculateur!X167*VLOOKUP('Données projet'!$B$9,Paramètres!$A$1:$I$89,3,0)*0.475*44/12</f>
        <v>4.7519064085228324</v>
      </c>
      <c r="AB167" s="23">
        <f>EXP(-LN(2)/2)*AB166+(1-EXP(-LN(2)/2))/(LN(2)/2)*V167*Y167*VLOOKUP('Données projet'!$B$9,Paramètres!$A$1:$I$89,3,0)*0.475*44/12</f>
        <v>5.946221378104263E-14</v>
      </c>
      <c r="AC167" s="24">
        <f t="shared" si="163"/>
        <v>64.964765150351084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3.1036506698001178E-14</v>
      </c>
      <c r="AK167" s="14">
        <f t="shared" si="164"/>
        <v>5.3428243983771088E-13</v>
      </c>
      <c r="AL167" s="22">
        <f t="shared" si="165"/>
        <v>9.8459716521636505E-13</v>
      </c>
      <c r="AM167" s="62">
        <f t="shared" si="113"/>
        <v>293.33333333333428</v>
      </c>
      <c r="AN167" s="62">
        <f ca="1">AVERAGE(OFFSET($AM$3,0,0,'Données projet'!$E$10+1,1))-AVERAGE(OFFSET($H$3,0,0,'Données projet'!$E$10+1,1))</f>
        <v>262.6671000229498</v>
      </c>
      <c r="AO167" s="62">
        <f t="shared" si="144"/>
        <v>289.30432245776024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34.003727870223528</v>
      </c>
      <c r="AV167" s="23">
        <f>EXP(-LN(2)/25)*AV166+(1-EXP(-LN(2)/25))/(LN(2)/25)*Calculateur!AQ167*Calculateur!AS167*VLOOKUP('Données projet'!$B$10,Paramètres!$A$1:$I$89,3,0)*0.475*44/12</f>
        <v>3.7841842838149398</v>
      </c>
      <c r="AW167" s="23">
        <f>EXP(-LN(2)/2)*AW166+(1-EXP(-LN(2)/2))/(LN(2)/2)*AQ167*AT167*VLOOKUP('Données projet'!$B$10,Paramètres!$A$1:$I$89,3,0)*0.475*44/12</f>
        <v>5.1055597980624286E-12</v>
      </c>
      <c r="AX167" s="23">
        <f t="shared" si="166"/>
        <v>37.787912154043575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268.27008134105046</v>
      </c>
      <c r="CZ167" s="62">
        <f t="shared" si="150"/>
        <v>252.36274686619709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31.772974199923826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31.772974199923826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>
        <f>DO167*VLOOKUP('Données projet'!$B$14,Paramètres!$A$1:$I$89,3,0)*VLOOKUP('Données projet'!$B$14,Paramètres!$A$1:$I$89,5,0)</f>
        <v>0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279.49721661620544</v>
      </c>
      <c r="DU167" s="62">
        <f t="shared" si="152"/>
        <v>275.18739333988754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27.916741186587156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27.916741186587156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394.11074988418096</v>
      </c>
      <c r="EP167" s="62">
        <f t="shared" si="154"/>
        <v>241.85593029696236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71.391989592121789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71.391989592121789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4.5474735088646412E-13</v>
      </c>
      <c r="O168" s="14">
        <f>N168*VLOOKUP('Données projet'!$B$9,Paramètres!$A$1:$I$89,3,0)*VLOOKUP('Données projet'!$B$9,Paramètres!$A$1:$I$89,5,0)</f>
        <v>2.5420376914553347E-13</v>
      </c>
      <c r="P168" s="14">
        <f t="shared" si="141"/>
        <v>3.4258699088369875E-12</v>
      </c>
      <c r="Q168" s="22">
        <f t="shared" si="162"/>
        <v>6.4094616558195571E-12</v>
      </c>
      <c r="R168" s="62">
        <f t="shared" si="109"/>
        <v>293.33333333333974</v>
      </c>
      <c r="S168" s="62">
        <f ca="1">AVERAGE(OFFSET($R$3,0,0,'Données projet'!$E$9+1,1))-AVERAGE(OFFSET($H$3,0,0,'Données projet'!$E$9+1,1))</f>
        <v>539.2446452106276</v>
      </c>
      <c r="T168" s="62">
        <f t="shared" si="142"/>
        <v>596.73830276071465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59.03212130811837</v>
      </c>
      <c r="AA168" s="23">
        <f>EXP(-LN(2)/25)*AA167+(1-EXP(-LN(2)/25))/(LN(2)/25)*Calculateur!V168*Calculateur!X168*VLOOKUP('Données projet'!$B$9,Paramètres!$A$1:$I$89,3,0)*0.475*44/12</f>
        <v>4.6219652778898785</v>
      </c>
      <c r="AB168" s="23">
        <f>EXP(-LN(2)/2)*AB167+(1-EXP(-LN(2)/2))/(LN(2)/2)*V168*Y168*VLOOKUP('Données projet'!$B$9,Paramètres!$A$1:$I$89,3,0)*0.475*44/12</f>
        <v>4.2046134588939422E-14</v>
      </c>
      <c r="AC168" s="24">
        <f t="shared" si="163"/>
        <v>63.65408658600829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3.1036506698001178E-14</v>
      </c>
      <c r="AK168" s="14">
        <f t="shared" si="164"/>
        <v>5.3428243983771088E-13</v>
      </c>
      <c r="AL168" s="22">
        <f t="shared" si="165"/>
        <v>9.8459716521636505E-13</v>
      </c>
      <c r="AM168" s="62">
        <f t="shared" si="113"/>
        <v>293.33333333333428</v>
      </c>
      <c r="AN168" s="62">
        <f ca="1">AVERAGE(OFFSET($AM$3,0,0,'Données projet'!$E$10+1,1))-AVERAGE(OFFSET($H$3,0,0,'Données projet'!$E$10+1,1))</f>
        <v>262.6671000229498</v>
      </c>
      <c r="AO168" s="62">
        <f t="shared" si="144"/>
        <v>289.30432245776024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33.336935506914521</v>
      </c>
      <c r="AV168" s="23">
        <f>EXP(-LN(2)/25)*AV167+(1-EXP(-LN(2)/25))/(LN(2)/25)*Calculateur!AQ168*Calculateur!AS168*VLOOKUP('Données projet'!$B$10,Paramètres!$A$1:$I$89,3,0)*0.475*44/12</f>
        <v>3.6807055655724175</v>
      </c>
      <c r="AW168" s="23">
        <f>EXP(-LN(2)/2)*AW167+(1-EXP(-LN(2)/2))/(LN(2)/2)*AQ168*AT168*VLOOKUP('Données projet'!$B$10,Paramètres!$A$1:$I$89,3,0)*0.475*44/12</f>
        <v>3.6101759549633635E-12</v>
      </c>
      <c r="AX168" s="23">
        <f t="shared" si="166"/>
        <v>37.017641072490548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268.27008134105046</v>
      </c>
      <c r="CZ168" s="62">
        <f t="shared" si="150"/>
        <v>252.36274686619709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31.149925555464005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31.149925555464005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>
        <f>DO168*VLOOKUP('Données projet'!$B$14,Paramètres!$A$1:$I$89,3,0)*VLOOKUP('Données projet'!$B$14,Paramètres!$A$1:$I$89,5,0)</f>
        <v>0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279.49721661620544</v>
      </c>
      <c r="DU168" s="62">
        <f t="shared" si="152"/>
        <v>275.18739333988754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27.369310919448978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27.369310919448978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394.11074988418096</v>
      </c>
      <c r="EP168" s="62">
        <f t="shared" si="154"/>
        <v>241.85593029696236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69.99203622103424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69.99203622103424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4.5474735088646412E-13</v>
      </c>
      <c r="O169" s="14">
        <f>N169*VLOOKUP('Données projet'!$B$9,Paramètres!$A$1:$I$89,3,0)*VLOOKUP('Données projet'!$B$9,Paramètres!$A$1:$I$89,5,0)</f>
        <v>2.5420376914553347E-13</v>
      </c>
      <c r="P169" s="14">
        <f t="shared" si="141"/>
        <v>3.4258699088369875E-12</v>
      </c>
      <c r="Q169" s="22">
        <f t="shared" si="162"/>
        <v>6.4094616558195571E-12</v>
      </c>
      <c r="R169" s="62">
        <f t="shared" si="109"/>
        <v>293.33333333333974</v>
      </c>
      <c r="S169" s="62">
        <f ca="1">AVERAGE(OFFSET($R$3,0,0,'Données projet'!$E$9+1,1))-AVERAGE(OFFSET($H$3,0,0,'Données projet'!$E$9+1,1))</f>
        <v>539.2446452106276</v>
      </c>
      <c r="T169" s="62">
        <f t="shared" si="142"/>
        <v>596.73830276071465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57.874537415304864</v>
      </c>
      <c r="AA169" s="23">
        <f>EXP(-LN(2)/25)*AA168+(1-EXP(-LN(2)/25))/(LN(2)/25)*Calculateur!V169*Calculateur!X169*VLOOKUP('Données projet'!$B$9,Paramètres!$A$1:$I$89,3,0)*0.475*44/12</f>
        <v>4.4955773943073893</v>
      </c>
      <c r="AB169" s="23">
        <f>EXP(-LN(2)/2)*AB168+(1-EXP(-LN(2)/2))/(LN(2)/2)*V169*Y169*VLOOKUP('Données projet'!$B$9,Paramètres!$A$1:$I$89,3,0)*0.475*44/12</f>
        <v>2.9731106890521315E-14</v>
      </c>
      <c r="AC169" s="24">
        <f t="shared" si="163"/>
        <v>62.370114809612282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3.1036506698001178E-14</v>
      </c>
      <c r="AK169" s="14">
        <f t="shared" si="164"/>
        <v>5.3428243983771088E-13</v>
      </c>
      <c r="AL169" s="22">
        <f t="shared" si="165"/>
        <v>9.8459716521636505E-13</v>
      </c>
      <c r="AM169" s="62">
        <f t="shared" si="113"/>
        <v>293.33333333333428</v>
      </c>
      <c r="AN169" s="62">
        <f ca="1">AVERAGE(OFFSET($AM$3,0,0,'Données projet'!$E$10+1,1))-AVERAGE(OFFSET($H$3,0,0,'Données projet'!$E$10+1,1))</f>
        <v>262.6671000229498</v>
      </c>
      <c r="AO169" s="62">
        <f t="shared" si="144"/>
        <v>289.30432245776024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32.683218535146821</v>
      </c>
      <c r="AV169" s="23">
        <f>EXP(-LN(2)/25)*AV168+(1-EXP(-LN(2)/25))/(LN(2)/25)*Calculateur!AQ169*Calculateur!AS169*VLOOKUP('Données projet'!$B$10,Paramètres!$A$1:$I$89,3,0)*0.475*44/12</f>
        <v>3.5800564783219464</v>
      </c>
      <c r="AW169" s="23">
        <f>EXP(-LN(2)/2)*AW168+(1-EXP(-LN(2)/2))/(LN(2)/2)*AQ169*AT169*VLOOKUP('Données projet'!$B$10,Paramètres!$A$1:$I$89,3,0)*0.475*44/12</f>
        <v>2.5527798990312147E-12</v>
      </c>
      <c r="AX169" s="23">
        <f t="shared" si="166"/>
        <v>36.263275013471322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268.27008134105046</v>
      </c>
      <c r="CZ169" s="62">
        <f t="shared" si="150"/>
        <v>252.36274686619709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30.539094514899894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30.539094514899894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>
        <f>DO169*VLOOKUP('Données projet'!$B$14,Paramètres!$A$1:$I$89,3,0)*VLOOKUP('Données projet'!$B$14,Paramètres!$A$1:$I$89,5,0)</f>
        <v>0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279.49721661620544</v>
      </c>
      <c r="DU169" s="62">
        <f t="shared" si="152"/>
        <v>275.18739333988754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26.832615425949886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26.832615425949886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394.11074988418096</v>
      </c>
      <c r="EP169" s="62">
        <f t="shared" si="154"/>
        <v>241.85593029696236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68.61953508166647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68.61953508166647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4.5474735088646412E-13</v>
      </c>
      <c r="O170" s="14">
        <f>N170*VLOOKUP('Données projet'!$B$9,Paramètres!$A$1:$I$89,3,0)*VLOOKUP('Données projet'!$B$9,Paramètres!$A$1:$I$89,5,0)</f>
        <v>2.5420376914553347E-13</v>
      </c>
      <c r="P170" s="14">
        <f t="shared" si="141"/>
        <v>3.4258699088369875E-12</v>
      </c>
      <c r="Q170" s="22">
        <f t="shared" si="162"/>
        <v>6.4094616558195571E-12</v>
      </c>
      <c r="R170" s="62">
        <f t="shared" si="109"/>
        <v>293.33333333333974</v>
      </c>
      <c r="S170" s="62">
        <f ca="1">AVERAGE(OFFSET($R$3,0,0,'Données projet'!$E$9+1,1))-AVERAGE(OFFSET($H$3,0,0,'Données projet'!$E$9+1,1))</f>
        <v>539.2446452106276</v>
      </c>
      <c r="T170" s="62">
        <f t="shared" si="142"/>
        <v>596.73830276071465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56.739653036572975</v>
      </c>
      <c r="AA170" s="23">
        <f>EXP(-LN(2)/25)*AA169+(1-EXP(-LN(2)/25))/(LN(2)/25)*Calculateur!V170*Calculateur!X170*VLOOKUP('Données projet'!$B$9,Paramètres!$A$1:$I$89,3,0)*0.475*44/12</f>
        <v>4.3726455940479134</v>
      </c>
      <c r="AB170" s="23">
        <f>EXP(-LN(2)/2)*AB169+(1-EXP(-LN(2)/2))/(LN(2)/2)*V170*Y170*VLOOKUP('Données projet'!$B$9,Paramètres!$A$1:$I$89,3,0)*0.475*44/12</f>
        <v>2.1023067294469711E-14</v>
      </c>
      <c r="AC170" s="24">
        <f t="shared" si="163"/>
        <v>61.112298630620906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3.1036506698001178E-14</v>
      </c>
      <c r="AK170" s="14">
        <f t="shared" si="164"/>
        <v>5.3428243983771088E-13</v>
      </c>
      <c r="AL170" s="22">
        <f t="shared" si="165"/>
        <v>9.8459716521636505E-13</v>
      </c>
      <c r="AM170" s="62">
        <f t="shared" si="113"/>
        <v>293.33333333333428</v>
      </c>
      <c r="AN170" s="62">
        <f ca="1">AVERAGE(OFFSET($AM$3,0,0,'Données projet'!$E$10+1,1))-AVERAGE(OFFSET($H$3,0,0,'Données projet'!$E$10+1,1))</f>
        <v>262.6671000229498</v>
      </c>
      <c r="AO170" s="62">
        <f t="shared" si="144"/>
        <v>289.30432245776024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32.042320554467501</v>
      </c>
      <c r="AV170" s="23">
        <f>EXP(-LN(2)/25)*AV169+(1-EXP(-LN(2)/25))/(LN(2)/25)*Calculateur!AQ170*Calculateur!AS170*VLOOKUP('Données projet'!$B$10,Paramètres!$A$1:$I$89,3,0)*0.475*44/12</f>
        <v>3.4821596456552451</v>
      </c>
      <c r="AW170" s="23">
        <f>EXP(-LN(2)/2)*AW169+(1-EXP(-LN(2)/2))/(LN(2)/2)*AQ170*AT170*VLOOKUP('Données projet'!$B$10,Paramètres!$A$1:$I$89,3,0)*0.475*44/12</f>
        <v>1.8050879774816822E-12</v>
      </c>
      <c r="AX170" s="23">
        <f t="shared" si="166"/>
        <v>35.52448020012455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268.27008134105046</v>
      </c>
      <c r="CZ170" s="62">
        <f t="shared" si="150"/>
        <v>252.36274686619709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29.940241498471096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29.940241498471096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>
        <f>DO170*VLOOKUP('Données projet'!$B$14,Paramètres!$A$1:$I$89,3,0)*VLOOKUP('Données projet'!$B$14,Paramètres!$A$1:$I$89,5,0)</f>
        <v>0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279.49721661620544</v>
      </c>
      <c r="DU170" s="62">
        <f t="shared" si="152"/>
        <v>275.18739333988754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26.306444203726382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26.306444203726382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394.11074988418096</v>
      </c>
      <c r="EP170" s="62">
        <f t="shared" si="154"/>
        <v>241.85593029696236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67.273947852498679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67.273947852498679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4.5474735088646412E-13</v>
      </c>
      <c r="O171" s="14">
        <f>N171*VLOOKUP('Données projet'!$B$9,Paramètres!$A$1:$I$89,3,0)*VLOOKUP('Données projet'!$B$9,Paramètres!$A$1:$I$89,5,0)</f>
        <v>2.5420376914553347E-13</v>
      </c>
      <c r="P171" s="14">
        <f t="shared" si="141"/>
        <v>3.4258699088369875E-12</v>
      </c>
      <c r="Q171" s="22">
        <f t="shared" si="162"/>
        <v>6.4094616558195571E-12</v>
      </c>
      <c r="R171" s="62">
        <f t="shared" si="109"/>
        <v>293.33333333333974</v>
      </c>
      <c r="S171" s="62">
        <f ca="1">AVERAGE(OFFSET($R$3,0,0,'Données projet'!$E$9+1,1))-AVERAGE(OFFSET($H$3,0,0,'Données projet'!$E$9+1,1))</f>
        <v>539.2446452106276</v>
      </c>
      <c r="T171" s="62">
        <f t="shared" si="142"/>
        <v>596.73830276071465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55.627023048296898</v>
      </c>
      <c r="AA171" s="23">
        <f>EXP(-LN(2)/25)*AA170+(1-EXP(-LN(2)/25))/(LN(2)/25)*Calculateur!V171*Calculateur!X171*VLOOKUP('Données projet'!$B$9,Paramètres!$A$1:$I$89,3,0)*0.475*44/12</f>
        <v>4.253075370331235</v>
      </c>
      <c r="AB171" s="23">
        <f>EXP(-LN(2)/2)*AB170+(1-EXP(-LN(2)/2))/(LN(2)/2)*V171*Y171*VLOOKUP('Données projet'!$B$9,Paramètres!$A$1:$I$89,3,0)*0.475*44/12</f>
        <v>1.4865553445260657E-14</v>
      </c>
      <c r="AC171" s="24">
        <f t="shared" si="163"/>
        <v>59.880098418628151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3.1036506698001178E-14</v>
      </c>
      <c r="AK171" s="14">
        <f t="shared" si="164"/>
        <v>5.3428243983771088E-13</v>
      </c>
      <c r="AL171" s="22">
        <f t="shared" si="165"/>
        <v>9.8459716521636505E-13</v>
      </c>
      <c r="AM171" s="62">
        <f t="shared" si="113"/>
        <v>293.33333333333428</v>
      </c>
      <c r="AN171" s="62">
        <f ca="1">AVERAGE(OFFSET($AM$3,0,0,'Données projet'!$E$10+1,1))-AVERAGE(OFFSET($H$3,0,0,'Données projet'!$E$10+1,1))</f>
        <v>262.6671000229498</v>
      </c>
      <c r="AO171" s="62">
        <f t="shared" si="144"/>
        <v>289.30432245776024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31.413990192280135</v>
      </c>
      <c r="AV171" s="23">
        <f>EXP(-LN(2)/25)*AV170+(1-EXP(-LN(2)/25))/(LN(2)/25)*Calculateur!AQ171*Calculateur!AS171*VLOOKUP('Données projet'!$B$10,Paramètres!$A$1:$I$89,3,0)*0.475*44/12</f>
        <v>3.3869398070259851</v>
      </c>
      <c r="AW171" s="23">
        <f>EXP(-LN(2)/2)*AW170+(1-EXP(-LN(2)/2))/(LN(2)/2)*AQ171*AT171*VLOOKUP('Données projet'!$B$10,Paramètres!$A$1:$I$89,3,0)*0.475*44/12</f>
        <v>1.2763899495156075E-12</v>
      </c>
      <c r="AX171" s="23">
        <f t="shared" si="166"/>
        <v>34.800929999307399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268.27008134105046</v>
      </c>
      <c r="CZ171" s="62">
        <f t="shared" si="150"/>
        <v>252.36274686619709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29.353131624430194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29.353131624430194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>
        <f>DO171*VLOOKUP('Données projet'!$B$14,Paramètres!$A$1:$I$89,3,0)*VLOOKUP('Données projet'!$B$14,Paramètres!$A$1:$I$89,5,0)</f>
        <v>0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279.49721661620544</v>
      </c>
      <c r="DU171" s="62">
        <f t="shared" si="152"/>
        <v>275.18739333988754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25.790590878237925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25.790590878237925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394.11074988418096</v>
      </c>
      <c r="EP171" s="62">
        <f t="shared" si="154"/>
        <v>241.85593029696236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65.954746768167695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65.954746768167695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4.5474735088646412E-13</v>
      </c>
      <c r="O172" s="14">
        <f>N172*VLOOKUP('Données projet'!$B$9,Paramètres!$A$1:$I$89,3,0)*VLOOKUP('Données projet'!$B$9,Paramètres!$A$1:$I$89,5,0)</f>
        <v>2.5420376914553347E-13</v>
      </c>
      <c r="P172" s="14">
        <f t="shared" si="141"/>
        <v>3.4258699088369875E-12</v>
      </c>
      <c r="Q172" s="22">
        <f t="shared" si="162"/>
        <v>6.4094616558195571E-12</v>
      </c>
      <c r="R172" s="62">
        <f t="shared" si="109"/>
        <v>293.33333333333974</v>
      </c>
      <c r="S172" s="62">
        <f ca="1">AVERAGE(OFFSET($R$3,0,0,'Données projet'!$E$9+1,1))-AVERAGE(OFFSET($H$3,0,0,'Données projet'!$E$9+1,1))</f>
        <v>539.2446452106276</v>
      </c>
      <c r="T172" s="62">
        <f t="shared" si="142"/>
        <v>596.73830276071465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54.536211055453634</v>
      </c>
      <c r="AA172" s="23">
        <f>EXP(-LN(2)/25)*AA171+(1-EXP(-LN(2)/25))/(LN(2)/25)*Calculateur!V172*Calculateur!X172*VLOOKUP('Données projet'!$B$9,Paramètres!$A$1:$I$89,3,0)*0.475*44/12</f>
        <v>4.1367748006700138</v>
      </c>
      <c r="AB172" s="23">
        <f>EXP(-LN(2)/2)*AB171+(1-EXP(-LN(2)/2))/(LN(2)/2)*V172*Y172*VLOOKUP('Données projet'!$B$9,Paramètres!$A$1:$I$89,3,0)*0.475*44/12</f>
        <v>1.0511533647234856E-14</v>
      </c>
      <c r="AC172" s="24">
        <f t="shared" si="163"/>
        <v>58.672985856123653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3.1036506698001178E-14</v>
      </c>
      <c r="AK172" s="14">
        <f t="shared" si="164"/>
        <v>5.3428243983771088E-13</v>
      </c>
      <c r="AL172" s="22">
        <f t="shared" si="165"/>
        <v>9.8459716521636505E-13</v>
      </c>
      <c r="AM172" s="62">
        <f t="shared" si="113"/>
        <v>293.33333333333428</v>
      </c>
      <c r="AN172" s="62">
        <f ca="1">AVERAGE(OFFSET($AM$3,0,0,'Données projet'!$E$10+1,1))-AVERAGE(OFFSET($H$3,0,0,'Données projet'!$E$10+1,1))</f>
        <v>262.6671000229498</v>
      </c>
      <c r="AO172" s="62">
        <f t="shared" si="144"/>
        <v>289.30432245776024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30.797981005251582</v>
      </c>
      <c r="AV172" s="23">
        <f>EXP(-LN(2)/25)*AV171+(1-EXP(-LN(2)/25))/(LN(2)/25)*Calculateur!AQ172*Calculateur!AS172*VLOOKUP('Données projet'!$B$10,Paramètres!$A$1:$I$89,3,0)*0.475*44/12</f>
        <v>3.2943237598914359</v>
      </c>
      <c r="AW172" s="23">
        <f>EXP(-LN(2)/2)*AW171+(1-EXP(-LN(2)/2))/(LN(2)/2)*AQ172*AT172*VLOOKUP('Données projet'!$B$10,Paramètres!$A$1:$I$89,3,0)*0.475*44/12</f>
        <v>9.0254398874084119E-13</v>
      </c>
      <c r="AX172" s="23">
        <f t="shared" si="166"/>
        <v>34.092304765143922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268.27008134105046</v>
      </c>
      <c r="CZ172" s="62">
        <f t="shared" si="150"/>
        <v>252.36274686619709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28.777534616917571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28.777534616917571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>
        <f>DO172*VLOOKUP('Données projet'!$B$14,Paramètres!$A$1:$I$89,3,0)*VLOOKUP('Données projet'!$B$14,Paramètres!$A$1:$I$89,5,0)</f>
        <v>0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279.49721661620544</v>
      </c>
      <c r="DU172" s="62">
        <f t="shared" si="152"/>
        <v>275.18739333988754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25.284853121822838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25.284853121822838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394.11074988418096</v>
      </c>
      <c r="EP172" s="62">
        <f t="shared" si="154"/>
        <v>241.85593029696236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64.661414412467224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64.661414412467224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4.5474735088646412E-13</v>
      </c>
      <c r="O173" s="14">
        <f>N173*VLOOKUP('Données projet'!$B$9,Paramètres!$A$1:$I$89,3,0)*VLOOKUP('Données projet'!$B$9,Paramètres!$A$1:$I$89,5,0)</f>
        <v>2.5420376914553347E-13</v>
      </c>
      <c r="P173" s="14">
        <f t="shared" si="141"/>
        <v>3.4258699088369875E-12</v>
      </c>
      <c r="Q173" s="22">
        <f t="shared" si="162"/>
        <v>6.4094616558195571E-12</v>
      </c>
      <c r="R173" s="62">
        <f t="shared" si="109"/>
        <v>293.33333333333974</v>
      </c>
      <c r="S173" s="62">
        <f ca="1">AVERAGE(OFFSET($R$3,0,0,'Données projet'!$E$9+1,1))-AVERAGE(OFFSET($H$3,0,0,'Données projet'!$E$9+1,1))</f>
        <v>539.2446452106276</v>
      </c>
      <c r="T173" s="62">
        <f t="shared" si="142"/>
        <v>596.73830276071465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53.466789220460406</v>
      </c>
      <c r="AA173" s="23">
        <f>EXP(-LN(2)/25)*AA172+(1-EXP(-LN(2)/25))/(LN(2)/25)*Calculateur!V173*Calculateur!X173*VLOOKUP('Données projet'!$B$9,Paramètres!$A$1:$I$89,3,0)*0.475*44/12</f>
        <v>4.02365447620216</v>
      </c>
      <c r="AB173" s="23">
        <f>EXP(-LN(2)/2)*AB172+(1-EXP(-LN(2)/2))/(LN(2)/2)*V173*Y173*VLOOKUP('Données projet'!$B$9,Paramètres!$A$1:$I$89,3,0)*0.475*44/12</f>
        <v>7.4327767226303287E-15</v>
      </c>
      <c r="AC173" s="24">
        <f t="shared" si="163"/>
        <v>57.490443696662574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3.1036506698001178E-14</v>
      </c>
      <c r="AK173" s="14">
        <f t="shared" si="164"/>
        <v>5.3428243983771088E-13</v>
      </c>
      <c r="AL173" s="22">
        <f t="shared" si="165"/>
        <v>9.8459716521636505E-13</v>
      </c>
      <c r="AM173" s="62">
        <f t="shared" si="113"/>
        <v>293.33333333333428</v>
      </c>
      <c r="AN173" s="62">
        <f ca="1">AVERAGE(OFFSET($AM$3,0,0,'Données projet'!$E$10+1,1))-AVERAGE(OFFSET($H$3,0,0,'Données projet'!$E$10+1,1))</f>
        <v>262.6671000229498</v>
      </c>
      <c r="AO173" s="62">
        <f t="shared" si="144"/>
        <v>289.30432245776024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30.194051382652155</v>
      </c>
      <c r="AV173" s="23">
        <f>EXP(-LN(2)/25)*AV172+(1-EXP(-LN(2)/25))/(LN(2)/25)*Calculateur!AQ173*Calculateur!AS173*VLOOKUP('Données projet'!$B$10,Paramètres!$A$1:$I$89,3,0)*0.475*44/12</f>
        <v>3.2042403034362472</v>
      </c>
      <c r="AW173" s="23">
        <f>EXP(-LN(2)/2)*AW172+(1-EXP(-LN(2)/2))/(LN(2)/2)*AQ173*AT173*VLOOKUP('Données projet'!$B$10,Paramètres!$A$1:$I$89,3,0)*0.475*44/12</f>
        <v>6.3819497475780387E-13</v>
      </c>
      <c r="AX173" s="23">
        <f t="shared" si="166"/>
        <v>33.398291686089038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268.27008134105046</v>
      </c>
      <c r="CZ173" s="62">
        <f t="shared" si="150"/>
        <v>252.36274686619709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28.213224715642763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28.213224715642763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>
        <f>DO173*VLOOKUP('Données projet'!$B$14,Paramètres!$A$1:$I$89,3,0)*VLOOKUP('Données projet'!$B$14,Paramètres!$A$1:$I$89,5,0)</f>
        <v>0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279.49721661620544</v>
      </c>
      <c r="DU173" s="62">
        <f t="shared" si="152"/>
        <v>275.18739333988754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24.789032574341476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24.789032574341476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394.11074988418096</v>
      </c>
      <c r="EP173" s="62">
        <f t="shared" si="154"/>
        <v>241.85593029696236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63.393443515407199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63.393443515407199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4.5474735088646412E-13</v>
      </c>
      <c r="O174" s="14">
        <f>N174*VLOOKUP('Données projet'!$B$9,Paramètres!$A$1:$I$89,3,0)*VLOOKUP('Données projet'!$B$9,Paramètres!$A$1:$I$89,5,0)</f>
        <v>2.5420376914553347E-13</v>
      </c>
      <c r="P174" s="14">
        <f t="shared" si="141"/>
        <v>3.4258699088369875E-12</v>
      </c>
      <c r="Q174" s="22">
        <f t="shared" si="162"/>
        <v>6.4094616558195571E-12</v>
      </c>
      <c r="R174" s="62">
        <f t="shared" si="109"/>
        <v>293.33333333333974</v>
      </c>
      <c r="S174" s="62">
        <f ca="1">AVERAGE(OFFSET($R$3,0,0,'Données projet'!$E$9+1,1))-AVERAGE(OFFSET($H$3,0,0,'Données projet'!$E$9+1,1))</f>
        <v>539.2446452106276</v>
      </c>
      <c r="T174" s="62">
        <f t="shared" si="142"/>
        <v>596.73830276071465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52.418338095368483</v>
      </c>
      <c r="AA174" s="23">
        <f>EXP(-LN(2)/25)*AA173+(1-EXP(-LN(2)/25))/(LN(2)/25)*Calculateur!V174*Calculateur!X174*VLOOKUP('Données projet'!$B$9,Paramètres!$A$1:$I$89,3,0)*0.475*44/12</f>
        <v>3.9136274329556193</v>
      </c>
      <c r="AB174" s="23">
        <f>EXP(-LN(2)/2)*AB173+(1-EXP(-LN(2)/2))/(LN(2)/2)*V174*Y174*VLOOKUP('Données projet'!$B$9,Paramètres!$A$1:$I$89,3,0)*0.475*44/12</f>
        <v>5.2557668236174278E-15</v>
      </c>
      <c r="AC174" s="24">
        <f t="shared" si="163"/>
        <v>56.331965528324112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3.1036506698001178E-14</v>
      </c>
      <c r="AK174" s="14">
        <f t="shared" si="164"/>
        <v>5.3428243983771088E-13</v>
      </c>
      <c r="AL174" s="22">
        <f t="shared" si="165"/>
        <v>9.8459716521636505E-13</v>
      </c>
      <c r="AM174" s="62">
        <f t="shared" si="113"/>
        <v>293.33333333333428</v>
      </c>
      <c r="AN174" s="62">
        <f ca="1">AVERAGE(OFFSET($AM$3,0,0,'Données projet'!$E$10+1,1))-AVERAGE(OFFSET($H$3,0,0,'Données projet'!$E$10+1,1))</f>
        <v>262.6671000229498</v>
      </c>
      <c r="AO174" s="62">
        <f t="shared" si="144"/>
        <v>289.30432245776024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29.601964451591208</v>
      </c>
      <c r="AV174" s="23">
        <f>EXP(-LN(2)/25)*AV173+(1-EXP(-LN(2)/25))/(LN(2)/25)*Calculateur!AQ174*Calculateur!AS174*VLOOKUP('Données projet'!$B$10,Paramètres!$A$1:$I$89,3,0)*0.475*44/12</f>
        <v>3.1166201838351091</v>
      </c>
      <c r="AW174" s="23">
        <f>EXP(-LN(2)/2)*AW173+(1-EXP(-LN(2)/2))/(LN(2)/2)*AQ174*AT174*VLOOKUP('Données projet'!$B$10,Paramètres!$A$1:$I$89,3,0)*0.475*44/12</f>
        <v>4.5127199437042069E-13</v>
      </c>
      <c r="AX174" s="23">
        <f t="shared" si="166"/>
        <v>32.718584635426772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268.27008134105046</v>
      </c>
      <c r="CZ174" s="62">
        <f t="shared" si="150"/>
        <v>252.36274686619709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27.6599805873369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27.6599805873369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>
        <f>DO174*VLOOKUP('Données projet'!$B$14,Paramètres!$A$1:$I$89,3,0)*VLOOKUP('Données projet'!$B$14,Paramètres!$A$1:$I$89,5,0)</f>
        <v>0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279.49721661620544</v>
      </c>
      <c r="DU174" s="62">
        <f t="shared" si="152"/>
        <v>275.18739333988754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24.302934765375554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24.302934765375554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394.11074988418096</v>
      </c>
      <c r="EP174" s="62">
        <f t="shared" si="154"/>
        <v>241.85593029696236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62.150336754252642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62.150336754252642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4.5474735088646412E-13</v>
      </c>
      <c r="O175" s="14">
        <f>N175*VLOOKUP('Données projet'!$B$9,Paramètres!$A$1:$I$89,3,0)*VLOOKUP('Données projet'!$B$9,Paramètres!$A$1:$I$89,5,0)</f>
        <v>2.5420376914553347E-13</v>
      </c>
      <c r="P175" s="14">
        <f t="shared" si="141"/>
        <v>3.4258699088369875E-12</v>
      </c>
      <c r="Q175" s="22">
        <f t="shared" si="162"/>
        <v>6.4094616558195571E-12</v>
      </c>
      <c r="R175" s="62">
        <f t="shared" si="109"/>
        <v>293.33333333333974</v>
      </c>
      <c r="S175" s="62">
        <f ca="1">AVERAGE(OFFSET($R$3,0,0,'Données projet'!$E$9+1,1))-AVERAGE(OFFSET($H$3,0,0,'Données projet'!$E$9+1,1))</f>
        <v>539.2446452106276</v>
      </c>
      <c r="T175" s="62">
        <f t="shared" si="142"/>
        <v>596.73830276071465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51.390446457347572</v>
      </c>
      <c r="AA175" s="23">
        <f>EXP(-LN(2)/25)*AA174+(1-EXP(-LN(2)/25))/(LN(2)/25)*Calculateur!V175*Calculateur!X175*VLOOKUP('Données projet'!$B$9,Paramètres!$A$1:$I$89,3,0)*0.475*44/12</f>
        <v>3.8066090849927261</v>
      </c>
      <c r="AB175" s="23">
        <f>EXP(-LN(2)/2)*AB174+(1-EXP(-LN(2)/2))/(LN(2)/2)*V175*Y175*VLOOKUP('Données projet'!$B$9,Paramètres!$A$1:$I$89,3,0)*0.475*44/12</f>
        <v>3.7163883613151644E-15</v>
      </c>
      <c r="AC175" s="24">
        <f t="shared" si="163"/>
        <v>55.197055542340308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3.1036506698001178E-14</v>
      </c>
      <c r="AK175" s="14">
        <f t="shared" si="164"/>
        <v>5.3428243983771088E-13</v>
      </c>
      <c r="AL175" s="22">
        <f t="shared" si="165"/>
        <v>9.8459716521636505E-13</v>
      </c>
      <c r="AM175" s="62">
        <f t="shared" si="113"/>
        <v>293.33333333333428</v>
      </c>
      <c r="AN175" s="62">
        <f ca="1">AVERAGE(OFFSET($AM$3,0,0,'Données projet'!$E$10+1,1))-AVERAGE(OFFSET($H$3,0,0,'Données projet'!$E$10+1,1))</f>
        <v>262.6671000229498</v>
      </c>
      <c r="AO175" s="62">
        <f t="shared" si="144"/>
        <v>289.30432245776024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29.021487984110994</v>
      </c>
      <c r="AV175" s="23">
        <f>EXP(-LN(2)/25)*AV174+(1-EXP(-LN(2)/25))/(LN(2)/25)*Calculateur!AQ175*Calculateur!AS175*VLOOKUP('Données projet'!$B$10,Paramètres!$A$1:$I$89,3,0)*0.475*44/12</f>
        <v>3.0313960410122056</v>
      </c>
      <c r="AW175" s="23">
        <f>EXP(-LN(2)/2)*AW174+(1-EXP(-LN(2)/2))/(LN(2)/2)*AQ175*AT175*VLOOKUP('Données projet'!$B$10,Paramètres!$A$1:$I$89,3,0)*0.475*44/12</f>
        <v>3.1909748737890199E-13</v>
      </c>
      <c r="AX175" s="23">
        <f t="shared" si="166"/>
        <v>32.052884025123518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268.27008134105046</v>
      </c>
      <c r="CZ175" s="62">
        <f t="shared" si="150"/>
        <v>252.36274686619709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27.117585238941516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27.117585238941516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>
        <f>DO175*VLOOKUP('Données projet'!$B$14,Paramètres!$A$1:$I$89,3,0)*VLOOKUP('Données projet'!$B$14,Paramètres!$A$1:$I$89,5,0)</f>
        <v>0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279.49721661620544</v>
      </c>
      <c r="DU175" s="62">
        <f t="shared" si="152"/>
        <v>275.18739333988754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23.826369037953064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23.826369037953064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394.11074988418096</v>
      </c>
      <c r="EP175" s="62">
        <f t="shared" si="154"/>
        <v>241.85593029696236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60.931606558464068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60.931606558464068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4.5474735088646412E-13</v>
      </c>
      <c r="O176" s="14">
        <f>N176*VLOOKUP('Données projet'!$B$9,Paramètres!$A$1:$I$89,3,0)*VLOOKUP('Données projet'!$B$9,Paramètres!$A$1:$I$89,5,0)</f>
        <v>2.5420376914553347E-13</v>
      </c>
      <c r="P176" s="14">
        <f t="shared" si="141"/>
        <v>3.4258699088369875E-12</v>
      </c>
      <c r="Q176" s="22">
        <f t="shared" si="162"/>
        <v>6.4094616558195571E-12</v>
      </c>
      <c r="R176" s="62">
        <f t="shared" si="109"/>
        <v>293.33333333333974</v>
      </c>
      <c r="S176" s="62">
        <f ca="1">AVERAGE(OFFSET($R$3,0,0,'Données projet'!$E$9+1,1))-AVERAGE(OFFSET($H$3,0,0,'Données projet'!$E$9+1,1))</f>
        <v>539.2446452106276</v>
      </c>
      <c r="T176" s="62">
        <f t="shared" si="142"/>
        <v>596.73830276071465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50.382711147396257</v>
      </c>
      <c r="AA176" s="23">
        <f>EXP(-LN(2)/25)*AA175+(1-EXP(-LN(2)/25))/(LN(2)/25)*Calculateur!V176*Calculateur!X176*VLOOKUP('Données projet'!$B$9,Paramètres!$A$1:$I$89,3,0)*0.475*44/12</f>
        <v>3.7025171593827282</v>
      </c>
      <c r="AB176" s="23">
        <f>EXP(-LN(2)/2)*AB175+(1-EXP(-LN(2)/2))/(LN(2)/2)*V176*Y176*VLOOKUP('Données projet'!$B$9,Paramètres!$A$1:$I$89,3,0)*0.475*44/12</f>
        <v>2.6278834118087139E-15</v>
      </c>
      <c r="AC176" s="24">
        <f t="shared" si="163"/>
        <v>54.085228306778987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3.1036506698001178E-14</v>
      </c>
      <c r="AK176" s="14">
        <f t="shared" si="164"/>
        <v>5.3428243983771088E-13</v>
      </c>
      <c r="AL176" s="22">
        <f t="shared" si="165"/>
        <v>9.8459716521636505E-13</v>
      </c>
      <c r="AM176" s="62">
        <f t="shared" si="113"/>
        <v>293.33333333333428</v>
      </c>
      <c r="AN176" s="62">
        <f ca="1">AVERAGE(OFFSET($AM$3,0,0,'Données projet'!$E$10+1,1))-AVERAGE(OFFSET($H$3,0,0,'Données projet'!$E$10+1,1))</f>
        <v>262.6671000229498</v>
      </c>
      <c r="AO176" s="62">
        <f t="shared" si="144"/>
        <v>289.30432245776024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28.452394306102384</v>
      </c>
      <c r="AV176" s="23">
        <f>EXP(-LN(2)/25)*AV175+(1-EXP(-LN(2)/25))/(LN(2)/25)*Calculateur!AQ176*Calculateur!AS176*VLOOKUP('Données projet'!$B$10,Paramètres!$A$1:$I$89,3,0)*0.475*44/12</f>
        <v>2.9485023568565376</v>
      </c>
      <c r="AW176" s="23">
        <f>EXP(-LN(2)/2)*AW175+(1-EXP(-LN(2)/2))/(LN(2)/2)*AQ176*AT176*VLOOKUP('Données projet'!$B$10,Paramètres!$A$1:$I$89,3,0)*0.475*44/12</f>
        <v>2.2563599718521037E-13</v>
      </c>
      <c r="AX176" s="23">
        <f t="shared" si="166"/>
        <v>31.400896662959148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268.27008134105046</v>
      </c>
      <c r="CZ176" s="62">
        <f t="shared" si="150"/>
        <v>252.36274686619709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26.58582593249967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26.58582593249967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>
        <f>DO176*VLOOKUP('Données projet'!$B$14,Paramètres!$A$1:$I$89,3,0)*VLOOKUP('Données projet'!$B$14,Paramètres!$A$1:$I$89,5,0)</f>
        <v>0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279.49721661620544</v>
      </c>
      <c r="DU176" s="62">
        <f t="shared" si="152"/>
        <v>275.18739333988754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23.359148473768936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23.359148473768936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394.11074988418096</v>
      </c>
      <c r="EP176" s="62">
        <f t="shared" si="154"/>
        <v>241.85593029696236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59.736774918462885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59.736774918462885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4.5474735088646412E-13</v>
      </c>
      <c r="O177" s="14">
        <f>N177*VLOOKUP('Données projet'!$B$9,Paramètres!$A$1:$I$89,3,0)*VLOOKUP('Données projet'!$B$9,Paramètres!$A$1:$I$89,5,0)</f>
        <v>2.5420376914553347E-13</v>
      </c>
      <c r="P177" s="14">
        <f t="shared" si="141"/>
        <v>3.4258699088369875E-12</v>
      </c>
      <c r="Q177" s="22">
        <f t="shared" si="162"/>
        <v>6.4094616558195571E-12</v>
      </c>
      <c r="R177" s="62">
        <f t="shared" si="109"/>
        <v>293.33333333333974</v>
      </c>
      <c r="S177" s="62">
        <f ca="1">AVERAGE(OFFSET($R$3,0,0,'Données projet'!$E$9+1,1))-AVERAGE(OFFSET($H$3,0,0,'Données projet'!$E$9+1,1))</f>
        <v>539.2446452106276</v>
      </c>
      <c r="T177" s="62">
        <f t="shared" si="142"/>
        <v>596.73830276071465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49.394736912215237</v>
      </c>
      <c r="AA177" s="23">
        <f>EXP(-LN(2)/25)*AA176+(1-EXP(-LN(2)/25))/(LN(2)/25)*Calculateur!V177*Calculateur!X177*VLOOKUP('Données projet'!$B$9,Paramètres!$A$1:$I$89,3,0)*0.475*44/12</f>
        <v>3.6012716329524923</v>
      </c>
      <c r="AB177" s="23">
        <f>EXP(-LN(2)/2)*AB176+(1-EXP(-LN(2)/2))/(LN(2)/2)*V177*Y177*VLOOKUP('Données projet'!$B$9,Paramètres!$A$1:$I$89,3,0)*0.475*44/12</f>
        <v>1.8581941806575822E-15</v>
      </c>
      <c r="AC177" s="24">
        <f t="shared" si="163"/>
        <v>52.996008545167726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3.1036506698001178E-14</v>
      </c>
      <c r="AK177" s="14">
        <f t="shared" si="164"/>
        <v>5.3428243983771088E-13</v>
      </c>
      <c r="AL177" s="22">
        <f t="shared" si="165"/>
        <v>9.8459716521636505E-13</v>
      </c>
      <c r="AM177" s="62">
        <f t="shared" si="113"/>
        <v>293.33333333333428</v>
      </c>
      <c r="AN177" s="62">
        <f ca="1">AVERAGE(OFFSET($AM$3,0,0,'Données projet'!$E$10+1,1))-AVERAGE(OFFSET($H$3,0,0,'Données projet'!$E$10+1,1))</f>
        <v>262.6671000229498</v>
      </c>
      <c r="AO177" s="62">
        <f t="shared" si="144"/>
        <v>289.30432245776024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27.894460208006652</v>
      </c>
      <c r="AV177" s="23">
        <f>EXP(-LN(2)/25)*AV176+(1-EXP(-LN(2)/25))/(LN(2)/25)*Calculateur!AQ177*Calculateur!AS177*VLOOKUP('Données projet'!$B$10,Paramètres!$A$1:$I$89,3,0)*0.475*44/12</f>
        <v>2.8678754048532955</v>
      </c>
      <c r="AW177" s="23">
        <f>EXP(-LN(2)/2)*AW176+(1-EXP(-LN(2)/2))/(LN(2)/2)*AQ177*AT177*VLOOKUP('Données projet'!$B$10,Paramètres!$A$1:$I$89,3,0)*0.475*44/12</f>
        <v>1.5954874368945102E-13</v>
      </c>
      <c r="AX177" s="23">
        <f t="shared" si="166"/>
        <v>30.76233561286011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268.27008134105046</v>
      </c>
      <c r="CZ177" s="62">
        <f t="shared" si="150"/>
        <v>252.36274686619709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26.064494101715997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26.064494101715997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>
        <f>DO177*VLOOKUP('Données projet'!$B$14,Paramètres!$A$1:$I$89,3,0)*VLOOKUP('Données projet'!$B$14,Paramètres!$A$1:$I$89,5,0)</f>
        <v>0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279.49721661620544</v>
      </c>
      <c r="DU177" s="62">
        <f t="shared" si="152"/>
        <v>275.18739333988754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22.901089819872055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22.901089819872055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394.11074988418096</v>
      </c>
      <c r="EP177" s="62">
        <f t="shared" si="154"/>
        <v>241.85593029696236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58.565373198146787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58.565373198146787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4.5474735088646412E-13</v>
      </c>
      <c r="O178" s="14">
        <f>N178*VLOOKUP('Données projet'!$B$9,Paramètres!$A$1:$I$89,3,0)*VLOOKUP('Données projet'!$B$9,Paramètres!$A$1:$I$89,5,0)</f>
        <v>2.5420376914553347E-13</v>
      </c>
      <c r="P178" s="14">
        <f t="shared" si="141"/>
        <v>3.4258699088369875E-12</v>
      </c>
      <c r="Q178" s="22">
        <f t="shared" si="162"/>
        <v>6.4094616558195571E-12</v>
      </c>
      <c r="R178" s="62">
        <f t="shared" si="109"/>
        <v>293.33333333333974</v>
      </c>
      <c r="S178" s="62">
        <f ca="1">AVERAGE(OFFSET($R$3,0,0,'Données projet'!$E$9+1,1))-AVERAGE(OFFSET($H$3,0,0,'Données projet'!$E$9+1,1))</f>
        <v>539.2446452106276</v>
      </c>
      <c r="T178" s="62">
        <f t="shared" si="142"/>
        <v>596.73830276071465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48.42613624918134</v>
      </c>
      <c r="AA178" s="23">
        <f>EXP(-LN(2)/25)*AA177+(1-EXP(-LN(2)/25))/(LN(2)/25)*Calculateur!V178*Calculateur!X178*VLOOKUP('Données projet'!$B$9,Paramètres!$A$1:$I$89,3,0)*0.475*44/12</f>
        <v>3.5027946707667619</v>
      </c>
      <c r="AB178" s="23">
        <f>EXP(-LN(2)/2)*AB177+(1-EXP(-LN(2)/2))/(LN(2)/2)*V178*Y178*VLOOKUP('Données projet'!$B$9,Paramètres!$A$1:$I$89,3,0)*0.475*44/12</f>
        <v>1.3139417059043569E-15</v>
      </c>
      <c r="AC178" s="24">
        <f t="shared" si="163"/>
        <v>51.928930919948101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3.1036506698001178E-14</v>
      </c>
      <c r="AK178" s="14">
        <f t="shared" si="164"/>
        <v>5.3428243983771088E-13</v>
      </c>
      <c r="AL178" s="22">
        <f t="shared" si="165"/>
        <v>9.8459716521636505E-13</v>
      </c>
      <c r="AM178" s="62">
        <f t="shared" si="113"/>
        <v>293.33333333333428</v>
      </c>
      <c r="AN178" s="62">
        <f ca="1">AVERAGE(OFFSET($AM$3,0,0,'Données projet'!$E$10+1,1))-AVERAGE(OFFSET($H$3,0,0,'Données projet'!$E$10+1,1))</f>
        <v>262.6671000229498</v>
      </c>
      <c r="AO178" s="62">
        <f t="shared" si="144"/>
        <v>289.30432245776024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27.347466857268383</v>
      </c>
      <c r="AV178" s="23">
        <f>EXP(-LN(2)/25)*AV177+(1-EXP(-LN(2)/25))/(LN(2)/25)*Calculateur!AQ178*Calculateur!AS178*VLOOKUP('Données projet'!$B$10,Paramètres!$A$1:$I$89,3,0)*0.475*44/12</f>
        <v>2.7894532010925692</v>
      </c>
      <c r="AW178" s="23">
        <f>EXP(-LN(2)/2)*AW177+(1-EXP(-LN(2)/2))/(LN(2)/2)*AQ178*AT178*VLOOKUP('Données projet'!$B$10,Paramètres!$A$1:$I$89,3,0)*0.475*44/12</f>
        <v>1.128179985926052E-13</v>
      </c>
      <c r="AX178" s="23">
        <f t="shared" si="166"/>
        <v>30.136920058361067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268.27008134105046</v>
      </c>
      <c r="CZ178" s="62">
        <f t="shared" si="150"/>
        <v>252.36274686619709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25.553385270152972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25.553385270152972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>
        <f>DO178*VLOOKUP('Données projet'!$B$14,Paramètres!$A$1:$I$89,3,0)*VLOOKUP('Données projet'!$B$14,Paramètres!$A$1:$I$89,5,0)</f>
        <v>0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279.49721661620544</v>
      </c>
      <c r="DU178" s="62">
        <f t="shared" si="152"/>
        <v>275.18739333988754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22.452013416789899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22.452013416789899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394.11074988418096</v>
      </c>
      <c r="EP178" s="62">
        <f t="shared" si="154"/>
        <v>241.85593029696236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57.41694195108159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57.41694195108159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4.5474735088646412E-13</v>
      </c>
      <c r="O179" s="14">
        <f>N179*VLOOKUP('Données projet'!$B$9,Paramètres!$A$1:$I$89,3,0)*VLOOKUP('Données projet'!$B$9,Paramètres!$A$1:$I$89,5,0)</f>
        <v>2.5420376914553347E-13</v>
      </c>
      <c r="P179" s="14">
        <f t="shared" si="141"/>
        <v>3.4258699088369875E-12</v>
      </c>
      <c r="Q179" s="22">
        <f t="shared" si="162"/>
        <v>6.4094616558195571E-12</v>
      </c>
      <c r="R179" s="62">
        <f t="shared" si="109"/>
        <v>293.33333333333974</v>
      </c>
      <c r="S179" s="62">
        <f ca="1">AVERAGE(OFFSET($R$3,0,0,'Données projet'!$E$9+1,1))-AVERAGE(OFFSET($H$3,0,0,'Données projet'!$E$9+1,1))</f>
        <v>539.2446452106276</v>
      </c>
      <c r="T179" s="62">
        <f t="shared" si="142"/>
        <v>596.73830276071465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47.476529254361466</v>
      </c>
      <c r="AA179" s="23">
        <f>EXP(-LN(2)/25)*AA178+(1-EXP(-LN(2)/25))/(LN(2)/25)*Calculateur!V179*Calculateur!X179*VLOOKUP('Données projet'!$B$9,Paramètres!$A$1:$I$89,3,0)*0.475*44/12</f>
        <v>3.4070105662906789</v>
      </c>
      <c r="AB179" s="23">
        <f>EXP(-LN(2)/2)*AB178+(1-EXP(-LN(2)/2))/(LN(2)/2)*V179*Y179*VLOOKUP('Données projet'!$B$9,Paramètres!$A$1:$I$89,3,0)*0.475*44/12</f>
        <v>9.2909709032879109E-16</v>
      </c>
      <c r="AC179" s="24">
        <f t="shared" si="163"/>
        <v>50.883539820652146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3.1036506698001178E-14</v>
      </c>
      <c r="AK179" s="14">
        <f t="shared" si="164"/>
        <v>5.3428243983771088E-13</v>
      </c>
      <c r="AL179" s="22">
        <f t="shared" si="165"/>
        <v>9.8459716521636505E-13</v>
      </c>
      <c r="AM179" s="62">
        <f t="shared" si="113"/>
        <v>293.33333333333428</v>
      </c>
      <c r="AN179" s="62">
        <f ca="1">AVERAGE(OFFSET($AM$3,0,0,'Données projet'!$E$10+1,1))-AVERAGE(OFFSET($H$3,0,0,'Données projet'!$E$10+1,1))</f>
        <v>262.6671000229498</v>
      </c>
      <c r="AO179" s="62">
        <f t="shared" si="144"/>
        <v>289.30432245776024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26.81119971250509</v>
      </c>
      <c r="AV179" s="23">
        <f>EXP(-LN(2)/25)*AV178+(1-EXP(-LN(2)/25))/(LN(2)/25)*Calculateur!AQ179*Calculateur!AS179*VLOOKUP('Données projet'!$B$10,Paramètres!$A$1:$I$89,3,0)*0.475*44/12</f>
        <v>2.7131754566177246</v>
      </c>
      <c r="AW179" s="23">
        <f>EXP(-LN(2)/2)*AW178+(1-EXP(-LN(2)/2))/(LN(2)/2)*AQ179*AT179*VLOOKUP('Données projet'!$B$10,Paramètres!$A$1:$I$89,3,0)*0.475*44/12</f>
        <v>7.9774371844725522E-14</v>
      </c>
      <c r="AX179" s="23">
        <f t="shared" si="166"/>
        <v>29.524375169122891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268.27008134105046</v>
      </c>
      <c r="CZ179" s="62">
        <f t="shared" si="150"/>
        <v>252.36274686619709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25.052298971031295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25.052298971031295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>
        <f>DO179*VLOOKUP('Données projet'!$B$14,Paramètres!$A$1:$I$89,3,0)*VLOOKUP('Données projet'!$B$14,Paramètres!$A$1:$I$89,5,0)</f>
        <v>0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279.49721661620544</v>
      </c>
      <c r="DU179" s="62">
        <f t="shared" si="152"/>
        <v>275.18739333988754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22.011743128062626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22.011743128062626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394.11074988418096</v>
      </c>
      <c r="EP179" s="62">
        <f t="shared" si="154"/>
        <v>241.85593029696236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56.291030740297444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56.291030740297444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4.5474735088646412E-13</v>
      </c>
      <c r="O180" s="14">
        <f>N180*VLOOKUP('Données projet'!$B$9,Paramètres!$A$1:$I$89,3,0)*VLOOKUP('Données projet'!$B$9,Paramètres!$A$1:$I$89,5,0)</f>
        <v>2.5420376914553347E-13</v>
      </c>
      <c r="P180" s="14">
        <f t="shared" si="141"/>
        <v>3.4258699088369875E-12</v>
      </c>
      <c r="Q180" s="22">
        <f t="shared" si="162"/>
        <v>6.4094616558195571E-12</v>
      </c>
      <c r="R180" s="62">
        <f t="shared" si="109"/>
        <v>293.33333333333974</v>
      </c>
      <c r="S180" s="62">
        <f ca="1">AVERAGE(OFFSET($R$3,0,0,'Données projet'!$E$9+1,1))-AVERAGE(OFFSET($H$3,0,0,'Données projet'!$E$9+1,1))</f>
        <v>539.2446452106276</v>
      </c>
      <c r="T180" s="62">
        <f t="shared" si="142"/>
        <v>596.73830276071465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46.545543473506939</v>
      </c>
      <c r="AA180" s="23">
        <f>EXP(-LN(2)/25)*AA179+(1-EXP(-LN(2)/25))/(LN(2)/25)*Calculateur!V180*Calculateur!X180*VLOOKUP('Données projet'!$B$9,Paramètres!$A$1:$I$89,3,0)*0.475*44/12</f>
        <v>3.3138456831885614</v>
      </c>
      <c r="AB180" s="23">
        <f>EXP(-LN(2)/2)*AB179+(1-EXP(-LN(2)/2))/(LN(2)/2)*V180*Y180*VLOOKUP('Données projet'!$B$9,Paramètres!$A$1:$I$89,3,0)*0.475*44/12</f>
        <v>6.5697085295217847E-16</v>
      </c>
      <c r="AC180" s="24">
        <f t="shared" si="163"/>
        <v>49.859389156695499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3.1036506698001178E-14</v>
      </c>
      <c r="AK180" s="14">
        <f t="shared" si="164"/>
        <v>5.3428243983771088E-13</v>
      </c>
      <c r="AL180" s="22">
        <f t="shared" si="165"/>
        <v>9.8459716521636505E-13</v>
      </c>
      <c r="AM180" s="62">
        <f t="shared" si="113"/>
        <v>293.33333333333428</v>
      </c>
      <c r="AN180" s="62">
        <f ca="1">AVERAGE(OFFSET($AM$3,0,0,'Données projet'!$E$10+1,1))-AVERAGE(OFFSET($H$3,0,0,'Données projet'!$E$10+1,1))</f>
        <v>262.6671000229498</v>
      </c>
      <c r="AO180" s="62">
        <f t="shared" si="144"/>
        <v>289.30432245776024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26.285448439359943</v>
      </c>
      <c r="AV180" s="23">
        <f>EXP(-LN(2)/25)*AV179+(1-EXP(-LN(2)/25))/(LN(2)/25)*Calculateur!AQ180*Calculateur!AS180*VLOOKUP('Données projet'!$B$10,Paramètres!$A$1:$I$89,3,0)*0.475*44/12</f>
        <v>2.6389835310768168</v>
      </c>
      <c r="AW180" s="23">
        <f>EXP(-LN(2)/2)*AW179+(1-EXP(-LN(2)/2))/(LN(2)/2)*AQ180*AT180*VLOOKUP('Données projet'!$B$10,Paramètres!$A$1:$I$89,3,0)*0.475*44/12</f>
        <v>5.6408999296302612E-14</v>
      </c>
      <c r="AX180" s="23">
        <f t="shared" si="166"/>
        <v>28.924431970436817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268.27008134105046</v>
      </c>
      <c r="CZ180" s="62">
        <f t="shared" si="150"/>
        <v>252.36274686619709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24.561038668602929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24.561038668602929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>
        <f>DO180*VLOOKUP('Données projet'!$B$14,Paramètres!$A$1:$I$89,3,0)*VLOOKUP('Données projet'!$B$14,Paramètres!$A$1:$I$89,5,0)</f>
        <v>0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279.49721661620544</v>
      </c>
      <c r="DU180" s="62">
        <f t="shared" si="152"/>
        <v>275.18739333988754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21.580106271158936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21.580106271158936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394.11074988418096</v>
      </c>
      <c r="EP180" s="62">
        <f t="shared" si="154"/>
        <v>241.85593029696236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55.18719796161875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55.18719796161875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4.5474735088646412E-13</v>
      </c>
      <c r="O181" s="14">
        <f>N181*VLOOKUP('Données projet'!$B$9,Paramètres!$A$1:$I$89,3,0)*VLOOKUP('Données projet'!$B$9,Paramètres!$A$1:$I$89,5,0)</f>
        <v>2.5420376914553347E-13</v>
      </c>
      <c r="P181" s="14">
        <f t="shared" si="141"/>
        <v>3.4258699088369875E-12</v>
      </c>
      <c r="Q181" s="22">
        <f t="shared" si="162"/>
        <v>6.4094616558195571E-12</v>
      </c>
      <c r="R181" s="62">
        <f t="shared" si="109"/>
        <v>293.33333333333974</v>
      </c>
      <c r="S181" s="62">
        <f ca="1">AVERAGE(OFFSET($R$3,0,0,'Données projet'!$E$9+1,1))-AVERAGE(OFFSET($H$3,0,0,'Données projet'!$E$9+1,1))</f>
        <v>539.2446452106276</v>
      </c>
      <c r="T181" s="62">
        <f t="shared" si="142"/>
        <v>596.73830276071465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45.632813755969707</v>
      </c>
      <c r="AA181" s="23">
        <f>EXP(-LN(2)/25)*AA180+(1-EXP(-LN(2)/25))/(LN(2)/25)*Calculateur!V181*Calculateur!X181*VLOOKUP('Données projet'!$B$9,Paramètres!$A$1:$I$89,3,0)*0.475*44/12</f>
        <v>3.2232283987141996</v>
      </c>
      <c r="AB181" s="23">
        <f>EXP(-LN(2)/2)*AB180+(1-EXP(-LN(2)/2))/(LN(2)/2)*V181*Y181*VLOOKUP('Données projet'!$B$9,Paramètres!$A$1:$I$89,3,0)*0.475*44/12</f>
        <v>4.6454854516439555E-16</v>
      </c>
      <c r="AC181" s="24">
        <f t="shared" si="163"/>
        <v>48.856042154683905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3.1036506698001178E-14</v>
      </c>
      <c r="AK181" s="14">
        <f t="shared" si="164"/>
        <v>5.3428243983771088E-13</v>
      </c>
      <c r="AL181" s="22">
        <f t="shared" si="165"/>
        <v>9.8459716521636505E-13</v>
      </c>
      <c r="AM181" s="62">
        <f t="shared" si="113"/>
        <v>293.33333333333428</v>
      </c>
      <c r="AN181" s="62">
        <f ca="1">AVERAGE(OFFSET($AM$3,0,0,'Données projet'!$E$10+1,1))-AVERAGE(OFFSET($H$3,0,0,'Données projet'!$E$10+1,1))</f>
        <v>262.6671000229498</v>
      </c>
      <c r="AO181" s="62">
        <f t="shared" si="144"/>
        <v>289.30432245776024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25.770006828004561</v>
      </c>
      <c r="AV181" s="23">
        <f>EXP(-LN(2)/25)*AV180+(1-EXP(-LN(2)/25))/(LN(2)/25)*Calculateur!AQ181*Calculateur!AS181*VLOOKUP('Données projet'!$B$10,Paramètres!$A$1:$I$89,3,0)*0.475*44/12</f>
        <v>2.5668203876414086</v>
      </c>
      <c r="AW181" s="23">
        <f>EXP(-LN(2)/2)*AW180+(1-EXP(-LN(2)/2))/(LN(2)/2)*AQ181*AT181*VLOOKUP('Données projet'!$B$10,Paramètres!$A$1:$I$89,3,0)*0.475*44/12</f>
        <v>3.9887185922362767E-14</v>
      </c>
      <c r="AX181" s="23">
        <f t="shared" si="166"/>
        <v>28.336827215646007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268.27008134105046</v>
      </c>
      <c r="CZ181" s="62">
        <f t="shared" si="150"/>
        <v>252.36274686619709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24.079411681065988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24.079411681065988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>
        <f>DO181*VLOOKUP('Données projet'!$B$14,Paramètres!$A$1:$I$89,3,0)*VLOOKUP('Données projet'!$B$14,Paramètres!$A$1:$I$89,5,0)</f>
        <v>0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279.49721661620544</v>
      </c>
      <c r="DU181" s="62">
        <f t="shared" si="152"/>
        <v>275.18739333988754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21.15693354974664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21.15693354974664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394.11074988418096</v>
      </c>
      <c r="EP181" s="62">
        <f t="shared" si="154"/>
        <v>241.85593029696236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54.105010670458427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54.105010670458427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4.5474735088646412E-13</v>
      </c>
      <c r="O182" s="14">
        <f>N182*VLOOKUP('Données projet'!$B$9,Paramètres!$A$1:$I$89,3,0)*VLOOKUP('Données projet'!$B$9,Paramètres!$A$1:$I$89,5,0)</f>
        <v>2.5420376914553347E-13</v>
      </c>
      <c r="P182" s="14">
        <f t="shared" si="141"/>
        <v>3.4258699088369875E-12</v>
      </c>
      <c r="Q182" s="22">
        <f t="shared" si="162"/>
        <v>6.4094616558195571E-12</v>
      </c>
      <c r="R182" s="62">
        <f t="shared" si="109"/>
        <v>293.33333333333974</v>
      </c>
      <c r="S182" s="62">
        <f ca="1">AVERAGE(OFFSET($R$3,0,0,'Données projet'!$E$9+1,1))-AVERAGE(OFFSET($H$3,0,0,'Données projet'!$E$9+1,1))</f>
        <v>539.2446452106276</v>
      </c>
      <c r="T182" s="62">
        <f t="shared" si="142"/>
        <v>596.73830276071465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44.737982111483227</v>
      </c>
      <c r="AA182" s="23">
        <f>EXP(-LN(2)/25)*AA181+(1-EXP(-LN(2)/25))/(LN(2)/25)*Calculateur!V182*Calculateur!X182*VLOOKUP('Données projet'!$B$9,Paramètres!$A$1:$I$89,3,0)*0.475*44/12</f>
        <v>3.1350890486491449</v>
      </c>
      <c r="AB182" s="23">
        <f>EXP(-LN(2)/2)*AB181+(1-EXP(-LN(2)/2))/(LN(2)/2)*V182*Y182*VLOOKUP('Données projet'!$B$9,Paramètres!$A$1:$I$89,3,0)*0.475*44/12</f>
        <v>3.2848542647608924E-16</v>
      </c>
      <c r="AC182" s="24">
        <f t="shared" si="163"/>
        <v>47.873071160132369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3.1036506698001178E-14</v>
      </c>
      <c r="AK182" s="14">
        <f t="shared" si="164"/>
        <v>5.3428243983771088E-13</v>
      </c>
      <c r="AL182" s="22">
        <f t="shared" si="165"/>
        <v>9.8459716521636505E-13</v>
      </c>
      <c r="AM182" s="62">
        <f t="shared" si="113"/>
        <v>293.33333333333428</v>
      </c>
      <c r="AN182" s="62">
        <f ca="1">AVERAGE(OFFSET($AM$3,0,0,'Données projet'!$E$10+1,1))-AVERAGE(OFFSET($H$3,0,0,'Données projet'!$E$10+1,1))</f>
        <v>262.6671000229498</v>
      </c>
      <c r="AO182" s="62">
        <f t="shared" si="144"/>
        <v>289.30432245776024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25.264672712259518</v>
      </c>
      <c r="AV182" s="23">
        <f>EXP(-LN(2)/25)*AV181+(1-EXP(-LN(2)/25))/(LN(2)/25)*Calculateur!AQ182*Calculateur!AS182*VLOOKUP('Données projet'!$B$10,Paramètres!$A$1:$I$89,3,0)*0.475*44/12</f>
        <v>2.4966305491581369</v>
      </c>
      <c r="AW182" s="23">
        <f>EXP(-LN(2)/2)*AW181+(1-EXP(-LN(2)/2))/(LN(2)/2)*AQ182*AT182*VLOOKUP('Données projet'!$B$10,Paramètres!$A$1:$I$89,3,0)*0.475*44/12</f>
        <v>2.8204499648151309E-14</v>
      </c>
      <c r="AX182" s="23">
        <f t="shared" si="166"/>
        <v>27.761303261417684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268.27008134105046</v>
      </c>
      <c r="CZ182" s="62">
        <f t="shared" si="150"/>
        <v>252.36274686619709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23.607229104991191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23.607229104991191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>
        <f>DO182*VLOOKUP('Données projet'!$B$14,Paramètres!$A$1:$I$89,3,0)*VLOOKUP('Données projet'!$B$14,Paramètres!$A$1:$I$89,5,0)</f>
        <v>0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279.49721661620544</v>
      </c>
      <c r="DU182" s="62">
        <f t="shared" si="152"/>
        <v>275.18739333988754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20.742058987291365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20.742058987291365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394.11074988418096</v>
      </c>
      <c r="EP182" s="62">
        <f t="shared" si="154"/>
        <v>241.85593029696236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53.044044412008688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53.044044412008688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4.5474735088646412E-13</v>
      </c>
      <c r="O183" s="14">
        <f>N183*VLOOKUP('Données projet'!$B$9,Paramètres!$A$1:$I$89,3,0)*VLOOKUP('Données projet'!$B$9,Paramètres!$A$1:$I$89,5,0)</f>
        <v>2.5420376914553347E-13</v>
      </c>
      <c r="P183" s="14">
        <f t="shared" si="141"/>
        <v>3.4258699088369875E-12</v>
      </c>
      <c r="Q183" s="22">
        <f t="shared" si="162"/>
        <v>6.4094616558195571E-12</v>
      </c>
      <c r="R183" s="62">
        <f t="shared" si="109"/>
        <v>293.33333333333974</v>
      </c>
      <c r="S183" s="62">
        <f ca="1">AVERAGE(OFFSET($R$3,0,0,'Données projet'!$E$9+1,1))-AVERAGE(OFFSET($H$3,0,0,'Données projet'!$E$9+1,1))</f>
        <v>539.2446452106276</v>
      </c>
      <c r="T183" s="62">
        <f t="shared" si="142"/>
        <v>596.73830276071465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43.860697569751714</v>
      </c>
      <c r="AA183" s="23">
        <f>EXP(-LN(2)/25)*AA182+(1-EXP(-LN(2)/25))/(LN(2)/25)*Calculateur!V183*Calculateur!X183*VLOOKUP('Données projet'!$B$9,Paramètres!$A$1:$I$89,3,0)*0.475*44/12</f>
        <v>3.0493598737466665</v>
      </c>
      <c r="AB183" s="23">
        <f>EXP(-LN(2)/2)*AB182+(1-EXP(-LN(2)/2))/(LN(2)/2)*V183*Y183*VLOOKUP('Données projet'!$B$9,Paramètres!$A$1:$I$89,3,0)*0.475*44/12</f>
        <v>2.3227427258219777E-16</v>
      </c>
      <c r="AC183" s="24">
        <f t="shared" si="163"/>
        <v>46.910057443498381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3.1036506698001178E-14</v>
      </c>
      <c r="AK183" s="14">
        <f t="shared" si="164"/>
        <v>5.3428243983771088E-13</v>
      </c>
      <c r="AL183" s="22">
        <f t="shared" si="165"/>
        <v>9.8459716521636505E-13</v>
      </c>
      <c r="AM183" s="62">
        <f t="shared" si="113"/>
        <v>293.33333333333428</v>
      </c>
      <c r="AN183" s="62">
        <f ca="1">AVERAGE(OFFSET($AM$3,0,0,'Données projet'!$E$10+1,1))-AVERAGE(OFFSET($H$3,0,0,'Données projet'!$E$10+1,1))</f>
        <v>262.6671000229498</v>
      </c>
      <c r="AO183" s="62">
        <f t="shared" si="144"/>
        <v>289.30432245776024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24.769247890300861</v>
      </c>
      <c r="AV183" s="23">
        <f>EXP(-LN(2)/25)*AV182+(1-EXP(-LN(2)/25))/(LN(2)/25)*Calculateur!AQ183*Calculateur!AS183*VLOOKUP('Données projet'!$B$10,Paramètres!$A$1:$I$89,3,0)*0.475*44/12</f>
        <v>2.4283600554993132</v>
      </c>
      <c r="AW183" s="23">
        <f>EXP(-LN(2)/2)*AW182+(1-EXP(-LN(2)/2))/(LN(2)/2)*AQ183*AT183*VLOOKUP('Données projet'!$B$10,Paramètres!$A$1:$I$89,3,0)*0.475*44/12</f>
        <v>1.9943592961181387E-14</v>
      </c>
      <c r="AX183" s="23">
        <f t="shared" si="166"/>
        <v>27.197607945800193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268.27008134105046</v>
      </c>
      <c r="CZ183" s="62">
        <f t="shared" si="150"/>
        <v>252.36274686619709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23.144305741230287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23.144305741230287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>
        <f>DO183*VLOOKUP('Données projet'!$B$14,Paramètres!$A$1:$I$89,3,0)*VLOOKUP('Données projet'!$B$14,Paramètres!$A$1:$I$89,5,0)</f>
        <v>0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279.49721661620544</v>
      </c>
      <c r="DU183" s="62">
        <f t="shared" si="152"/>
        <v>275.18739333988754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20.335319861957341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20.335319861957341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394.11074988418096</v>
      </c>
      <c r="EP183" s="62">
        <f t="shared" si="154"/>
        <v>241.85593029696236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52.00388305476163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52.00388305476163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4.5474735088646412E-13</v>
      </c>
      <c r="O184" s="14">
        <f>N184*VLOOKUP('Données projet'!$B$9,Paramètres!$A$1:$I$89,3,0)*VLOOKUP('Données projet'!$B$9,Paramètres!$A$1:$I$89,5,0)</f>
        <v>2.5420376914553347E-13</v>
      </c>
      <c r="P184" s="14">
        <f t="shared" si="141"/>
        <v>3.4258699088369875E-12</v>
      </c>
      <c r="Q184" s="22">
        <f t="shared" si="162"/>
        <v>6.4094616558195571E-12</v>
      </c>
      <c r="R184" s="62">
        <f t="shared" si="109"/>
        <v>293.33333333333974</v>
      </c>
      <c r="S184" s="62">
        <f ca="1">AVERAGE(OFFSET($R$3,0,0,'Données projet'!$E$9+1,1))-AVERAGE(OFFSET($H$3,0,0,'Données projet'!$E$9+1,1))</f>
        <v>539.2446452106276</v>
      </c>
      <c r="T184" s="62">
        <f t="shared" si="142"/>
        <v>596.73830276071465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43.000616042792821</v>
      </c>
      <c r="AA184" s="23">
        <f>EXP(-LN(2)/25)*AA183+(1-EXP(-LN(2)/25))/(LN(2)/25)*Calculateur!V184*Calculateur!X184*VLOOKUP('Données projet'!$B$9,Paramètres!$A$1:$I$89,3,0)*0.475*44/12</f>
        <v>2.9659749676401974</v>
      </c>
      <c r="AB184" s="23">
        <f>EXP(-LN(2)/2)*AB183+(1-EXP(-LN(2)/2))/(LN(2)/2)*V184*Y184*VLOOKUP('Données projet'!$B$9,Paramètres!$A$1:$I$89,3,0)*0.475*44/12</f>
        <v>1.6424271323804462E-16</v>
      </c>
      <c r="AC184" s="24">
        <f t="shared" si="163"/>
        <v>45.966591010433021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3.1036506698001178E-14</v>
      </c>
      <c r="AK184" s="14">
        <f t="shared" si="164"/>
        <v>5.3428243983771088E-13</v>
      </c>
      <c r="AL184" s="22">
        <f t="shared" si="165"/>
        <v>9.8459716521636505E-13</v>
      </c>
      <c r="AM184" s="62">
        <f t="shared" si="113"/>
        <v>293.33333333333428</v>
      </c>
      <c r="AN184" s="62">
        <f ca="1">AVERAGE(OFFSET($AM$3,0,0,'Données projet'!$E$10+1,1))-AVERAGE(OFFSET($H$3,0,0,'Données projet'!$E$10+1,1))</f>
        <v>262.6671000229498</v>
      </c>
      <c r="AO184" s="62">
        <f t="shared" si="144"/>
        <v>289.30432245776024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24.283538046921507</v>
      </c>
      <c r="AV184" s="23">
        <f>EXP(-LN(2)/25)*AV183+(1-EXP(-LN(2)/25))/(LN(2)/25)*Calculateur!AQ184*Calculateur!AS184*VLOOKUP('Données projet'!$B$10,Paramètres!$A$1:$I$89,3,0)*0.475*44/12</f>
        <v>2.3619564220797793</v>
      </c>
      <c r="AW184" s="23">
        <f>EXP(-LN(2)/2)*AW183+(1-EXP(-LN(2)/2))/(LN(2)/2)*AQ184*AT184*VLOOKUP('Données projet'!$B$10,Paramètres!$A$1:$I$89,3,0)*0.475*44/12</f>
        <v>1.4102249824075658E-14</v>
      </c>
      <c r="AX184" s="23">
        <f t="shared" si="166"/>
        <v>26.645494469001299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268.27008134105046</v>
      </c>
      <c r="CZ184" s="62">
        <f t="shared" si="150"/>
        <v>252.36274686619709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22.69046002227736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22.69046002227736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>
        <f>DO184*VLOOKUP('Données projet'!$B$14,Paramètres!$A$1:$I$89,3,0)*VLOOKUP('Données projet'!$B$14,Paramètres!$A$1:$I$89,5,0)</f>
        <v>0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279.49721661620544</v>
      </c>
      <c r="DU184" s="62">
        <f t="shared" si="152"/>
        <v>275.18739333988754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19.936556642784748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19.936556642784748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394.11074988418096</v>
      </c>
      <c r="EP184" s="62">
        <f t="shared" si="154"/>
        <v>241.85593029696236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50.9841186272944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50.9841186272944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4.5474735088646412E-13</v>
      </c>
      <c r="O185" s="14">
        <f>N185*VLOOKUP('Données projet'!$B$9,Paramètres!$A$1:$I$89,3,0)*VLOOKUP('Données projet'!$B$9,Paramètres!$A$1:$I$89,5,0)</f>
        <v>2.5420376914553347E-13</v>
      </c>
      <c r="P185" s="14">
        <f t="shared" si="141"/>
        <v>3.4258699088369875E-12</v>
      </c>
      <c r="Q185" s="22">
        <f t="shared" si="162"/>
        <v>6.4094616558195571E-12</v>
      </c>
      <c r="R185" s="62">
        <f t="shared" si="109"/>
        <v>293.33333333333974</v>
      </c>
      <c r="S185" s="62">
        <f ca="1">AVERAGE(OFFSET($R$3,0,0,'Données projet'!$E$9+1,1))-AVERAGE(OFFSET($H$3,0,0,'Données projet'!$E$9+1,1))</f>
        <v>539.2446452106276</v>
      </c>
      <c r="T185" s="62">
        <f t="shared" si="142"/>
        <v>596.73830276071465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42.157400189979661</v>
      </c>
      <c r="AA185" s="23">
        <f>EXP(-LN(2)/25)*AA184+(1-EXP(-LN(2)/25))/(LN(2)/25)*Calculateur!V185*Calculateur!X185*VLOOKUP('Données projet'!$B$9,Paramètres!$A$1:$I$89,3,0)*0.475*44/12</f>
        <v>2.8848702261762313</v>
      </c>
      <c r="AB185" s="23">
        <f>EXP(-LN(2)/2)*AB184+(1-EXP(-LN(2)/2))/(LN(2)/2)*V185*Y185*VLOOKUP('Données projet'!$B$9,Paramètres!$A$1:$I$89,3,0)*0.475*44/12</f>
        <v>1.1613713629109889E-16</v>
      </c>
      <c r="AC185" s="24">
        <f t="shared" si="163"/>
        <v>45.042270416155894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3.1036506698001178E-14</v>
      </c>
      <c r="AK185" s="14">
        <f t="shared" si="164"/>
        <v>5.3428243983771088E-13</v>
      </c>
      <c r="AL185" s="22">
        <f t="shared" si="165"/>
        <v>9.8459716521636505E-13</v>
      </c>
      <c r="AM185" s="62">
        <f t="shared" si="113"/>
        <v>293.33333333333428</v>
      </c>
      <c r="AN185" s="62">
        <f ca="1">AVERAGE(OFFSET($AM$3,0,0,'Données projet'!$E$10+1,1))-AVERAGE(OFFSET($H$3,0,0,'Données projet'!$E$10+1,1))</f>
        <v>262.6671000229498</v>
      </c>
      <c r="AO185" s="62">
        <f t="shared" si="144"/>
        <v>289.30432245776024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23.80735267731707</v>
      </c>
      <c r="AV185" s="23">
        <f>EXP(-LN(2)/25)*AV184+(1-EXP(-LN(2)/25))/(LN(2)/25)*Calculateur!AQ185*Calculateur!AS185*VLOOKUP('Données projet'!$B$10,Paramètres!$A$1:$I$89,3,0)*0.475*44/12</f>
        <v>2.2973685995081179</v>
      </c>
      <c r="AW185" s="23">
        <f>EXP(-LN(2)/2)*AW184+(1-EXP(-LN(2)/2))/(LN(2)/2)*AQ185*AT185*VLOOKUP('Données projet'!$B$10,Paramètres!$A$1:$I$89,3,0)*0.475*44/12</f>
        <v>9.971796480590695E-15</v>
      </c>
      <c r="AX185" s="23">
        <f t="shared" si="166"/>
        <v>26.104721276825199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268.27008134105046</v>
      </c>
      <c r="CZ185" s="62">
        <f t="shared" si="150"/>
        <v>252.36274686619709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22.245513941054547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22.245513941054547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>
        <f>DO185*VLOOKUP('Données projet'!$B$14,Paramètres!$A$1:$I$89,3,0)*VLOOKUP('Données projet'!$B$14,Paramètres!$A$1:$I$89,5,0)</f>
        <v>0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279.49721661620544</v>
      </c>
      <c r="DU185" s="62">
        <f t="shared" si="152"/>
        <v>275.18739333988754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19.545612927118579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19.545612927118579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394.11074988418096</v>
      </c>
      <c r="EP185" s="62">
        <f t="shared" si="154"/>
        <v>241.85593029696236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49.984351158254924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49.984351158254924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4.5474735088646412E-13</v>
      </c>
      <c r="O186" s="14">
        <f>N186*VLOOKUP('Données projet'!$B$9,Paramètres!$A$1:$I$89,3,0)*VLOOKUP('Données projet'!$B$9,Paramètres!$A$1:$I$89,5,0)</f>
        <v>2.5420376914553347E-13</v>
      </c>
      <c r="P186" s="14">
        <f t="shared" si="141"/>
        <v>3.4258699088369875E-12</v>
      </c>
      <c r="Q186" s="22">
        <f t="shared" si="162"/>
        <v>6.4094616558195571E-12</v>
      </c>
      <c r="R186" s="62">
        <f t="shared" si="109"/>
        <v>293.33333333333974</v>
      </c>
      <c r="S186" s="62">
        <f ca="1">AVERAGE(OFFSET($R$3,0,0,'Données projet'!$E$9+1,1))-AVERAGE(OFFSET($H$3,0,0,'Données projet'!$E$9+1,1))</f>
        <v>539.2446452106276</v>
      </c>
      <c r="T186" s="62">
        <f t="shared" si="142"/>
        <v>596.73830276071465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41.33071928572928</v>
      </c>
      <c r="AA186" s="23">
        <f>EXP(-LN(2)/25)*AA185+(1-EXP(-LN(2)/25))/(LN(2)/25)*Calculateur!V186*Calculateur!X186*VLOOKUP('Données projet'!$B$9,Paramètres!$A$1:$I$89,3,0)*0.475*44/12</f>
        <v>2.8059832981327104</v>
      </c>
      <c r="AB186" s="23">
        <f>EXP(-LN(2)/2)*AB185+(1-EXP(-LN(2)/2))/(LN(2)/2)*V186*Y186*VLOOKUP('Données projet'!$B$9,Paramètres!$A$1:$I$89,3,0)*0.475*44/12</f>
        <v>8.2121356619022309E-17</v>
      </c>
      <c r="AC186" s="24">
        <f t="shared" si="163"/>
        <v>44.13670258386199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3.1036506698001178E-14</v>
      </c>
      <c r="AK186" s="14">
        <f t="shared" si="164"/>
        <v>5.3428243983771088E-13</v>
      </c>
      <c r="AL186" s="22">
        <f t="shared" si="165"/>
        <v>9.8459716521636505E-13</v>
      </c>
      <c r="AM186" s="62">
        <f t="shared" si="113"/>
        <v>293.33333333333428</v>
      </c>
      <c r="AN186" s="62">
        <f ca="1">AVERAGE(OFFSET($AM$3,0,0,'Données projet'!$E$10+1,1))-AVERAGE(OFFSET($H$3,0,0,'Données projet'!$E$10+1,1))</f>
        <v>262.6671000229498</v>
      </c>
      <c r="AO186" s="62">
        <f t="shared" si="144"/>
        <v>289.30432245776024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23.340505012366179</v>
      </c>
      <c r="AV186" s="23">
        <f>EXP(-LN(2)/25)*AV185+(1-EXP(-LN(2)/25))/(LN(2)/25)*Calculateur!AQ186*Calculateur!AS186*VLOOKUP('Données projet'!$B$10,Paramètres!$A$1:$I$89,3,0)*0.475*44/12</f>
        <v>2.2345469343412043</v>
      </c>
      <c r="AW186" s="23">
        <f>EXP(-LN(2)/2)*AW185+(1-EXP(-LN(2)/2))/(LN(2)/2)*AQ186*AT186*VLOOKUP('Données projet'!$B$10,Paramètres!$A$1:$I$89,3,0)*0.475*44/12</f>
        <v>7.0511249120378297E-15</v>
      </c>
      <c r="AX186" s="23">
        <f t="shared" si="166"/>
        <v>25.57505194670739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268.27008134105046</v>
      </c>
      <c r="CZ186" s="62">
        <f t="shared" si="150"/>
        <v>252.36274686619709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21.809292981094202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21.809292981094202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>
        <f>DO186*VLOOKUP('Données projet'!$B$14,Paramètres!$A$1:$I$89,3,0)*VLOOKUP('Données projet'!$B$14,Paramètres!$A$1:$I$89,5,0)</f>
        <v>0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279.49721661620544</v>
      </c>
      <c r="DU186" s="62">
        <f t="shared" si="152"/>
        <v>275.18739333988754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19.162335379264505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19.162335379264505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394.11074988418096</v>
      </c>
      <c r="EP186" s="62">
        <f t="shared" si="154"/>
        <v>241.85593029696236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49.004188519485368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49.004188519485368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4.5474735088646412E-13</v>
      </c>
      <c r="O187" s="14">
        <f>N187*VLOOKUP('Données projet'!$B$9,Paramètres!$A$1:$I$89,3,0)*VLOOKUP('Données projet'!$B$9,Paramètres!$A$1:$I$89,5,0)</f>
        <v>2.5420376914553347E-13</v>
      </c>
      <c r="P187" s="14">
        <f t="shared" si="141"/>
        <v>3.4258699088369875E-12</v>
      </c>
      <c r="Q187" s="22">
        <f t="shared" si="162"/>
        <v>6.4094616558195571E-12</v>
      </c>
      <c r="R187" s="62">
        <f t="shared" si="109"/>
        <v>293.33333333333974</v>
      </c>
      <c r="S187" s="62">
        <f ca="1">AVERAGE(OFFSET($R$3,0,0,'Données projet'!$E$9+1,1))-AVERAGE(OFFSET($H$3,0,0,'Données projet'!$E$9+1,1))</f>
        <v>539.2446452106276</v>
      </c>
      <c r="T187" s="62">
        <f t="shared" si="142"/>
        <v>596.73830276071465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40.520249089785686</v>
      </c>
      <c r="AA187" s="23">
        <f>EXP(-LN(2)/25)*AA186+(1-EXP(-LN(2)/25))/(LN(2)/25)*Calculateur!V187*Calculateur!X187*VLOOKUP('Données projet'!$B$9,Paramètres!$A$1:$I$89,3,0)*0.475*44/12</f>
        <v>2.7292535372850231</v>
      </c>
      <c r="AB187" s="23">
        <f>EXP(-LN(2)/2)*AB186+(1-EXP(-LN(2)/2))/(LN(2)/2)*V187*Y187*VLOOKUP('Données projet'!$B$9,Paramètres!$A$1:$I$89,3,0)*0.475*44/12</f>
        <v>5.8068568145549443E-17</v>
      </c>
      <c r="AC187" s="24">
        <f t="shared" si="163"/>
        <v>43.249502627070711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3.1036506698001178E-14</v>
      </c>
      <c r="AK187" s="14">
        <f t="shared" si="164"/>
        <v>5.3428243983771088E-13</v>
      </c>
      <c r="AL187" s="22">
        <f t="shared" si="165"/>
        <v>9.8459716521636505E-13</v>
      </c>
      <c r="AM187" s="62">
        <f t="shared" si="113"/>
        <v>293.33333333333428</v>
      </c>
      <c r="AN187" s="62">
        <f ca="1">AVERAGE(OFFSET($AM$3,0,0,'Données projet'!$E$10+1,1))-AVERAGE(OFFSET($H$3,0,0,'Données projet'!$E$10+1,1))</f>
        <v>262.6671000229498</v>
      </c>
      <c r="AO187" s="62">
        <f t="shared" si="144"/>
        <v>289.30432245776024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22.882811945376019</v>
      </c>
      <c r="AV187" s="23">
        <f>EXP(-LN(2)/25)*AV186+(1-EXP(-LN(2)/25))/(LN(2)/25)*Calculateur!AQ187*Calculateur!AS187*VLOOKUP('Données projet'!$B$10,Paramètres!$A$1:$I$89,3,0)*0.475*44/12</f>
        <v>2.1734431309119278</v>
      </c>
      <c r="AW187" s="23">
        <f>EXP(-LN(2)/2)*AW186+(1-EXP(-LN(2)/2))/(LN(2)/2)*AQ187*AT187*VLOOKUP('Données projet'!$B$10,Paramètres!$A$1:$I$89,3,0)*0.475*44/12</f>
        <v>4.9858982402953483E-15</v>
      </c>
      <c r="AX187" s="23">
        <f t="shared" si="166"/>
        <v>25.05625507628795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268.27008134105046</v>
      </c>
      <c r="CZ187" s="62">
        <f t="shared" si="150"/>
        <v>252.36274686619709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21.381626048090165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21.381626048090165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>
        <f>DO187*VLOOKUP('Données projet'!$B$14,Paramètres!$A$1:$I$89,3,0)*VLOOKUP('Données projet'!$B$14,Paramètres!$A$1:$I$89,5,0)</f>
        <v>0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279.49721661620544</v>
      </c>
      <c r="DU187" s="62">
        <f t="shared" si="152"/>
        <v>275.18739333988754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18.786573670347629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18.786573670347629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394.11074988418096</v>
      </c>
      <c r="EP187" s="62">
        <f t="shared" si="154"/>
        <v>241.85593029696236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48.0432462722219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48.0432462722219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4.5474735088646412E-13</v>
      </c>
      <c r="O188" s="14">
        <f>N188*VLOOKUP('Données projet'!$B$9,Paramètres!$A$1:$I$89,3,0)*VLOOKUP('Données projet'!$B$9,Paramètres!$A$1:$I$89,5,0)</f>
        <v>2.5420376914553347E-13</v>
      </c>
      <c r="P188" s="14">
        <f t="shared" si="141"/>
        <v>3.4258699088369875E-12</v>
      </c>
      <c r="Q188" s="22">
        <f t="shared" si="162"/>
        <v>6.4094616558195571E-12</v>
      </c>
      <c r="R188" s="62">
        <f t="shared" si="109"/>
        <v>293.33333333333974</v>
      </c>
      <c r="S188" s="62">
        <f ca="1">AVERAGE(OFFSET($R$3,0,0,'Données projet'!$E$9+1,1))-AVERAGE(OFFSET($H$3,0,0,'Données projet'!$E$9+1,1))</f>
        <v>539.2446452106276</v>
      </c>
      <c r="T188" s="62">
        <f t="shared" si="142"/>
        <v>596.73830276071465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39.725671720046542</v>
      </c>
      <c r="AA188" s="23">
        <f>EXP(-LN(2)/25)*AA187+(1-EXP(-LN(2)/25))/(LN(2)/25)*Calculateur!V188*Calculateur!X188*VLOOKUP('Données projet'!$B$9,Paramètres!$A$1:$I$89,3,0)*0.475*44/12</f>
        <v>2.6546219557827584</v>
      </c>
      <c r="AB188" s="23">
        <f>EXP(-LN(2)/2)*AB187+(1-EXP(-LN(2)/2))/(LN(2)/2)*V188*Y188*VLOOKUP('Données projet'!$B$9,Paramètres!$A$1:$I$89,3,0)*0.475*44/12</f>
        <v>4.1060678309511154E-17</v>
      </c>
      <c r="AC188" s="24">
        <f t="shared" si="163"/>
        <v>42.3802936758293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3.1036506698001178E-14</v>
      </c>
      <c r="AK188" s="14">
        <f t="shared" si="164"/>
        <v>5.3428243983771088E-13</v>
      </c>
      <c r="AL188" s="22">
        <f t="shared" si="165"/>
        <v>9.8459716521636505E-13</v>
      </c>
      <c r="AM188" s="62">
        <f t="shared" si="113"/>
        <v>293.33333333333428</v>
      </c>
      <c r="AN188" s="62">
        <f ca="1">AVERAGE(OFFSET($AM$3,0,0,'Données projet'!$E$10+1,1))-AVERAGE(OFFSET($H$3,0,0,'Données projet'!$E$10+1,1))</f>
        <v>262.6671000229498</v>
      </c>
      <c r="AO188" s="62">
        <f t="shared" si="144"/>
        <v>289.30432245776024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22.434093960264331</v>
      </c>
      <c r="AV188" s="23">
        <f>EXP(-LN(2)/25)*AV187+(1-EXP(-LN(2)/25))/(LN(2)/25)*Calculateur!AQ188*Calculateur!AS188*VLOOKUP('Données projet'!$B$10,Paramètres!$A$1:$I$89,3,0)*0.475*44/12</f>
        <v>2.1140102142007344</v>
      </c>
      <c r="AW188" s="23">
        <f>EXP(-LN(2)/2)*AW187+(1-EXP(-LN(2)/2))/(LN(2)/2)*AQ188*AT188*VLOOKUP('Données projet'!$B$10,Paramètres!$A$1:$I$89,3,0)*0.475*44/12</f>
        <v>3.5255624560189156E-15</v>
      </c>
      <c r="AX188" s="23">
        <f t="shared" si="166"/>
        <v>24.54810417446507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268.27008134105046</v>
      </c>
      <c r="CZ188" s="62">
        <f t="shared" si="150"/>
        <v>252.36274686619709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20.962345402791264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20.962345402791264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>
        <f>DO188*VLOOKUP('Données projet'!$B$14,Paramètres!$A$1:$I$89,3,0)*VLOOKUP('Données projet'!$B$14,Paramètres!$A$1:$I$89,5,0)</f>
        <v>0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279.49721661620544</v>
      </c>
      <c r="DU188" s="62">
        <f t="shared" si="152"/>
        <v>275.18739333988754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18.418180419350602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18.418180419350602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394.11074988418096</v>
      </c>
      <c r="EP188" s="62">
        <f t="shared" si="154"/>
        <v>241.85593029696236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47.101147516310377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47.101147516310377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4.5474735088646412E-13</v>
      </c>
      <c r="O189" s="14">
        <f>N189*VLOOKUP('Données projet'!$B$9,Paramètres!$A$1:$I$89,3,0)*VLOOKUP('Données projet'!$B$9,Paramètres!$A$1:$I$89,5,0)</f>
        <v>2.5420376914553347E-13</v>
      </c>
      <c r="P189" s="14">
        <f t="shared" si="141"/>
        <v>3.4258699088369875E-12</v>
      </c>
      <c r="Q189" s="22">
        <f t="shared" si="162"/>
        <v>6.4094616558195571E-12</v>
      </c>
      <c r="R189" s="62">
        <f t="shared" si="109"/>
        <v>293.33333333333974</v>
      </c>
      <c r="S189" s="62">
        <f ca="1">AVERAGE(OFFSET($R$3,0,0,'Données projet'!$E$9+1,1))-AVERAGE(OFFSET($H$3,0,0,'Données projet'!$E$9+1,1))</f>
        <v>539.2446452106276</v>
      </c>
      <c r="T189" s="62">
        <f t="shared" si="142"/>
        <v>596.73830276071465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38.946675527883635</v>
      </c>
      <c r="AA189" s="23">
        <f>EXP(-LN(2)/25)*AA188+(1-EXP(-LN(2)/25))/(LN(2)/25)*Calculateur!V189*Calculateur!X189*VLOOKUP('Données projet'!$B$9,Paramètres!$A$1:$I$89,3,0)*0.475*44/12</f>
        <v>2.5820311788013774</v>
      </c>
      <c r="AB189" s="23">
        <f>EXP(-LN(2)/2)*AB188+(1-EXP(-LN(2)/2))/(LN(2)/2)*V189*Y189*VLOOKUP('Données projet'!$B$9,Paramètres!$A$1:$I$89,3,0)*0.475*44/12</f>
        <v>2.9034284072774722E-17</v>
      </c>
      <c r="AC189" s="24">
        <f t="shared" si="163"/>
        <v>41.528706706685014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3.1036506698001178E-14</v>
      </c>
      <c r="AK189" s="14">
        <f t="shared" si="164"/>
        <v>5.3428243983771088E-13</v>
      </c>
      <c r="AL189" s="22">
        <f t="shared" si="165"/>
        <v>9.8459716521636505E-13</v>
      </c>
      <c r="AM189" s="62">
        <f t="shared" si="113"/>
        <v>293.33333333333428</v>
      </c>
      <c r="AN189" s="62">
        <f ca="1">AVERAGE(OFFSET($AM$3,0,0,'Données projet'!$E$10+1,1))-AVERAGE(OFFSET($H$3,0,0,'Données projet'!$E$10+1,1))</f>
        <v>262.6671000229498</v>
      </c>
      <c r="AO189" s="62">
        <f t="shared" si="144"/>
        <v>289.30432245776024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21.994175061149736</v>
      </c>
      <c r="AV189" s="23">
        <f>EXP(-LN(2)/25)*AV188+(1-EXP(-LN(2)/25))/(LN(2)/25)*Calculateur!AQ189*Calculateur!AS189*VLOOKUP('Données projet'!$B$10,Paramètres!$A$1:$I$89,3,0)*0.475*44/12</f>
        <v>2.0562024937224499</v>
      </c>
      <c r="AW189" s="23">
        <f>EXP(-LN(2)/2)*AW188+(1-EXP(-LN(2)/2))/(LN(2)/2)*AQ189*AT189*VLOOKUP('Données projet'!$B$10,Paramètres!$A$1:$I$89,3,0)*0.475*44/12</f>
        <v>2.4929491201476745E-15</v>
      </c>
      <c r="AX189" s="23">
        <f t="shared" si="166"/>
        <v>24.050377554872188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268.27008134105046</v>
      </c>
      <c r="CZ189" s="62">
        <f t="shared" si="150"/>
        <v>252.36274686619709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20.551286595210733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20.551286595210733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>
        <f>DO189*VLOOKUP('Données projet'!$B$14,Paramètres!$A$1:$I$89,3,0)*VLOOKUP('Données projet'!$B$14,Paramètres!$A$1:$I$89,5,0)</f>
        <v>0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279.49721661620544</v>
      </c>
      <c r="DU189" s="62">
        <f t="shared" si="152"/>
        <v>275.18739333988754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18.057011135307928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18.057011135307928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394.11074988418096</v>
      </c>
      <c r="EP189" s="62">
        <f t="shared" si="154"/>
        <v>241.85593029696236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46.177522742378777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46.177522742378777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4.5474735088646412E-13</v>
      </c>
      <c r="O190" s="14">
        <f>N190*VLOOKUP('Données projet'!$B$9,Paramètres!$A$1:$I$89,3,0)*VLOOKUP('Données projet'!$B$9,Paramètres!$A$1:$I$89,5,0)</f>
        <v>2.5420376914553347E-13</v>
      </c>
      <c r="P190" s="14">
        <f t="shared" si="141"/>
        <v>3.4258699088369875E-12</v>
      </c>
      <c r="Q190" s="22">
        <f t="shared" si="162"/>
        <v>6.4094616558195571E-12</v>
      </c>
      <c r="R190" s="62">
        <f t="shared" si="109"/>
        <v>293.33333333333974</v>
      </c>
      <c r="S190" s="62">
        <f ca="1">AVERAGE(OFFSET($R$3,0,0,'Données projet'!$E$9+1,1))-AVERAGE(OFFSET($H$3,0,0,'Données projet'!$E$9+1,1))</f>
        <v>539.2446452106276</v>
      </c>
      <c r="T190" s="62">
        <f t="shared" si="142"/>
        <v>596.73830276071465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38.182954975908288</v>
      </c>
      <c r="AA190" s="23">
        <f>EXP(-LN(2)/25)*AA189+(1-EXP(-LN(2)/25))/(LN(2)/25)*Calculateur!V190*Calculateur!X190*VLOOKUP('Données projet'!$B$9,Paramètres!$A$1:$I$89,3,0)*0.475*44/12</f>
        <v>2.5114254004339354</v>
      </c>
      <c r="AB190" s="23">
        <f>EXP(-LN(2)/2)*AB189+(1-EXP(-LN(2)/2))/(LN(2)/2)*V190*Y190*VLOOKUP('Données projet'!$B$9,Paramètres!$A$1:$I$89,3,0)*0.475*44/12</f>
        <v>2.0530339154755577E-17</v>
      </c>
      <c r="AC190" s="24">
        <f t="shared" si="163"/>
        <v>40.694380376342224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3.1036506698001178E-14</v>
      </c>
      <c r="AK190" s="14">
        <f t="shared" si="164"/>
        <v>5.3428243983771088E-13</v>
      </c>
      <c r="AL190" s="22">
        <f t="shared" si="165"/>
        <v>9.8459716521636505E-13</v>
      </c>
      <c r="AM190" s="62">
        <f t="shared" si="113"/>
        <v>293.33333333333428</v>
      </c>
      <c r="AN190" s="62">
        <f ca="1">AVERAGE(OFFSET($AM$3,0,0,'Données projet'!$E$10+1,1))-AVERAGE(OFFSET($H$3,0,0,'Données projet'!$E$10+1,1))</f>
        <v>262.6671000229498</v>
      </c>
      <c r="AO190" s="62">
        <f t="shared" si="144"/>
        <v>289.30432245776024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21.562882703322742</v>
      </c>
      <c r="AV190" s="23">
        <f>EXP(-LN(2)/25)*AV189+(1-EXP(-LN(2)/25))/(LN(2)/25)*Calculateur!AQ190*Calculateur!AS190*VLOOKUP('Données projet'!$B$10,Paramètres!$A$1:$I$89,3,0)*0.475*44/12</f>
        <v>1.99997552840062</v>
      </c>
      <c r="AW190" s="23">
        <f>EXP(-LN(2)/2)*AW189+(1-EXP(-LN(2)/2))/(LN(2)/2)*AQ190*AT190*VLOOKUP('Données projet'!$B$10,Paramètres!$A$1:$I$89,3,0)*0.475*44/12</f>
        <v>1.762781228009458E-15</v>
      </c>
      <c r="AX190" s="23">
        <f t="shared" si="166"/>
        <v>23.562858231723361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268.27008134105046</v>
      </c>
      <c r="CZ190" s="62">
        <f t="shared" si="150"/>
        <v>252.36274686619709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20.14828840012574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20.14828840012574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>
        <f>DO190*VLOOKUP('Données projet'!$B$14,Paramètres!$A$1:$I$89,3,0)*VLOOKUP('Données projet'!$B$14,Paramètres!$A$1:$I$89,5,0)</f>
        <v>0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279.49721661620544</v>
      </c>
      <c r="DU190" s="62">
        <f t="shared" si="152"/>
        <v>275.18739333988754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17.70292416063382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17.70292416063382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394.11074988418096</v>
      </c>
      <c r="EP190" s="62">
        <f t="shared" si="154"/>
        <v>241.85593029696236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45.27200968690849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45.27200968690849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4.5474735088646412E-13</v>
      </c>
      <c r="O191" s="14">
        <f>N191*VLOOKUP('Données projet'!$B$9,Paramètres!$A$1:$I$89,3,0)*VLOOKUP('Données projet'!$B$9,Paramètres!$A$1:$I$89,5,0)</f>
        <v>2.5420376914553347E-13</v>
      </c>
      <c r="P191" s="14">
        <f t="shared" si="141"/>
        <v>3.4258699088369875E-12</v>
      </c>
      <c r="Q191" s="22">
        <f t="shared" si="162"/>
        <v>6.4094616558195571E-12</v>
      </c>
      <c r="R191" s="62">
        <f t="shared" si="109"/>
        <v>293.33333333333974</v>
      </c>
      <c r="S191" s="62">
        <f ca="1">AVERAGE(OFFSET($R$3,0,0,'Données projet'!$E$9+1,1))-AVERAGE(OFFSET($H$3,0,0,'Données projet'!$E$9+1,1))</f>
        <v>539.2446452106276</v>
      </c>
      <c r="T191" s="62">
        <f t="shared" si="142"/>
        <v>596.73830276071465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37.434210518133632</v>
      </c>
      <c r="AA191" s="23">
        <f>EXP(-LN(2)/25)*AA190+(1-EXP(-LN(2)/25))/(LN(2)/25)*Calculateur!V191*Calculateur!X191*VLOOKUP('Données projet'!$B$9,Paramètres!$A$1:$I$89,3,0)*0.475*44/12</f>
        <v>2.4427503407889475</v>
      </c>
      <c r="AB191" s="23">
        <f>EXP(-LN(2)/2)*AB190+(1-EXP(-LN(2)/2))/(LN(2)/2)*V191*Y191*VLOOKUP('Données projet'!$B$9,Paramètres!$A$1:$I$89,3,0)*0.475*44/12</f>
        <v>1.4517142036387361E-17</v>
      </c>
      <c r="AC191" s="24">
        <f t="shared" si="163"/>
        <v>39.87696085892258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3.1036506698001178E-14</v>
      </c>
      <c r="AK191" s="14">
        <f t="shared" si="164"/>
        <v>5.3428243983771088E-13</v>
      </c>
      <c r="AL191" s="22">
        <f t="shared" si="165"/>
        <v>9.8459716521636505E-13</v>
      </c>
      <c r="AM191" s="62">
        <f t="shared" si="113"/>
        <v>293.33333333333428</v>
      </c>
      <c r="AN191" s="62">
        <f ca="1">AVERAGE(OFFSET($AM$3,0,0,'Données projet'!$E$10+1,1))-AVERAGE(OFFSET($H$3,0,0,'Données projet'!$E$10+1,1))</f>
        <v>262.6671000229498</v>
      </c>
      <c r="AO191" s="62">
        <f t="shared" si="144"/>
        <v>289.30432245776024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21.140047725570373</v>
      </c>
      <c r="AV191" s="23">
        <f>EXP(-LN(2)/25)*AV190+(1-EXP(-LN(2)/25))/(LN(2)/25)*Calculateur!AQ191*Calculateur!AS191*VLOOKUP('Données projet'!$B$10,Paramètres!$A$1:$I$89,3,0)*0.475*44/12</f>
        <v>1.9452860924023629</v>
      </c>
      <c r="AW191" s="23">
        <f>EXP(-LN(2)/2)*AW190+(1-EXP(-LN(2)/2))/(LN(2)/2)*AQ191*AT191*VLOOKUP('Données projet'!$B$10,Paramètres!$A$1:$I$89,3,0)*0.475*44/12</f>
        <v>1.2464745600738375E-15</v>
      </c>
      <c r="AX191" s="23">
        <f t="shared" si="166"/>
        <v>23.085333817972735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268.27008134105046</v>
      </c>
      <c r="CZ191" s="62">
        <f t="shared" si="150"/>
        <v>252.36274686619709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19.753192753841738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19.753192753841738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>
        <f>DO191*VLOOKUP('Données projet'!$B$14,Paramètres!$A$1:$I$89,3,0)*VLOOKUP('Données projet'!$B$14,Paramètres!$A$1:$I$89,5,0)</f>
        <v>0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279.49721661620544</v>
      </c>
      <c r="DU191" s="62">
        <f t="shared" si="152"/>
        <v>275.18739333988754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17.355780615561343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17.355780615561343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394.11074988418096</v>
      </c>
      <c r="EP191" s="62">
        <f t="shared" si="154"/>
        <v>241.85593029696236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44.384253190147547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44.384253190147547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4.5474735088646412E-13</v>
      </c>
      <c r="O192" s="14">
        <f>N192*VLOOKUP('Données projet'!$B$9,Paramètres!$A$1:$I$89,3,0)*VLOOKUP('Données projet'!$B$9,Paramètres!$A$1:$I$89,5,0)</f>
        <v>2.5420376914553347E-13</v>
      </c>
      <c r="P192" s="14">
        <f t="shared" si="141"/>
        <v>3.4258699088369875E-12</v>
      </c>
      <c r="Q192" s="22">
        <f t="shared" si="162"/>
        <v>6.4094616558195571E-12</v>
      </c>
      <c r="R192" s="62">
        <f t="shared" si="109"/>
        <v>293.33333333333974</v>
      </c>
      <c r="S192" s="62">
        <f ca="1">AVERAGE(OFFSET($R$3,0,0,'Données projet'!$E$9+1,1))-AVERAGE(OFFSET($H$3,0,0,'Données projet'!$E$9+1,1))</f>
        <v>539.2446452106276</v>
      </c>
      <c r="T192" s="62">
        <f t="shared" si="142"/>
        <v>596.73830276071465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36.700148482486917</v>
      </c>
      <c r="AA192" s="23">
        <f>EXP(-LN(2)/25)*AA191+(1-EXP(-LN(2)/25))/(LN(2)/25)*Calculateur!V192*Calculateur!X192*VLOOKUP('Données projet'!$B$9,Paramètres!$A$1:$I$89,3,0)*0.475*44/12</f>
        <v>2.3759532042614162</v>
      </c>
      <c r="AB192" s="23">
        <f>EXP(-LN(2)/2)*AB191+(1-EXP(-LN(2)/2))/(LN(2)/2)*V192*Y192*VLOOKUP('Données projet'!$B$9,Paramètres!$A$1:$I$89,3,0)*0.475*44/12</f>
        <v>1.0265169577377789E-17</v>
      </c>
      <c r="AC192" s="24">
        <f t="shared" si="163"/>
        <v>39.076101686748331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3.1036506698001178E-14</v>
      </c>
      <c r="AK192" s="14">
        <f t="shared" si="164"/>
        <v>5.3428243983771088E-13</v>
      </c>
      <c r="AL192" s="22">
        <f t="shared" si="165"/>
        <v>9.8459716521636505E-13</v>
      </c>
      <c r="AM192" s="62">
        <f t="shared" si="113"/>
        <v>293.33333333333428</v>
      </c>
      <c r="AN192" s="62">
        <f ca="1">AVERAGE(OFFSET($AM$3,0,0,'Données projet'!$E$10+1,1))-AVERAGE(OFFSET($H$3,0,0,'Données projet'!$E$10+1,1))</f>
        <v>262.6671000229498</v>
      </c>
      <c r="AO192" s="62">
        <f t="shared" si="144"/>
        <v>289.30432245776024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20.72550428382786</v>
      </c>
      <c r="AV192" s="23">
        <f>EXP(-LN(2)/25)*AV191+(1-EXP(-LN(2)/25))/(LN(2)/25)*Calculateur!AQ192*Calculateur!AS192*VLOOKUP('Données projet'!$B$10,Paramètres!$A$1:$I$89,3,0)*0.475*44/12</f>
        <v>1.8920921419074708</v>
      </c>
      <c r="AW192" s="23">
        <f>EXP(-LN(2)/2)*AW191+(1-EXP(-LN(2)/2))/(LN(2)/2)*AQ192*AT192*VLOOKUP('Données projet'!$B$10,Paramètres!$A$1:$I$89,3,0)*0.475*44/12</f>
        <v>8.813906140047291E-16</v>
      </c>
      <c r="AX192" s="23">
        <f t="shared" si="166"/>
        <v>22.617596425735332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268.27008134105046</v>
      </c>
      <c r="CZ192" s="62">
        <f t="shared" si="150"/>
        <v>252.36274686619709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19.365844692196813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19.365844692196813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>
        <f>DO192*VLOOKUP('Données projet'!$B$14,Paramètres!$A$1:$I$89,3,0)*VLOOKUP('Données projet'!$B$14,Paramètres!$A$1:$I$89,5,0)</f>
        <v>0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279.49721661620544</v>
      </c>
      <c r="DU192" s="62">
        <f t="shared" si="152"/>
        <v>275.18739333988754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17.015444343671081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17.015444343671081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394.11074988418096</v>
      </c>
      <c r="EP192" s="62">
        <f t="shared" si="154"/>
        <v>241.85593029696236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43.513905056810088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43.513905056810088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4.5474735088646412E-13</v>
      </c>
      <c r="O193" s="14">
        <f>N193*VLOOKUP('Données projet'!$B$9,Paramètres!$A$1:$I$89,3,0)*VLOOKUP('Données projet'!$B$9,Paramètres!$A$1:$I$89,5,0)</f>
        <v>2.5420376914553347E-13</v>
      </c>
      <c r="P193" s="14">
        <f t="shared" si="141"/>
        <v>3.4258699088369875E-12</v>
      </c>
      <c r="Q193" s="22">
        <f t="shared" si="162"/>
        <v>6.4094616558195571E-12</v>
      </c>
      <c r="R193" s="62">
        <f t="shared" si="109"/>
        <v>293.33333333333974</v>
      </c>
      <c r="S193" s="62">
        <f ca="1">AVERAGE(OFFSET($R$3,0,0,'Données projet'!$E$9+1,1))-AVERAGE(OFFSET($H$3,0,0,'Données projet'!$E$9+1,1))</f>
        <v>539.2446452106276</v>
      </c>
      <c r="T193" s="62">
        <f t="shared" si="142"/>
        <v>596.73830276071465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35.980480955625602</v>
      </c>
      <c r="AA193" s="23">
        <f>EXP(-LN(2)/25)*AA192+(1-EXP(-LN(2)/25))/(LN(2)/25)*Calculateur!V193*Calculateur!X193*VLOOKUP('Données projet'!$B$9,Paramètres!$A$1:$I$89,3,0)*0.475*44/12</f>
        <v>2.3109826389449393</v>
      </c>
      <c r="AB193" s="23">
        <f>EXP(-LN(2)/2)*AB192+(1-EXP(-LN(2)/2))/(LN(2)/2)*V193*Y193*VLOOKUP('Données projet'!$B$9,Paramètres!$A$1:$I$89,3,0)*0.475*44/12</f>
        <v>7.2585710181936804E-18</v>
      </c>
      <c r="AC193" s="24">
        <f t="shared" si="163"/>
        <v>38.291463594570544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3.1036506698001178E-14</v>
      </c>
      <c r="AK193" s="14">
        <f t="shared" si="164"/>
        <v>5.3428243983771088E-13</v>
      </c>
      <c r="AL193" s="22">
        <f t="shared" si="165"/>
        <v>9.8459716521636505E-13</v>
      </c>
      <c r="AM193" s="62">
        <f t="shared" si="113"/>
        <v>293.33333333333428</v>
      </c>
      <c r="AN193" s="62">
        <f ca="1">AVERAGE(OFFSET($AM$3,0,0,'Données projet'!$E$10+1,1))-AVERAGE(OFFSET($H$3,0,0,'Données projet'!$E$10+1,1))</f>
        <v>262.6671000229498</v>
      </c>
      <c r="AO193" s="62">
        <f t="shared" si="144"/>
        <v>289.30432245776024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20.319089786131382</v>
      </c>
      <c r="AV193" s="23">
        <f>EXP(-LN(2)/25)*AV192+(1-EXP(-LN(2)/25))/(LN(2)/25)*Calculateur!AQ193*Calculateur!AS193*VLOOKUP('Données projet'!$B$10,Paramètres!$A$1:$I$89,3,0)*0.475*44/12</f>
        <v>1.8403527827862096</v>
      </c>
      <c r="AW193" s="23">
        <f>EXP(-LN(2)/2)*AW192+(1-EXP(-LN(2)/2))/(LN(2)/2)*AQ193*AT193*VLOOKUP('Données projet'!$B$10,Paramètres!$A$1:$I$89,3,0)*0.475*44/12</f>
        <v>6.2323728003691883E-16</v>
      </c>
      <c r="AX193" s="23">
        <f t="shared" si="166"/>
        <v>22.159442568917591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268.27008134105046</v>
      </c>
      <c r="CZ193" s="62">
        <f t="shared" si="150"/>
        <v>252.36274686619709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18.986092289781759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18.986092289781759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>
        <f>DO193*VLOOKUP('Données projet'!$B$14,Paramètres!$A$1:$I$89,3,0)*VLOOKUP('Données projet'!$B$14,Paramètres!$A$1:$I$89,5,0)</f>
        <v>0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279.49721661620544</v>
      </c>
      <c r="DU193" s="62">
        <f t="shared" si="152"/>
        <v>275.18739333988754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16.681781858487959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16.681781858487959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394.11074988418096</v>
      </c>
      <c r="EP193" s="62">
        <f t="shared" si="154"/>
        <v>241.85593029696236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42.660623919507437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42.660623919507437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4.5474735088646412E-13</v>
      </c>
      <c r="O194" s="14">
        <f>N194*VLOOKUP('Données projet'!$B$9,Paramètres!$A$1:$I$89,3,0)*VLOOKUP('Données projet'!$B$9,Paramètres!$A$1:$I$89,5,0)</f>
        <v>2.5420376914553347E-13</v>
      </c>
      <c r="P194" s="14">
        <f t="shared" si="141"/>
        <v>3.4258699088369875E-12</v>
      </c>
      <c r="Q194" s="22">
        <f t="shared" si="162"/>
        <v>6.4094616558195571E-12</v>
      </c>
      <c r="R194" s="62">
        <f t="shared" si="109"/>
        <v>293.33333333333974</v>
      </c>
      <c r="S194" s="62">
        <f ca="1">AVERAGE(OFFSET($R$3,0,0,'Données projet'!$E$9+1,1))-AVERAGE(OFFSET($H$3,0,0,'Données projet'!$E$9+1,1))</f>
        <v>539.2446452106276</v>
      </c>
      <c r="T194" s="62">
        <f t="shared" si="142"/>
        <v>596.73830276071465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35.274925670012188</v>
      </c>
      <c r="AA194" s="23">
        <f>EXP(-LN(2)/25)*AA193+(1-EXP(-LN(2)/25))/(LN(2)/25)*Calculateur!V194*Calculateur!X194*VLOOKUP('Données projet'!$B$9,Paramètres!$A$1:$I$89,3,0)*0.475*44/12</f>
        <v>2.2477886971536947</v>
      </c>
      <c r="AB194" s="23">
        <f>EXP(-LN(2)/2)*AB193+(1-EXP(-LN(2)/2))/(LN(2)/2)*V194*Y194*VLOOKUP('Données projet'!$B$9,Paramètres!$A$1:$I$89,3,0)*0.475*44/12</f>
        <v>5.1325847886888943E-18</v>
      </c>
      <c r="AC194" s="24">
        <f t="shared" si="163"/>
        <v>37.522714367165882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3.1036506698001178E-14</v>
      </c>
      <c r="AK194" s="14">
        <f t="shared" si="164"/>
        <v>5.3428243983771088E-13</v>
      </c>
      <c r="AL194" s="22">
        <f t="shared" si="165"/>
        <v>9.8459716521636505E-13</v>
      </c>
      <c r="AM194" s="62">
        <f t="shared" si="113"/>
        <v>293.33333333333428</v>
      </c>
      <c r="AN194" s="62">
        <f ca="1">AVERAGE(OFFSET($AM$3,0,0,'Données projet'!$E$10+1,1))-AVERAGE(OFFSET($H$3,0,0,'Données projet'!$E$10+1,1))</f>
        <v>262.6671000229498</v>
      </c>
      <c r="AO194" s="62">
        <f t="shared" si="144"/>
        <v>289.30432245776024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19.920644828846367</v>
      </c>
      <c r="AV194" s="23">
        <f>EXP(-LN(2)/25)*AV193+(1-EXP(-LN(2)/25))/(LN(2)/25)*Calculateur!AQ194*Calculateur!AS194*VLOOKUP('Données projet'!$B$10,Paramètres!$A$1:$I$89,3,0)*0.475*44/12</f>
        <v>1.7900282391609741</v>
      </c>
      <c r="AW194" s="23">
        <f>EXP(-LN(2)/2)*AW193+(1-EXP(-LN(2)/2))/(LN(2)/2)*AQ194*AT194*VLOOKUP('Données projet'!$B$10,Paramètres!$A$1:$I$89,3,0)*0.475*44/12</f>
        <v>4.4069530700236465E-16</v>
      </c>
      <c r="AX194" s="23">
        <f t="shared" si="166"/>
        <v>21.710673068007342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268.27008134105046</v>
      </c>
      <c r="CZ194" s="62">
        <f t="shared" si="150"/>
        <v>252.36274686619709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18.613786600351968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18.613786600351968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>
        <f>DO194*VLOOKUP('Données projet'!$B$14,Paramètres!$A$1:$I$89,3,0)*VLOOKUP('Données projet'!$B$14,Paramètres!$A$1:$I$89,5,0)</f>
        <v>0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279.49721661620544</v>
      </c>
      <c r="DU194" s="62">
        <f t="shared" si="152"/>
        <v>275.18739333988754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16.354662291125258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16.354662291125258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394.11074988418096</v>
      </c>
      <c r="EP194" s="62">
        <f t="shared" si="154"/>
        <v>241.85593029696236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41.824075104857187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41.824075104857187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4.5474735088646412E-13</v>
      </c>
      <c r="O195" s="14">
        <f>N195*VLOOKUP('Données projet'!$B$9,Paramètres!$A$1:$I$89,3,0)*VLOOKUP('Données projet'!$B$9,Paramètres!$A$1:$I$89,5,0)</f>
        <v>2.5420376914553347E-13</v>
      </c>
      <c r="P195" s="14">
        <f t="shared" si="141"/>
        <v>3.4258699088369875E-12</v>
      </c>
      <c r="Q195" s="22">
        <f t="shared" si="162"/>
        <v>6.4094616558195571E-12</v>
      </c>
      <c r="R195" s="62">
        <f t="shared" ref="R195:R203" si="191">Q195+(I195+J195)*44/12</f>
        <v>293.33333333333974</v>
      </c>
      <c r="S195" s="62">
        <f ca="1">AVERAGE(OFFSET($R$3,0,0,'Données projet'!$E$9+1,1))-AVERAGE(OFFSET($H$3,0,0,'Données projet'!$E$9+1,1))</f>
        <v>539.2446452106276</v>
      </c>
      <c r="T195" s="62">
        <f t="shared" si="142"/>
        <v>596.73830276071465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34.58320589320342</v>
      </c>
      <c r="AA195" s="23">
        <f>EXP(-LN(2)/25)*AA194+(1-EXP(-LN(2)/25))/(LN(2)/25)*Calculateur!V195*Calculateur!X195*VLOOKUP('Données projet'!$B$9,Paramètres!$A$1:$I$89,3,0)*0.475*44/12</f>
        <v>2.1863227970239567</v>
      </c>
      <c r="AB195" s="23">
        <f>EXP(-LN(2)/2)*AB194+(1-EXP(-LN(2)/2))/(LN(2)/2)*V195*Y195*VLOOKUP('Données projet'!$B$9,Paramètres!$A$1:$I$89,3,0)*0.475*44/12</f>
        <v>3.6292855090968402E-18</v>
      </c>
      <c r="AC195" s="24">
        <f t="shared" si="163"/>
        <v>36.769528690227375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3.1036506698001178E-14</v>
      </c>
      <c r="AK195" s="14">
        <f t="shared" si="164"/>
        <v>5.3428243983771088E-13</v>
      </c>
      <c r="AL195" s="22">
        <f t="shared" si="165"/>
        <v>9.8459716521636505E-13</v>
      </c>
      <c r="AM195" s="62">
        <f t="shared" si="113"/>
        <v>293.33333333333428</v>
      </c>
      <c r="AN195" s="62">
        <f ca="1">AVERAGE(OFFSET($AM$3,0,0,'Données projet'!$E$10+1,1))-AVERAGE(OFFSET($H$3,0,0,'Données projet'!$E$10+1,1))</f>
        <v>262.6671000229498</v>
      </c>
      <c r="AO195" s="62">
        <f t="shared" si="144"/>
        <v>289.30432245776024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19.530013134146284</v>
      </c>
      <c r="AV195" s="23">
        <f>EXP(-LN(2)/25)*AV194+(1-EXP(-LN(2)/25))/(LN(2)/25)*Calculateur!AQ195*Calculateur!AS195*VLOOKUP('Données projet'!$B$10,Paramètres!$A$1:$I$89,3,0)*0.475*44/12</f>
        <v>1.7410798228276234</v>
      </c>
      <c r="AW195" s="23">
        <f>EXP(-LN(2)/2)*AW194+(1-EXP(-LN(2)/2))/(LN(2)/2)*AQ195*AT195*VLOOKUP('Données projet'!$B$10,Paramètres!$A$1:$I$89,3,0)*0.475*44/12</f>
        <v>3.1161864001845946E-16</v>
      </c>
      <c r="AX195" s="23">
        <f t="shared" si="166"/>
        <v>21.271092956973906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268.27008134105046</v>
      </c>
      <c r="CZ195" s="62">
        <f t="shared" si="150"/>
        <v>252.36274686619709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18.248781598407849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18.248781598407849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>
        <f>DO195*VLOOKUP('Données projet'!$B$14,Paramètres!$A$1:$I$89,3,0)*VLOOKUP('Données projet'!$B$14,Paramètres!$A$1:$I$89,5,0)</f>
        <v>0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279.49721661620544</v>
      </c>
      <c r="DU195" s="62">
        <f t="shared" si="152"/>
        <v>275.18739333988754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16.033957338955304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16.033957338955304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394.11074988418096</v>
      </c>
      <c r="EP195" s="62">
        <f t="shared" si="154"/>
        <v>241.85593029696236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41.003930502217834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41.003930502217834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4.5474735088646412E-13</v>
      </c>
      <c r="O196" s="14">
        <f>N196*VLOOKUP('Données projet'!$B$9,Paramètres!$A$1:$I$89,3,0)*VLOOKUP('Données projet'!$B$9,Paramètres!$A$1:$I$89,5,0)</f>
        <v>2.5420376914553347E-13</v>
      </c>
      <c r="P196" s="14">
        <f t="shared" si="141"/>
        <v>3.4258699088369875E-12</v>
      </c>
      <c r="Q196" s="22">
        <f t="shared" si="162"/>
        <v>6.4094616558195571E-12</v>
      </c>
      <c r="R196" s="62">
        <f t="shared" si="191"/>
        <v>293.33333333333974</v>
      </c>
      <c r="S196" s="62">
        <f ca="1">AVERAGE(OFFSET($R$3,0,0,'Données projet'!$E$9+1,1))-AVERAGE(OFFSET($H$3,0,0,'Données projet'!$E$9+1,1))</f>
        <v>539.2446452106276</v>
      </c>
      <c r="T196" s="62">
        <f t="shared" si="142"/>
        <v>596.73830276071465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33.905050319310469</v>
      </c>
      <c r="AA196" s="23">
        <f>EXP(-LN(2)/25)*AA195+(1-EXP(-LN(2)/25))/(LN(2)/25)*Calculateur!V196*Calculateur!X196*VLOOKUP('Données projet'!$B$9,Paramètres!$A$1:$I$89,3,0)*0.475*44/12</f>
        <v>2.1265376851656175</v>
      </c>
      <c r="AB196" s="23">
        <f>EXP(-LN(2)/2)*AB195+(1-EXP(-LN(2)/2))/(LN(2)/2)*V196*Y196*VLOOKUP('Données projet'!$B$9,Paramètres!$A$1:$I$89,3,0)*0.475*44/12</f>
        <v>2.5662923943444472E-18</v>
      </c>
      <c r="AC196" s="24">
        <f t="shared" si="163"/>
        <v>36.031588004476085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3.1036506698001178E-14</v>
      </c>
      <c r="AK196" s="14">
        <f t="shared" si="164"/>
        <v>5.3428243983771088E-13</v>
      </c>
      <c r="AL196" s="22">
        <f t="shared" si="165"/>
        <v>9.8459716521636505E-13</v>
      </c>
      <c r="AM196" s="62">
        <f t="shared" ref="AM196:AM203" si="193">AL196+(AD196+AE196)*44/12</f>
        <v>293.33333333333428</v>
      </c>
      <c r="AN196" s="62">
        <f ca="1">AVERAGE(OFFSET($AM$3,0,0,'Données projet'!$E$10+1,1))-AVERAGE(OFFSET($H$3,0,0,'Données projet'!$E$10+1,1))</f>
        <v>262.6671000229498</v>
      </c>
      <c r="AO196" s="62">
        <f t="shared" si="144"/>
        <v>289.30432245776024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19.147041488717463</v>
      </c>
      <c r="AV196" s="23">
        <f>EXP(-LN(2)/25)*AV195+(1-EXP(-LN(2)/25))/(LN(2)/25)*Calculateur!AQ196*Calculateur!AS196*VLOOKUP('Données projet'!$B$10,Paramètres!$A$1:$I$89,3,0)*0.475*44/12</f>
        <v>1.6934699035129934</v>
      </c>
      <c r="AW196" s="23">
        <f>EXP(-LN(2)/2)*AW195+(1-EXP(-LN(2)/2))/(LN(2)/2)*AQ196*AT196*VLOOKUP('Données projet'!$B$10,Paramètres!$A$1:$I$89,3,0)*0.475*44/12</f>
        <v>2.2034765350118235E-16</v>
      </c>
      <c r="AX196" s="23">
        <f t="shared" si="166"/>
        <v>20.840511392230457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268.27008134105046</v>
      </c>
      <c r="CZ196" s="62">
        <f t="shared" si="150"/>
        <v>252.36274686619709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17.890934121920786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17.890934121920786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>
        <f>DO196*VLOOKUP('Données projet'!$B$14,Paramètres!$A$1:$I$89,3,0)*VLOOKUP('Données projet'!$B$14,Paramètres!$A$1:$I$89,5,0)</f>
        <v>0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279.49721661620544</v>
      </c>
      <c r="DU196" s="62">
        <f t="shared" si="152"/>
        <v>275.18739333988754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15.719541215286696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15.719541215286696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394.11074988418096</v>
      </c>
      <c r="EP196" s="62">
        <f t="shared" si="154"/>
        <v>241.85593029696236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40.19986843499742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40.19986843499742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4.5474735088646412E-13</v>
      </c>
      <c r="O197" s="14">
        <f>N197*VLOOKUP('Données projet'!$B$9,Paramètres!$A$1:$I$89,3,0)*VLOOKUP('Données projet'!$B$9,Paramètres!$A$1:$I$89,5,0)</f>
        <v>2.5420376914553347E-13</v>
      </c>
      <c r="P197" s="14">
        <f t="shared" ref="P197:P203" si="203">EXP(-1.0587+0.8836*LN(O197)+0.284)</f>
        <v>3.4258699088369875E-12</v>
      </c>
      <c r="Q197" s="22">
        <f t="shared" si="162"/>
        <v>6.4094616558195571E-12</v>
      </c>
      <c r="R197" s="62">
        <f t="shared" si="191"/>
        <v>293.33333333333974</v>
      </c>
      <c r="S197" s="62">
        <f ca="1">AVERAGE(OFFSET($R$3,0,0,'Données projet'!$E$9+1,1))-AVERAGE(OFFSET($H$3,0,0,'Données projet'!$E$9+1,1))</f>
        <v>539.2446452106276</v>
      </c>
      <c r="T197" s="62">
        <f t="shared" ref="T197:T203" si="204">$T$3</f>
        <v>596.73830276071465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33.2401929625875</v>
      </c>
      <c r="AA197" s="23">
        <f>EXP(-LN(2)/25)*AA196+(1-EXP(-LN(2)/25))/(LN(2)/25)*Calculateur!V197*Calculateur!X197*VLOOKUP('Données projet'!$B$9,Paramètres!$A$1:$I$89,3,0)*0.475*44/12</f>
        <v>2.0683874003350069</v>
      </c>
      <c r="AB197" s="23">
        <f>EXP(-LN(2)/2)*AB196+(1-EXP(-LN(2)/2))/(LN(2)/2)*V197*Y197*VLOOKUP('Données projet'!$B$9,Paramètres!$A$1:$I$89,3,0)*0.475*44/12</f>
        <v>1.8146427545484201E-18</v>
      </c>
      <c r="AC197" s="24">
        <f t="shared" si="163"/>
        <v>35.308580362922505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3.1036506698001178E-14</v>
      </c>
      <c r="AK197" s="14">
        <f t="shared" si="164"/>
        <v>5.3428243983771088E-13</v>
      </c>
      <c r="AL197" s="22">
        <f t="shared" si="165"/>
        <v>9.8459716521636505E-13</v>
      </c>
      <c r="AM197" s="62">
        <f t="shared" si="193"/>
        <v>293.33333333333428</v>
      </c>
      <c r="AN197" s="62">
        <f ca="1">AVERAGE(OFFSET($AM$3,0,0,'Données projet'!$E$10+1,1))-AVERAGE(OFFSET($H$3,0,0,'Données projet'!$E$10+1,1))</f>
        <v>262.6671000229498</v>
      </c>
      <c r="AO197" s="62">
        <f t="shared" ref="AO197:AO203" si="205">$AO$3</f>
        <v>289.30432245776024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18.771579683665863</v>
      </c>
      <c r="AV197" s="23">
        <f>EXP(-LN(2)/25)*AV196+(1-EXP(-LN(2)/25))/(LN(2)/25)*Calculateur!AQ197*Calculateur!AS197*VLOOKUP('Données projet'!$B$10,Paramètres!$A$1:$I$89,3,0)*0.475*44/12</f>
        <v>1.6471618799457188</v>
      </c>
      <c r="AW197" s="23">
        <f>EXP(-LN(2)/2)*AW196+(1-EXP(-LN(2)/2))/(LN(2)/2)*AQ197*AT197*VLOOKUP('Données projet'!$B$10,Paramètres!$A$1:$I$89,3,0)*0.475*44/12</f>
        <v>1.5580932000922976E-16</v>
      </c>
      <c r="AX197" s="23">
        <f t="shared" si="166"/>
        <v>20.418741563611583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268.27008134105046</v>
      </c>
      <c r="CZ197" s="62">
        <f t="shared" ref="CZ197:CZ203" si="208">$CZ$3</f>
        <v>252.36274686619709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17.540103816182224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17.540103816182224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>
        <f>DO197*VLOOKUP('Données projet'!$B$14,Paramètres!$A$1:$I$89,3,0)*VLOOKUP('Données projet'!$B$14,Paramètres!$A$1:$I$89,5,0)</f>
        <v>0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279.49721661620544</v>
      </c>
      <c r="DU197" s="62">
        <f t="shared" ref="DU197:DU203" si="209">$DU$3</f>
        <v>275.18739333988754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15.411290600028332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15.411290600028332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394.11074988418096</v>
      </c>
      <c r="EP197" s="62">
        <f t="shared" ref="EP197:EP203" si="210">$EP$3</f>
        <v>241.85593029696236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39.411573534485768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39.411573534485768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4.5474735088646412E-13</v>
      </c>
      <c r="O198" s="14">
        <f>N198*VLOOKUP('Données projet'!$B$9,Paramètres!$A$1:$I$89,3,0)*VLOOKUP('Données projet'!$B$9,Paramètres!$A$1:$I$89,5,0)</f>
        <v>2.5420376914553347E-13</v>
      </c>
      <c r="P198" s="14">
        <f t="shared" si="203"/>
        <v>3.4258699088369875E-12</v>
      </c>
      <c r="Q198" s="22">
        <f t="shared" si="162"/>
        <v>6.4094616558195571E-12</v>
      </c>
      <c r="R198" s="62">
        <f t="shared" si="191"/>
        <v>293.33333333333974</v>
      </c>
      <c r="S198" s="62">
        <f ca="1">AVERAGE(OFFSET($R$3,0,0,'Données projet'!$E$9+1,1))-AVERAGE(OFFSET($H$3,0,0,'Données projet'!$E$9+1,1))</f>
        <v>539.2446452106276</v>
      </c>
      <c r="T198" s="62">
        <f t="shared" si="204"/>
        <v>596.73830276071465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32.588373053106928</v>
      </c>
      <c r="AA198" s="23">
        <f>EXP(-LN(2)/25)*AA197+(1-EXP(-LN(2)/25))/(LN(2)/25)*Calculateur!V198*Calculateur!X198*VLOOKUP('Données projet'!$B$9,Paramètres!$A$1:$I$89,3,0)*0.475*44/12</f>
        <v>2.01182723810108</v>
      </c>
      <c r="AB198" s="23">
        <f>EXP(-LN(2)/2)*AB197+(1-EXP(-LN(2)/2))/(LN(2)/2)*V198*Y198*VLOOKUP('Données projet'!$B$9,Paramètres!$A$1:$I$89,3,0)*0.475*44/12</f>
        <v>1.2831461971722236E-18</v>
      </c>
      <c r="AC198" s="24">
        <f t="shared" si="163"/>
        <v>34.600200291208004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3.1036506698001178E-14</v>
      </c>
      <c r="AK198" s="14">
        <f t="shared" si="164"/>
        <v>5.3428243983771088E-13</v>
      </c>
      <c r="AL198" s="22">
        <f t="shared" si="165"/>
        <v>9.8459716521636505E-13</v>
      </c>
      <c r="AM198" s="62">
        <f t="shared" si="193"/>
        <v>293.33333333333428</v>
      </c>
      <c r="AN198" s="62">
        <f ca="1">AVERAGE(OFFSET($AM$3,0,0,'Données projet'!$E$10+1,1))-AVERAGE(OFFSET($H$3,0,0,'Données projet'!$E$10+1,1))</f>
        <v>262.6671000229498</v>
      </c>
      <c r="AO198" s="62">
        <f t="shared" si="205"/>
        <v>289.30432245776024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18.403480455602235</v>
      </c>
      <c r="AV198" s="23">
        <f>EXP(-LN(2)/25)*AV197+(1-EXP(-LN(2)/25))/(LN(2)/25)*Calculateur!AQ198*Calculateur!AS198*VLOOKUP('Données projet'!$B$10,Paramètres!$A$1:$I$89,3,0)*0.475*44/12</f>
        <v>1.6021201517181245</v>
      </c>
      <c r="AW198" s="23">
        <f>EXP(-LN(2)/2)*AW197+(1-EXP(-LN(2)/2))/(LN(2)/2)*AQ198*AT198*VLOOKUP('Données projet'!$B$10,Paramètres!$A$1:$I$89,3,0)*0.475*44/12</f>
        <v>1.101738267505912E-16</v>
      </c>
      <c r="AX198" s="23">
        <f t="shared" si="166"/>
        <v>20.00560060732036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268.27008134105046</v>
      </c>
      <c r="CZ198" s="62">
        <f t="shared" si="208"/>
        <v>252.36274686619709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17.196153078753838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17.196153078753838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>
        <f>DO198*VLOOKUP('Données projet'!$B$14,Paramètres!$A$1:$I$89,3,0)*VLOOKUP('Données projet'!$B$14,Paramètres!$A$1:$I$89,5,0)</f>
        <v>0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279.49721661620544</v>
      </c>
      <c r="DU198" s="62">
        <f t="shared" si="209"/>
        <v>275.18739333988754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15.109084591320874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15.109084591320874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394.11074988418096</v>
      </c>
      <c r="EP198" s="62">
        <f t="shared" si="210"/>
        <v>241.85593029696236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38.638736616160735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38.638736616160735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4.5474735088646412E-13</v>
      </c>
      <c r="O199" s="14">
        <f>N199*VLOOKUP('Données projet'!$B$9,Paramètres!$A$1:$I$89,3,0)*VLOOKUP('Données projet'!$B$9,Paramètres!$A$1:$I$89,5,0)</f>
        <v>2.5420376914553347E-13</v>
      </c>
      <c r="P199" s="14">
        <f t="shared" si="203"/>
        <v>3.4258699088369875E-12</v>
      </c>
      <c r="Q199" s="22">
        <f t="shared" si="162"/>
        <v>6.4094616558195571E-12</v>
      </c>
      <c r="R199" s="62">
        <f t="shared" si="191"/>
        <v>293.33333333333974</v>
      </c>
      <c r="S199" s="62">
        <f ca="1">AVERAGE(OFFSET($R$3,0,0,'Données projet'!$E$9+1,1))-AVERAGE(OFFSET($H$3,0,0,'Données projet'!$E$9+1,1))</f>
        <v>539.2446452106276</v>
      </c>
      <c r="T199" s="62">
        <f t="shared" si="204"/>
        <v>596.73830276071465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31.949334934480376</v>
      </c>
      <c r="AA199" s="23">
        <f>EXP(-LN(2)/25)*AA198+(1-EXP(-LN(2)/25))/(LN(2)/25)*Calculateur!V199*Calculateur!X199*VLOOKUP('Données projet'!$B$9,Paramètres!$A$1:$I$89,3,0)*0.475*44/12</f>
        <v>1.9568137164778097</v>
      </c>
      <c r="AB199" s="23">
        <f>EXP(-LN(2)/2)*AB198+(1-EXP(-LN(2)/2))/(LN(2)/2)*V199*Y199*VLOOKUP('Données projet'!$B$9,Paramètres!$A$1:$I$89,3,0)*0.475*44/12</f>
        <v>9.0732137727421005E-19</v>
      </c>
      <c r="AC199" s="24">
        <f t="shared" si="163"/>
        <v>33.906148650958187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3.1036506698001178E-14</v>
      </c>
      <c r="AK199" s="14">
        <f t="shared" si="164"/>
        <v>5.3428243983771088E-13</v>
      </c>
      <c r="AL199" s="22">
        <f t="shared" si="165"/>
        <v>9.8459716521636505E-13</v>
      </c>
      <c r="AM199" s="62">
        <f t="shared" si="193"/>
        <v>293.33333333333428</v>
      </c>
      <c r="AN199" s="62">
        <f ca="1">AVERAGE(OFFSET($AM$3,0,0,'Données projet'!$E$10+1,1))-AVERAGE(OFFSET($H$3,0,0,'Données projet'!$E$10+1,1))</f>
        <v>262.6671000229498</v>
      </c>
      <c r="AO199" s="62">
        <f t="shared" si="205"/>
        <v>289.30432245776024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18.042599428882575</v>
      </c>
      <c r="AV199" s="23">
        <f>EXP(-LN(2)/25)*AV198+(1-EXP(-LN(2)/25))/(LN(2)/25)*Calculateur!AQ199*Calculateur!AS199*VLOOKUP('Données projet'!$B$10,Paramètres!$A$1:$I$89,3,0)*0.475*44/12</f>
        <v>1.5583100919175552</v>
      </c>
      <c r="AW199" s="23">
        <f>EXP(-LN(2)/2)*AW198+(1-EXP(-LN(2)/2))/(LN(2)/2)*AQ199*AT199*VLOOKUP('Données projet'!$B$10,Paramètres!$A$1:$I$89,3,0)*0.475*44/12</f>
        <v>7.7904660004614891E-17</v>
      </c>
      <c r="AX199" s="23">
        <f t="shared" si="166"/>
        <v>19.60090952080013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268.27008134105046</v>
      </c>
      <c r="CZ199" s="62">
        <f t="shared" si="208"/>
        <v>252.36274686619709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16.858947005497189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16.858947005497189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>
        <f>DO199*VLOOKUP('Données projet'!$B$14,Paramètres!$A$1:$I$89,3,0)*VLOOKUP('Données projet'!$B$14,Paramètres!$A$1:$I$89,5,0)</f>
        <v>0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279.49721661620544</v>
      </c>
      <c r="DU199" s="62">
        <f t="shared" si="209"/>
        <v>275.18739333988754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14.812804658116704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14.812804658116704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394.11074988418096</v>
      </c>
      <c r="EP199" s="62">
        <f t="shared" si="210"/>
        <v>241.85593029696236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37.881054558420082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37.881054558420082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4.5474735088646412E-13</v>
      </c>
      <c r="O200" s="14">
        <f>N200*VLOOKUP('Données projet'!$B$9,Paramètres!$A$1:$I$89,3,0)*VLOOKUP('Données projet'!$B$9,Paramètres!$A$1:$I$89,5,0)</f>
        <v>2.5420376914553347E-13</v>
      </c>
      <c r="P200" s="14">
        <f t="shared" si="203"/>
        <v>3.4258699088369875E-12</v>
      </c>
      <c r="Q200" s="22">
        <f t="shared" si="162"/>
        <v>6.4094616558195571E-12</v>
      </c>
      <c r="R200" s="62">
        <f t="shared" si="191"/>
        <v>293.33333333333974</v>
      </c>
      <c r="S200" s="62">
        <f ca="1">AVERAGE(OFFSET($R$3,0,0,'Données projet'!$E$9+1,1))-AVERAGE(OFFSET($H$3,0,0,'Données projet'!$E$9+1,1))</f>
        <v>539.2446452106276</v>
      </c>
      <c r="T200" s="62">
        <f t="shared" si="204"/>
        <v>596.73830276071465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31.322827963585329</v>
      </c>
      <c r="AA200" s="23">
        <f>EXP(-LN(2)/25)*AA199+(1-EXP(-LN(2)/25))/(LN(2)/25)*Calculateur!V200*Calculateur!X200*VLOOKUP('Données projet'!$B$9,Paramètres!$A$1:$I$89,3,0)*0.475*44/12</f>
        <v>1.903304542496363</v>
      </c>
      <c r="AB200" s="23">
        <f>EXP(-LN(2)/2)*AB199+(1-EXP(-LN(2)/2))/(LN(2)/2)*V200*Y200*VLOOKUP('Données projet'!$B$9,Paramètres!$A$1:$I$89,3,0)*0.475*44/12</f>
        <v>6.4157309858611179E-19</v>
      </c>
      <c r="AC200" s="24">
        <f t="shared" si="163"/>
        <v>33.22613250608169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3.1036506698001178E-14</v>
      </c>
      <c r="AK200" s="14">
        <f t="shared" si="164"/>
        <v>5.3428243983771088E-13</v>
      </c>
      <c r="AL200" s="22">
        <f t="shared" si="165"/>
        <v>9.8459716521636505E-13</v>
      </c>
      <c r="AM200" s="62">
        <f t="shared" si="193"/>
        <v>293.33333333333428</v>
      </c>
      <c r="AN200" s="62">
        <f ca="1">AVERAGE(OFFSET($AM$3,0,0,'Données projet'!$E$10+1,1))-AVERAGE(OFFSET($H$3,0,0,'Données projet'!$E$10+1,1))</f>
        <v>262.6671000229498</v>
      </c>
      <c r="AO200" s="62">
        <f t="shared" si="205"/>
        <v>289.30432245776024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17.688795058981196</v>
      </c>
      <c r="AV200" s="23">
        <f>EXP(-LN(2)/25)*AV199+(1-EXP(-LN(2)/25))/(LN(2)/25)*Calculateur!AQ200*Calculateur!AS200*VLOOKUP('Données projet'!$B$10,Paramètres!$A$1:$I$89,3,0)*0.475*44/12</f>
        <v>1.5156980205061035</v>
      </c>
      <c r="AW200" s="23">
        <f>EXP(-LN(2)/2)*AW199+(1-EXP(-LN(2)/2))/(LN(2)/2)*AQ200*AT200*VLOOKUP('Données projet'!$B$10,Paramètres!$A$1:$I$89,3,0)*0.475*44/12</f>
        <v>5.5086913375295606E-17</v>
      </c>
      <c r="AX200" s="23">
        <f t="shared" si="166"/>
        <v>19.2044930794873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268.27008134105046</v>
      </c>
      <c r="CZ200" s="62">
        <f t="shared" si="208"/>
        <v>252.36274686619709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16.528353337661706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16.528353337661706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>
        <f>DO200*VLOOKUP('Données projet'!$B$14,Paramètres!$A$1:$I$89,3,0)*VLOOKUP('Données projet'!$B$14,Paramètres!$A$1:$I$89,5,0)</f>
        <v>0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279.49721661620544</v>
      </c>
      <c r="DU200" s="62">
        <f t="shared" si="209"/>
        <v>275.18739333988754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14.522334593689752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14.522334593689752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394.11074988418096</v>
      </c>
      <c r="EP200" s="62">
        <f t="shared" si="210"/>
        <v>241.85593029696236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37.138230183691299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37.138230183691299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4.5474735088646412E-13</v>
      </c>
      <c r="O201" s="14">
        <f>N201*VLOOKUP('Données projet'!$B$9,Paramètres!$A$1:$I$89,3,0)*VLOOKUP('Données projet'!$B$9,Paramètres!$A$1:$I$89,5,0)</f>
        <v>2.5420376914553347E-13</v>
      </c>
      <c r="P201" s="14">
        <f t="shared" si="203"/>
        <v>3.4258699088369875E-12</v>
      </c>
      <c r="Q201" s="22">
        <f t="shared" si="162"/>
        <v>6.4094616558195571E-12</v>
      </c>
      <c r="R201" s="62">
        <f t="shared" si="191"/>
        <v>293.33333333333974</v>
      </c>
      <c r="S201" s="62">
        <f ca="1">AVERAGE(OFFSET($R$3,0,0,'Données projet'!$E$9+1,1))-AVERAGE(OFFSET($H$3,0,0,'Données projet'!$E$9+1,1))</f>
        <v>539.2446452106276</v>
      </c>
      <c r="T201" s="62">
        <f t="shared" si="204"/>
        <v>596.73830276071465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30.708606412258014</v>
      </c>
      <c r="AA201" s="23">
        <f>EXP(-LN(2)/25)*AA200+(1-EXP(-LN(2)/25))/(LN(2)/25)*Calculateur!V201*Calculateur!X201*VLOOKUP('Données projet'!$B$9,Paramètres!$A$1:$I$89,3,0)*0.475*44/12</f>
        <v>1.8512585796913641</v>
      </c>
      <c r="AB201" s="23">
        <f>EXP(-LN(2)/2)*AB200+(1-EXP(-LN(2)/2))/(LN(2)/2)*V201*Y201*VLOOKUP('Données projet'!$B$9,Paramètres!$A$1:$I$89,3,0)*0.475*44/12</f>
        <v>4.5366068863710503E-19</v>
      </c>
      <c r="AC201" s="24">
        <f t="shared" si="163"/>
        <v>32.559864991949375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3.1036506698001178E-14</v>
      </c>
      <c r="AK201" s="14">
        <f t="shared" si="164"/>
        <v>5.3428243983771088E-13</v>
      </c>
      <c r="AL201" s="22">
        <f t="shared" si="165"/>
        <v>9.8459716521636505E-13</v>
      </c>
      <c r="AM201" s="62">
        <f t="shared" si="193"/>
        <v>293.33333333333428</v>
      </c>
      <c r="AN201" s="62">
        <f ca="1">AVERAGE(OFFSET($AM$3,0,0,'Données projet'!$E$10+1,1))-AVERAGE(OFFSET($H$3,0,0,'Données projet'!$E$10+1,1))</f>
        <v>262.6671000229498</v>
      </c>
      <c r="AO201" s="62">
        <f t="shared" si="205"/>
        <v>289.30432245776024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17.341928576974226</v>
      </c>
      <c r="AV201" s="23">
        <f>EXP(-LN(2)/25)*AV200+(1-EXP(-LN(2)/25))/(LN(2)/25)*Calculateur!AQ201*Calculateur!AS201*VLOOKUP('Données projet'!$B$10,Paramètres!$A$1:$I$89,3,0)*0.475*44/12</f>
        <v>1.4742511784282692</v>
      </c>
      <c r="AW201" s="23">
        <f>EXP(-LN(2)/2)*AW200+(1-EXP(-LN(2)/2))/(LN(2)/2)*AQ201*AT201*VLOOKUP('Données projet'!$B$10,Paramètres!$A$1:$I$89,3,0)*0.475*44/12</f>
        <v>3.8952330002307452E-17</v>
      </c>
      <c r="AX201" s="23">
        <f t="shared" si="166"/>
        <v>18.816179755402494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268.27008134105046</v>
      </c>
      <c r="CZ201" s="62">
        <f t="shared" si="208"/>
        <v>252.36274686619709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16.204242410010249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16.204242410010249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>
        <f>DO201*VLOOKUP('Données projet'!$B$14,Paramètres!$A$1:$I$89,3,0)*VLOOKUP('Données projet'!$B$14,Paramètres!$A$1:$I$89,5,0)</f>
        <v>0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279.49721661620544</v>
      </c>
      <c r="DU201" s="62">
        <f t="shared" si="209"/>
        <v>275.18739333988754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14.237560470056968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14.237560470056968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394.11074988418096</v>
      </c>
      <c r="EP201" s="62">
        <f t="shared" si="210"/>
        <v>241.85593029696236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36.409972141872814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36.409972141872814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4.5474735088646412E-13</v>
      </c>
      <c r="O202" s="14">
        <f>N202*VLOOKUP('Données projet'!$B$9,Paramètres!$A$1:$I$89,3,0)*VLOOKUP('Données projet'!$B$9,Paramètres!$A$1:$I$89,5,0)</f>
        <v>2.5420376914553347E-13</v>
      </c>
      <c r="P202" s="14">
        <f t="shared" si="203"/>
        <v>3.4258699088369875E-12</v>
      </c>
      <c r="Q202" s="22">
        <f t="shared" si="162"/>
        <v>6.4094616558195571E-12</v>
      </c>
      <c r="R202" s="62">
        <f t="shared" si="191"/>
        <v>293.33333333333974</v>
      </c>
      <c r="S202" s="62">
        <f ca="1">AVERAGE(OFFSET($R$3,0,0,'Données projet'!$E$9+1,1))-AVERAGE(OFFSET($H$3,0,0,'Données projet'!$E$9+1,1))</f>
        <v>539.2446452106276</v>
      </c>
      <c r="T202" s="62">
        <f t="shared" si="204"/>
        <v>596.73830276071465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30.106429370914071</v>
      </c>
      <c r="AA202" s="23">
        <f>EXP(-LN(2)/25)*AA201+(1-EXP(-LN(2)/25))/(LN(2)/25)*Calculateur!V202*Calculateur!X202*VLOOKUP('Données projet'!$B$9,Paramètres!$A$1:$I$89,3,0)*0.475*44/12</f>
        <v>1.8006358164762462</v>
      </c>
      <c r="AB202" s="23">
        <f>EXP(-LN(2)/2)*AB201+(1-EXP(-LN(2)/2))/(LN(2)/2)*V202*Y202*VLOOKUP('Données projet'!$B$9,Paramètres!$A$1:$I$89,3,0)*0.475*44/12</f>
        <v>3.2078654929305589E-19</v>
      </c>
      <c r="AC202" s="24">
        <f t="shared" si="163"/>
        <v>31.907065187390316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3.1036506698001178E-14</v>
      </c>
      <c r="AK202" s="14">
        <f t="shared" si="164"/>
        <v>5.3428243983771088E-13</v>
      </c>
      <c r="AL202" s="22">
        <f t="shared" si="165"/>
        <v>9.8459716521636505E-13</v>
      </c>
      <c r="AM202" s="62">
        <f t="shared" si="193"/>
        <v>293.33333333333428</v>
      </c>
      <c r="AN202" s="62">
        <f ca="1">AVERAGE(OFFSET($AM$3,0,0,'Données projet'!$E$10+1,1))-AVERAGE(OFFSET($H$3,0,0,'Données projet'!$E$10+1,1))</f>
        <v>262.6671000229498</v>
      </c>
      <c r="AO202" s="62">
        <f t="shared" si="205"/>
        <v>289.30432245776024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17.00186393511175</v>
      </c>
      <c r="AV202" s="23">
        <f>EXP(-LN(2)/25)*AV201+(1-EXP(-LN(2)/25))/(LN(2)/25)*Calculateur!AQ202*Calculateur!AS202*VLOOKUP('Données projet'!$B$10,Paramètres!$A$1:$I$89,3,0)*0.475*44/12</f>
        <v>1.4339377024266482</v>
      </c>
      <c r="AW202" s="23">
        <f>EXP(-LN(2)/2)*AW201+(1-EXP(-LN(2)/2))/(LN(2)/2)*AQ202*AT202*VLOOKUP('Données projet'!$B$10,Paramètres!$A$1:$I$89,3,0)*0.475*44/12</f>
        <v>2.7543456687647806E-17</v>
      </c>
      <c r="AX202" s="23">
        <f t="shared" si="166"/>
        <v>18.435801637538397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268.27008134105046</v>
      </c>
      <c r="CZ202" s="62">
        <f t="shared" si="208"/>
        <v>252.36274686619709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15.886487099961892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15.886487099961892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>
        <f>DO202*VLOOKUP('Données projet'!$B$14,Paramètres!$A$1:$I$89,3,0)*VLOOKUP('Données projet'!$B$14,Paramètres!$A$1:$I$89,5,0)</f>
        <v>0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279.49721661620544</v>
      </c>
      <c r="DU202" s="62">
        <f t="shared" si="209"/>
        <v>275.18739333988754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13.958370593293559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13.958370593293559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394.11074988418096</v>
      </c>
      <c r="EP202" s="62">
        <f t="shared" si="210"/>
        <v>241.85593029696236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35.695994796060845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35.695994796060845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4.5474735088646412E-13</v>
      </c>
      <c r="O203" s="14">
        <f>N203*VLOOKUP('Données projet'!$B$9,Paramètres!$A$1:$I$89,3,0)*VLOOKUP('Données projet'!$B$9,Paramètres!$A$1:$I$89,5,0)</f>
        <v>2.5420376914553347E-13</v>
      </c>
      <c r="P203" s="14">
        <f t="shared" si="203"/>
        <v>3.4258699088369875E-12</v>
      </c>
      <c r="Q203" s="22">
        <f t="shared" si="162"/>
        <v>6.4094616558195571E-12</v>
      </c>
      <c r="R203" s="62">
        <f t="shared" si="191"/>
        <v>293.33333333333974</v>
      </c>
      <c r="S203" s="62">
        <f ca="1">AVERAGE(OFFSET($R$3,0,0,'Données projet'!$E$9+1,1))-AVERAGE(OFFSET($H$3,0,0,'Données projet'!$E$9+1,1))</f>
        <v>539.2446452106276</v>
      </c>
      <c r="T203" s="62">
        <f t="shared" si="204"/>
        <v>596.73830276071465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29.516060654059157</v>
      </c>
      <c r="AA203" s="23">
        <f>EXP(-LN(2)/25)*AA202+(1-EXP(-LN(2)/25))/(LN(2)/25)*Calculateur!V203*Calculateur!X203*VLOOKUP('Données projet'!$B$9,Paramètres!$A$1:$I$89,3,0)*0.475*44/12</f>
        <v>1.7513973353833809</v>
      </c>
      <c r="AB203" s="23">
        <f>EXP(-LN(2)/2)*AB202+(1-EXP(-LN(2)/2))/(LN(2)/2)*V203*Y203*VLOOKUP('Données projet'!$B$9,Paramètres!$A$1:$I$89,3,0)*0.475*44/12</f>
        <v>2.2683034431855251E-19</v>
      </c>
      <c r="AC203" s="24">
        <f t="shared" si="163"/>
        <v>31.267457989442537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3.1036506698001178E-14</v>
      </c>
      <c r="AK203" s="14">
        <f t="shared" si="164"/>
        <v>5.3428243983771088E-13</v>
      </c>
      <c r="AL203" s="22">
        <f t="shared" si="165"/>
        <v>9.8459716521636505E-13</v>
      </c>
      <c r="AM203" s="62">
        <f t="shared" si="193"/>
        <v>293.33333333333428</v>
      </c>
      <c r="AN203" s="62">
        <f ca="1">AVERAGE(OFFSET($AM$3,0,0,'Données projet'!$E$10+1,1))-AVERAGE(OFFSET($H$3,0,0,'Données projet'!$E$10+1,1))</f>
        <v>262.6671000229498</v>
      </c>
      <c r="AO203" s="62">
        <f t="shared" si="205"/>
        <v>289.30432245776024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16.668467753457247</v>
      </c>
      <c r="AV203" s="23">
        <f>EXP(-LN(2)/25)*AV202+(1-EXP(-LN(2)/25))/(LN(2)/25)*Calculateur!AQ203*Calculateur!AS203*VLOOKUP('Données projet'!$B$10,Paramètres!$A$1:$I$89,3,0)*0.475*44/12</f>
        <v>1.3947266005462851</v>
      </c>
      <c r="AW203" s="23">
        <f>EXP(-LN(2)/2)*AW202+(1-EXP(-LN(2)/2))/(LN(2)/2)*AQ203*AT203*VLOOKUP('Données projet'!$B$10,Paramètres!$A$1:$I$89,3,0)*0.475*44/12</f>
        <v>1.9476165001153729E-17</v>
      </c>
      <c r="AX203" s="23">
        <f t="shared" si="166"/>
        <v>18.063194354003532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268.27008134105046</v>
      </c>
      <c r="CZ203" s="62">
        <f t="shared" si="208"/>
        <v>252.36274686619709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15.574962777731981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15.574962777731981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>
        <f>DO203*VLOOKUP('Données projet'!$B$14,Paramètres!$A$1:$I$89,3,0)*VLOOKUP('Données projet'!$B$14,Paramètres!$A$1:$I$89,5,0)</f>
        <v>0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279.49721661620544</v>
      </c>
      <c r="DU203" s="62">
        <f t="shared" si="209"/>
        <v>275.18739333988754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13.684655459724469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13.684655459724469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394.11074988418096</v>
      </c>
      <c r="EP203" s="62">
        <f t="shared" si="210"/>
        <v>241.85593029696236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34.99601811051707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34.99601811051707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1.3870232258442192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1.5008690410666499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>
        <f>EXP(LN('Données projet'!B140)/'Données projet'!A140)</f>
        <v>1.4003603312913959</v>
      </c>
      <c r="DL205" s="88">
        <f>EXP(LN('Données projet'!B166)/'Données projet'!A166)</f>
        <v>1.2709816152101407</v>
      </c>
      <c r="EG205" s="88">
        <f>EXP(LN('Données projet'!B192)/'Données projet'!A192)</f>
        <v>1.2229519710813024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1" zoomScale="90" zoomScaleNormal="90" workbookViewId="0">
      <selection activeCell="L32" sqref="L3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71.792000000000002</v>
      </c>
      <c r="C6" s="156">
        <f ca="1">IF(OR('Données projet'!B9="",'Données projet'!C9="",'Données projet'!C9=0%),0,Calculateur!S3)</f>
        <v>539.2446452106276</v>
      </c>
      <c r="D6" s="156">
        <f>IF(OR('Données projet'!B9="",'Données projet'!C9="",'Données projet'!C9=0%),0,Calculateur!T3)</f>
        <v>596.73830276071465</v>
      </c>
      <c r="E6" s="156">
        <f ca="1">MIN(C6,D6)</f>
        <v>539.2446452106276</v>
      </c>
      <c r="F6" s="156">
        <f ca="1">E6*B6</f>
        <v>38713.451568961376</v>
      </c>
      <c r="G6" s="156">
        <f ca="1">F6*(100%-'Données projet'!$C$24)*(100%-'Données projet'!$C$25)*(100%-'Données projet'!$C$26)*(100%-'Données projet'!$C$27)</f>
        <v>27873.685129652193</v>
      </c>
      <c r="H6" s="157">
        <f>IF(OR('Données projet'!B9="",'Données projet'!C9="",'Données projet'!C9=0%),0,AVERAGE(Calculateur!$AC$3:$AC$33)*B6)</f>
        <v>1102.8673071253577</v>
      </c>
      <c r="I6" s="158">
        <f>H6*(100%-'Données projet'!$C$24)*(100%-'Données projet'!$C$25)*(100%-'Données projet'!$C$26)*(100%-'Données projet'!$C$27)</f>
        <v>794.06446113025754</v>
      </c>
      <c r="J6" s="159">
        <f>IF(OR('Données projet'!B9="",'Données projet'!C9="",'Données projet'!C9=0%),0,SUM(Calculateur!$V$3:$V$33)*VLOOKUP('Données projet'!$B$9,Paramètres!$A$1:$I$89,9,0)*B6)</f>
        <v>6822.3937599999999</v>
      </c>
      <c r="K6" s="160">
        <f>J6*(100%-'Données projet'!$C$24)*(100%-'Données projet'!$C$25)*(100%-'Données projet'!$C$26)*(100%-'Données projet'!$C$27)</f>
        <v>4912.1235071999999</v>
      </c>
      <c r="L6" s="161">
        <f ca="1">G6+I6+K6</f>
        <v>33579.873097982447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Mélèze hybride</v>
      </c>
      <c r="B7" s="163">
        <f>'Données projet'!D10</f>
        <v>15.384</v>
      </c>
      <c r="C7" s="156">
        <f ca="1">IF(OR('Données projet'!B10="",'Données projet'!C10="",'Données projet'!C10=0%),0,Calculateur!AN3)</f>
        <v>262.6671000229498</v>
      </c>
      <c r="D7" s="156">
        <f>IF(OR('Données projet'!B10="",'Données projet'!C10="",'Données projet'!C10=0%),0,Calculateur!AO3)</f>
        <v>289.30432245776024</v>
      </c>
      <c r="E7" s="156">
        <f t="shared" ref="E7:E15" ca="1" si="0">MIN(C7,D7)</f>
        <v>262.6671000229498</v>
      </c>
      <c r="F7" s="156">
        <f t="shared" ref="F7:F15" ca="1" si="1">E7*B7</f>
        <v>4040.8706667530596</v>
      </c>
      <c r="G7" s="156">
        <f ca="1">F7*(100%-'Données projet'!$C$24)*(100%-'Données projet'!$C$25)*(100%-'Données projet'!$C$26)*(100%-'Données projet'!$C$27)</f>
        <v>2909.4268800622035</v>
      </c>
      <c r="H7" s="164">
        <f>IF(OR('Données projet'!B10="",'Données projet'!C10="",'Données projet'!C10=0%),0,AVERAGE(Calculateur!$AX$3:$AX$33)*B7)</f>
        <v>242.61676589584474</v>
      </c>
      <c r="I7" s="158">
        <f>H7*(100%-'Données projet'!$C$24)*(100%-'Données projet'!$C$25)*(100%-'Données projet'!$C$26)*(100%-'Données projet'!$C$27)</f>
        <v>174.68407144500821</v>
      </c>
      <c r="J7" s="159">
        <f>IF(OR('Données projet'!B10="",'Données projet'!C10="",'Données projet'!C10=0%),0,SUM(Calculateur!$AQ$3:$AQ$33)*VLOOKUP('Données projet'!$B$10,Paramètres!$A$1:$I$89,9,0)*B7)</f>
        <v>1256.8728000000001</v>
      </c>
      <c r="K7" s="160">
        <f>J7*(100%-'Données projet'!$C$24)*(100%-'Données projet'!$C$25)*(100%-'Données projet'!$C$26)*(100%-'Données projet'!$C$27)</f>
        <v>904.94841600000018</v>
      </c>
      <c r="L7" s="161">
        <f t="shared" ref="L7:L15" ca="1" si="2">G7+I7+K7</f>
        <v>3989.0593675072118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Chêne rouge d'Amérique</v>
      </c>
      <c r="B10" s="163">
        <f>'Données projet'!D13</f>
        <v>5.1280000000000001</v>
      </c>
      <c r="C10" s="156">
        <f ca="1">IF(OR('Données projet'!B13="",'Données projet'!C13="",'Données projet'!C13=0%),0,Calculateur!CY3)</f>
        <v>268.27008134105046</v>
      </c>
      <c r="D10" s="156">
        <f>IF(OR('Données projet'!B13="",'Données projet'!C13="",'Données projet'!C13=0%),0,Calculateur!CZ3)</f>
        <v>252.36274686619709</v>
      </c>
      <c r="E10" s="156">
        <f t="shared" ca="1" si="0"/>
        <v>252.36274686619709</v>
      </c>
      <c r="F10" s="156">
        <f t="shared" ca="1" si="1"/>
        <v>1294.1161659298587</v>
      </c>
      <c r="G10" s="156">
        <f ca="1">F10*(100%-'Données projet'!$C$24)*(100%-'Données projet'!$C$25)*(100%-'Données projet'!$C$26)*(100%-'Données projet'!$C$27)</f>
        <v>931.76363946949823</v>
      </c>
      <c r="H10" s="164">
        <f>IF(OR('Données projet'!B13="",'Données projet'!C13="",'Données projet'!C13=0%),0,AVERAGE(Calculateur!$DI$3:$DI$33)*B10)</f>
        <v>0.37094393427213662</v>
      </c>
      <c r="I10" s="158">
        <f>H10*(100%-'Données projet'!$C$24)*(100%-'Données projet'!$C$25)*(100%-'Données projet'!$C$26)*(100%-'Données projet'!$C$27)</f>
        <v>0.26707963267593837</v>
      </c>
      <c r="J10" s="159">
        <f>IF(OR('Données projet'!B13="",'Données projet'!C13="",'Données projet'!C13=0%),0,SUM(Calculateur!$DB$3:$DB$33)*VLOOKUP('Données projet'!$B$13,Paramètres!$A$1:$I$89,9,0)*B10)</f>
        <v>137.17400000000001</v>
      </c>
      <c r="K10" s="160">
        <f>J10*(100%-'Données projet'!$C$24)*(100%-'Données projet'!$C$25)*(100%-'Données projet'!$C$26)*(100%-'Données projet'!$C$27)</f>
        <v>98.765280000000018</v>
      </c>
      <c r="L10" s="161">
        <f t="shared" ca="1" si="2"/>
        <v>1030.7959991021742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>Erable sycomore</v>
      </c>
      <c r="B11" s="163">
        <f>'Données projet'!D14</f>
        <v>5.1280000000000001</v>
      </c>
      <c r="C11" s="156">
        <f ca="1">IF(OR('Données projet'!B14="",'Données projet'!C14="",'Données projet'!C14=0%),0,Calculateur!DT3)</f>
        <v>279.49721661620544</v>
      </c>
      <c r="D11" s="156">
        <f>IF(OR('Données projet'!B14="",'Données projet'!C14="",'Données projet'!C14=0%),0,Calculateur!DU3)</f>
        <v>275.18739333988754</v>
      </c>
      <c r="E11" s="156">
        <f t="shared" ca="1" si="0"/>
        <v>275.18739333988754</v>
      </c>
      <c r="F11" s="156">
        <f t="shared" ca="1" si="1"/>
        <v>1411.1609530469434</v>
      </c>
      <c r="G11" s="156">
        <f ca="1">F11*(100%-'Données projet'!$C$24)*(100%-'Données projet'!$C$25)*(100%-'Données projet'!$C$26)*(100%-'Données projet'!$C$27)</f>
        <v>1016.0358861937992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175.63400000000001</v>
      </c>
      <c r="K11" s="160">
        <f>J11*(100%-'Données projet'!$C$24)*(100%-'Données projet'!$C$25)*(100%-'Données projet'!$C$26)*(100%-'Données projet'!$C$27)</f>
        <v>126.45648000000001</v>
      </c>
      <c r="L11" s="161">
        <f t="shared" ca="1" si="2"/>
        <v>1142.4923661937992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>Hêtre</v>
      </c>
      <c r="B12" s="163">
        <f>'Données projet'!D15</f>
        <v>5.1280000000000001</v>
      </c>
      <c r="C12" s="156">
        <f ca="1">IF(OR('Données projet'!B15="",'Données projet'!C15="",'Données projet'!C15=0%),0,Calculateur!EO3)</f>
        <v>394.11074988418096</v>
      </c>
      <c r="D12" s="156">
        <f>IF(OR('Données projet'!B15="",'Données projet'!C15="",'Données projet'!C15=0%),0,Calculateur!EP3)</f>
        <v>241.85593029696236</v>
      </c>
      <c r="E12" s="156">
        <f t="shared" ca="1" si="0"/>
        <v>241.85593029696236</v>
      </c>
      <c r="F12" s="156">
        <f t="shared" ca="1" si="1"/>
        <v>1240.2372105628231</v>
      </c>
      <c r="G12" s="156">
        <f ca="1">F12*(100%-'Données projet'!$C$24)*(100%-'Données projet'!$C$25)*(100%-'Données projet'!$C$26)*(100%-'Données projet'!$C$27)</f>
        <v>892.97079160523265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78.201999999999998</v>
      </c>
      <c r="K12" s="160">
        <f>J12*(100%-'Données projet'!$C$24)*(100%-'Données projet'!$C$25)*(100%-'Données projet'!$C$26)*(100%-'Données projet'!$C$27)</f>
        <v>56.305439999999997</v>
      </c>
      <c r="L12" s="161">
        <f t="shared" ca="1" si="2"/>
        <v>949.27623160523262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46699.83656525406</v>
      </c>
      <c r="G16" s="175">
        <f t="shared" ca="1" si="3"/>
        <v>33623.88232698293</v>
      </c>
      <c r="H16" s="176">
        <f t="shared" si="3"/>
        <v>1345.8550169554746</v>
      </c>
      <c r="I16" s="176">
        <f t="shared" si="3"/>
        <v>969.01561220794167</v>
      </c>
      <c r="J16" s="177">
        <f t="shared" si="3"/>
        <v>8470.2765600000002</v>
      </c>
      <c r="K16" s="177">
        <f t="shared" si="3"/>
        <v>6098.5991231999997</v>
      </c>
      <c r="L16" s="178">
        <f t="shared" ca="1" si="3"/>
        <v>40691.497062390859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Mélèze hybride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Chêne rouge d'Amérique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>Erable sycomore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>Hêtre</v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D333" sqref="D33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71.792000000000002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Mélèze hybride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15.384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Chêne rouge d'Amérique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5.1280000000000001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27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>Erable sycomore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5.1280000000000001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7"/>
      <c r="H16" s="203"/>
      <c r="I16" s="204"/>
      <c r="J16" s="215"/>
      <c r="K16" s="224"/>
      <c r="L16" s="323" t="s">
        <v>254</v>
      </c>
      <c r="M16" s="324"/>
      <c r="N16" s="2"/>
      <c r="O16" s="25"/>
      <c r="P16" s="25"/>
      <c r="Q16" s="264"/>
      <c r="R16" s="25"/>
      <c r="S16" s="185" t="str">
        <f>B200</f>
        <v>Hêtre</v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5.1280000000000001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/>
      <c r="F17" s="260"/>
      <c r="G17" s="327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7"/>
      <c r="J18" s="215"/>
      <c r="K18" s="224"/>
      <c r="L18" s="294" t="s">
        <v>255</v>
      </c>
      <c r="M18" s="296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7"/>
      <c r="H19" s="231" t="s">
        <v>178</v>
      </c>
      <c r="I19" s="231" t="s">
        <v>287</v>
      </c>
      <c r="J19" s="259"/>
      <c r="K19" s="183"/>
      <c r="L19" s="323" t="s">
        <v>288</v>
      </c>
      <c r="M19" s="324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7"/>
      <c r="H20" s="203">
        <v>0</v>
      </c>
      <c r="I20" s="204"/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/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9</v>
      </c>
      <c r="B23" s="193">
        <f>'Données projet'!D36</f>
        <v>5</v>
      </c>
      <c r="C23" s="206"/>
      <c r="D23" s="194">
        <f>B23*C23</f>
        <v>0</v>
      </c>
      <c r="E23" s="206"/>
      <c r="F23" s="260"/>
      <c r="H23" s="203">
        <v>3</v>
      </c>
      <c r="I23" s="204"/>
      <c r="K23" s="224"/>
      <c r="L23" s="325" t="s">
        <v>260</v>
      </c>
      <c r="M23" s="325"/>
      <c r="N23" s="325"/>
      <c r="O23" s="25"/>
      <c r="P23" s="25"/>
      <c r="Q23" s="264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15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22</v>
      </c>
      <c r="B25" s="193">
        <f>'Données projet'!D38</f>
        <v>76</v>
      </c>
      <c r="C25" s="206"/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30</v>
      </c>
      <c r="B26" s="193">
        <f>'Données projet'!D39</f>
        <v>97</v>
      </c>
      <c r="C26" s="206"/>
      <c r="D26" s="194">
        <f t="shared" si="2"/>
        <v>0</v>
      </c>
      <c r="E26" s="206"/>
      <c r="F26" s="263"/>
      <c r="G26" s="258"/>
      <c r="H26" s="203"/>
      <c r="I26" s="204"/>
      <c r="K26" s="224"/>
      <c r="L26" s="328" t="s">
        <v>258</v>
      </c>
      <c r="M26" s="329"/>
      <c r="N26" s="329"/>
      <c r="O26" s="329"/>
      <c r="P26" s="330"/>
      <c r="Q26" s="264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39</v>
      </c>
      <c r="B27" s="193">
        <f>'Données projet'!D40</f>
        <v>101</v>
      </c>
      <c r="C27" s="206"/>
      <c r="D27" s="194">
        <f t="shared" si="2"/>
        <v>0</v>
      </c>
      <c r="E27" s="206"/>
      <c r="F27" s="263"/>
      <c r="G27" s="258"/>
      <c r="H27" s="203"/>
      <c r="I27" s="204"/>
      <c r="K27" s="224"/>
      <c r="L27" s="331"/>
      <c r="M27" s="332"/>
      <c r="N27" s="332"/>
      <c r="O27" s="332"/>
      <c r="P27" s="333"/>
      <c r="Q27" s="264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49</v>
      </c>
      <c r="B28" s="193">
        <f>'Données projet'!D41</f>
        <v>96</v>
      </c>
      <c r="C28" s="206"/>
      <c r="D28" s="194">
        <f t="shared" si="2"/>
        <v>0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60</v>
      </c>
      <c r="B29" s="193">
        <f>'Données projet'!D42</f>
        <v>454</v>
      </c>
      <c r="C29" s="206"/>
      <c r="D29" s="194">
        <f t="shared" si="2"/>
        <v>0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63</v>
      </c>
      <c r="B30" s="193">
        <f>'Données projet'!D43</f>
        <v>380</v>
      </c>
      <c r="C30" s="206"/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66</v>
      </c>
      <c r="B31" s="193">
        <f>'Données projet'!D44</f>
        <v>396</v>
      </c>
      <c r="C31" s="206"/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Mélèze hybride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10</v>
      </c>
      <c r="B54" s="193">
        <f>'Données projet'!D62</f>
        <v>6</v>
      </c>
      <c r="C54" s="204"/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15</v>
      </c>
      <c r="B55" s="193">
        <f>'Données projet'!D63</f>
        <v>40</v>
      </c>
      <c r="C55" s="204"/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20</v>
      </c>
      <c r="B56" s="193">
        <f>'Données projet'!D64</f>
        <v>47</v>
      </c>
      <c r="C56" s="204"/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25</v>
      </c>
      <c r="B57" s="193">
        <f>'Données projet'!D65</f>
        <v>49</v>
      </c>
      <c r="C57" s="204"/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30</v>
      </c>
      <c r="B58" s="193">
        <f>'Données projet'!D66</f>
        <v>48</v>
      </c>
      <c r="C58" s="204"/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35</v>
      </c>
      <c r="B59" s="193">
        <f>'Données projet'!D67</f>
        <v>45</v>
      </c>
      <c r="C59" s="204"/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40</v>
      </c>
      <c r="B60" s="193">
        <f>'Données projet'!D68</f>
        <v>41</v>
      </c>
      <c r="C60" s="204"/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45</v>
      </c>
      <c r="B61" s="193">
        <f>'Données projet'!D69</f>
        <v>36</v>
      </c>
      <c r="C61" s="204"/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50</v>
      </c>
      <c r="B62" s="193">
        <f>'Données projet'!D70</f>
        <v>31</v>
      </c>
      <c r="C62" s="204"/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55</v>
      </c>
      <c r="B63" s="193">
        <f>'Données projet'!D71</f>
        <v>27</v>
      </c>
      <c r="C63" s="204"/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60</v>
      </c>
      <c r="B64" s="193">
        <f>'Données projet'!D72</f>
        <v>23</v>
      </c>
      <c r="C64" s="204"/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65</v>
      </c>
      <c r="B65" s="193">
        <f>'Données projet'!D73</f>
        <v>19</v>
      </c>
      <c r="C65" s="204"/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70</v>
      </c>
      <c r="B66" s="193">
        <f>'Données projet'!D74</f>
        <v>16</v>
      </c>
      <c r="C66" s="204"/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75</v>
      </c>
      <c r="B67" s="193">
        <f>'Données projet'!D75</f>
        <v>15</v>
      </c>
      <c r="C67" s="204"/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80</v>
      </c>
      <c r="B68" s="193">
        <f>'Données projet'!D76</f>
        <v>400</v>
      </c>
      <c r="C68" s="204"/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str">
        <f>IF(O99+1&lt;=MIN('Données projet'!$E$9:$E$18),O99+1,"STOP")</f>
        <v>STOP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Chêne rouge d'Amérique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15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20</v>
      </c>
      <c r="B149" s="187">
        <f>'Données projet'!D142</f>
        <v>54</v>
      </c>
      <c r="C149" s="204"/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25</v>
      </c>
      <c r="B150" s="187">
        <f>'Données projet'!D143</f>
        <v>26</v>
      </c>
      <c r="C150" s="204"/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30</v>
      </c>
      <c r="B151" s="187">
        <f>'Données projet'!D144</f>
        <v>27</v>
      </c>
      <c r="C151" s="204"/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35</v>
      </c>
      <c r="B152" s="187">
        <f>'Données projet'!D145</f>
        <v>27</v>
      </c>
      <c r="C152" s="204"/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40</v>
      </c>
      <c r="B153" s="187">
        <f>'Données projet'!D146</f>
        <v>27</v>
      </c>
      <c r="C153" s="204"/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45</v>
      </c>
      <c r="B154" s="187">
        <f>'Données projet'!D147</f>
        <v>26</v>
      </c>
      <c r="C154" s="204"/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50</v>
      </c>
      <c r="B155" s="187">
        <f>'Données projet'!D148</f>
        <v>24</v>
      </c>
      <c r="C155" s="204"/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55</v>
      </c>
      <c r="B156" s="187">
        <f>'Données projet'!D149</f>
        <v>23</v>
      </c>
      <c r="C156" s="204"/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60</v>
      </c>
      <c r="B157" s="187">
        <f>'Données projet'!D150</f>
        <v>21</v>
      </c>
      <c r="C157" s="204"/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65</v>
      </c>
      <c r="B158" s="187">
        <f>'Données projet'!D151</f>
        <v>20</v>
      </c>
      <c r="C158" s="204"/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70</v>
      </c>
      <c r="B159" s="187">
        <f>'Données projet'!D152</f>
        <v>18</v>
      </c>
      <c r="C159" s="204"/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75</v>
      </c>
      <c r="B160" s="187">
        <f>'Données projet'!D153</f>
        <v>16</v>
      </c>
      <c r="C160" s="204"/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80</v>
      </c>
      <c r="B161" s="187">
        <f>'Données projet'!D154</f>
        <v>15</v>
      </c>
      <c r="C161" s="204"/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85</v>
      </c>
      <c r="B162" s="187">
        <f>'Données projet'!D155</f>
        <v>14</v>
      </c>
      <c r="C162" s="204"/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90</v>
      </c>
      <c r="B163" s="187">
        <f>'Données projet'!D156</f>
        <v>12</v>
      </c>
      <c r="C163" s="204"/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95</v>
      </c>
      <c r="B164" s="187">
        <f>'Données projet'!D157</f>
        <v>12</v>
      </c>
      <c r="C164" s="204"/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100</v>
      </c>
      <c r="B165" s="187">
        <f>'Données projet'!D158</f>
        <v>255</v>
      </c>
      <c r="C165" s="204"/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>Erable sycomore</v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10</v>
      </c>
      <c r="B178" s="193">
        <f>'Données projet'!D166</f>
        <v>0</v>
      </c>
      <c r="C178" s="206"/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15</v>
      </c>
      <c r="B179" s="193">
        <f>'Données projet'!D167</f>
        <v>32</v>
      </c>
      <c r="C179" s="206"/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20</v>
      </c>
      <c r="B180" s="193">
        <f>'Données projet'!D168</f>
        <v>35</v>
      </c>
      <c r="C180" s="206"/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25</v>
      </c>
      <c r="B181" s="193">
        <f>'Données projet'!D169</f>
        <v>35</v>
      </c>
      <c r="C181" s="206"/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30</v>
      </c>
      <c r="B182" s="193">
        <f>'Données projet'!D170</f>
        <v>35</v>
      </c>
      <c r="C182" s="206"/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35</v>
      </c>
      <c r="B183" s="193">
        <f>'Données projet'!D171</f>
        <v>35</v>
      </c>
      <c r="C183" s="206"/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40</v>
      </c>
      <c r="B184" s="193">
        <f>'Données projet'!D172</f>
        <v>35</v>
      </c>
      <c r="C184" s="206"/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45</v>
      </c>
      <c r="B185" s="193">
        <f>'Données projet'!D173</f>
        <v>24</v>
      </c>
      <c r="C185" s="206"/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50</v>
      </c>
      <c r="B186" s="193">
        <f>'Données projet'!D174</f>
        <v>19</v>
      </c>
      <c r="C186" s="206"/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55</v>
      </c>
      <c r="B187" s="193">
        <f>'Données projet'!D175</f>
        <v>16</v>
      </c>
      <c r="C187" s="206"/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60</v>
      </c>
      <c r="B188" s="193">
        <f>'Données projet'!D176</f>
        <v>14</v>
      </c>
      <c r="C188" s="206"/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65</v>
      </c>
      <c r="B189" s="193">
        <f>'Données projet'!D177</f>
        <v>13</v>
      </c>
      <c r="C189" s="206"/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70</v>
      </c>
      <c r="B190" s="193">
        <f>'Données projet'!D178</f>
        <v>13</v>
      </c>
      <c r="C190" s="206"/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75</v>
      </c>
      <c r="B191" s="193">
        <f>'Données projet'!D179</f>
        <v>12</v>
      </c>
      <c r="C191" s="206"/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80</v>
      </c>
      <c r="B192" s="193">
        <f>'Données projet'!D180</f>
        <v>330</v>
      </c>
      <c r="C192" s="206"/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>Hêtre</v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20</v>
      </c>
      <c r="B209" s="193">
        <f>'Données projet'!D192</f>
        <v>0</v>
      </c>
      <c r="C209" s="206"/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25</v>
      </c>
      <c r="B210" s="193">
        <f>'Données projet'!D193</f>
        <v>26</v>
      </c>
      <c r="C210" s="206"/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30</v>
      </c>
      <c r="B211" s="193">
        <f>'Données projet'!D194</f>
        <v>35</v>
      </c>
      <c r="C211" s="206"/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35</v>
      </c>
      <c r="B212" s="193">
        <f>'Données projet'!D195</f>
        <v>35</v>
      </c>
      <c r="C212" s="206"/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40</v>
      </c>
      <c r="B213" s="193">
        <f>'Données projet'!D196</f>
        <v>35</v>
      </c>
      <c r="C213" s="206"/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45</v>
      </c>
      <c r="B214" s="193">
        <f>'Données projet'!D197</f>
        <v>35</v>
      </c>
      <c r="C214" s="206"/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50</v>
      </c>
      <c r="B215" s="193">
        <f>'Données projet'!D198</f>
        <v>35</v>
      </c>
      <c r="C215" s="206"/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55</v>
      </c>
      <c r="B216" s="193">
        <f>'Données projet'!D199</f>
        <v>35</v>
      </c>
      <c r="C216" s="206"/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60</v>
      </c>
      <c r="B217" s="193">
        <f>'Données projet'!D200</f>
        <v>35</v>
      </c>
      <c r="C217" s="206"/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65</v>
      </c>
      <c r="B218" s="193">
        <f>'Données projet'!D201</f>
        <v>35</v>
      </c>
      <c r="C218" s="206"/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70</v>
      </c>
      <c r="B219" s="193">
        <f>'Données projet'!D202</f>
        <v>35</v>
      </c>
      <c r="C219" s="206"/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75</v>
      </c>
      <c r="B220" s="193">
        <f>'Données projet'!D203</f>
        <v>35</v>
      </c>
      <c r="C220" s="206"/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80</v>
      </c>
      <c r="B221" s="193">
        <f>'Données projet'!D204</f>
        <v>34</v>
      </c>
      <c r="C221" s="206"/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85</v>
      </c>
      <c r="B222" s="193">
        <f>'Données projet'!D205</f>
        <v>33</v>
      </c>
      <c r="C222" s="206"/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90</v>
      </c>
      <c r="B223" s="193">
        <f>'Données projet'!D206</f>
        <v>31</v>
      </c>
      <c r="C223" s="206"/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95</v>
      </c>
      <c r="B224" s="193">
        <f>'Données projet'!D207</f>
        <v>30</v>
      </c>
      <c r="C224" s="206"/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100</v>
      </c>
      <c r="B225" s="193">
        <f>'Données projet'!D208</f>
        <v>474</v>
      </c>
      <c r="C225" s="206"/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/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2025-10-07T13:18:49Z</dcterms:modified>
</cp:coreProperties>
</file>