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Gascogne-Pyrénées\Cazaubon (32) - DE ST PASTOU\Doc fin\"/>
    </mc:Choice>
  </mc:AlternateContent>
  <xr:revisionPtr revIDLastSave="0" documentId="13_ncr:1_{5FA83C80-3AC1-4522-9144-2243A0096980}" xr6:coauthVersionLast="36" xr6:coauthVersionMax="36" xr10:uidLastSave="{00000000-0000-0000-0000-000000000000}"/>
  <bookViews>
    <workbookView xWindow="0" yWindow="0" windowWidth="28800" windowHeight="13308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AH90" i="2" l="1" a="1"/>
  <c r="AH90" i="2" s="1"/>
  <c r="BC7" i="2" a="1"/>
  <c r="BC7" i="2" s="1"/>
  <c r="BC18" i="2" a="1"/>
  <c r="BC18" i="2" s="1"/>
  <c r="BC84" i="2" a="1"/>
  <c r="BC84" i="2" s="1"/>
  <c r="BC32" i="2" a="1"/>
  <c r="BC32" i="2" s="1"/>
  <c r="BC192" i="2" a="1"/>
  <c r="BC192" i="2" s="1"/>
  <c r="BC65" i="2" a="1"/>
  <c r="BC65" i="2" s="1"/>
  <c r="BC83" i="2" a="1"/>
  <c r="BC83" i="2" s="1"/>
  <c r="BC151" i="2" a="1"/>
  <c r="BC151" i="2" s="1"/>
  <c r="AH166" i="2" a="1"/>
  <c r="AH166" i="2" s="1"/>
  <c r="AH19" i="2" a="1"/>
  <c r="AH19" i="2" s="1"/>
  <c r="BC47" i="2" a="1"/>
  <c r="BC47" i="2" s="1"/>
  <c r="BX107" i="2" a="1"/>
  <c r="BX107" i="2" s="1"/>
  <c r="BC117" i="2" a="1"/>
  <c r="BC117" i="2" s="1"/>
  <c r="BC164" i="2" a="1"/>
  <c r="BC164" i="2" s="1"/>
  <c r="BC181" i="2" a="1"/>
  <c r="BC181" i="2" s="1"/>
  <c r="BC55" i="2" a="1"/>
  <c r="BC55" i="2" s="1"/>
  <c r="BC114" i="2" a="1"/>
  <c r="BC114" i="2" s="1"/>
  <c r="BC38" i="2" a="1"/>
  <c r="BC38" i="2" s="1"/>
  <c r="BC130" i="2" a="1"/>
  <c r="BC130" i="2" s="1"/>
  <c r="BC126" i="2" a="1"/>
  <c r="BC126" i="2" s="1"/>
  <c r="BC82" i="2" a="1"/>
  <c r="BC82" i="2" s="1"/>
  <c r="BC68" i="2" a="1"/>
  <c r="BC68" i="2" s="1"/>
  <c r="BC185" i="2" a="1"/>
  <c r="BC185" i="2" s="1"/>
  <c r="BC58" i="2" a="1"/>
  <c r="BC58" i="2" s="1"/>
  <c r="BC143" i="2" a="1"/>
  <c r="BC143" i="2" s="1"/>
  <c r="BC31" i="2" a="1"/>
  <c r="BC31" i="2" s="1"/>
  <c r="BC34" i="2" a="1"/>
  <c r="BC34" i="2" s="1"/>
  <c r="AH151" i="2" a="1"/>
  <c r="AH151" i="2" s="1"/>
  <c r="AH199" i="2" a="1"/>
  <c r="AH199" i="2" s="1"/>
  <c r="AH163" i="2" a="1"/>
  <c r="AH163" i="2" s="1"/>
  <c r="AH62" i="2" a="1"/>
  <c r="AH62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CN203" i="2" s="1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D134" i="2" l="1"/>
  <c r="CD53" i="2"/>
  <c r="CD185" i="2"/>
  <c r="CD60" i="2"/>
  <c r="CD111" i="2"/>
  <c r="CD46" i="2"/>
  <c r="CD146" i="2"/>
  <c r="CD17" i="2"/>
  <c r="CD138" i="2"/>
  <c r="CD86" i="2"/>
  <c r="CD112" i="2"/>
  <c r="CD65" i="2"/>
  <c r="CD166" i="2"/>
  <c r="CD132" i="2"/>
  <c r="CD69" i="2"/>
  <c r="CD201" i="2"/>
  <c r="CD169" i="2"/>
  <c r="CD170" i="2"/>
  <c r="CD186" i="2"/>
  <c r="CD84" i="2"/>
  <c r="CD20" i="2"/>
  <c r="CD127" i="2"/>
  <c r="CD51" i="2"/>
  <c r="CD200" i="2"/>
  <c r="CD44" i="2"/>
  <c r="CD42" i="2"/>
  <c r="CD3" i="2"/>
  <c r="C9" i="4" s="1"/>
  <c r="E9" i="4" s="1"/>
  <c r="F9" i="4" s="1"/>
  <c r="G9" i="4" s="1"/>
  <c r="L9" i="4" s="1"/>
  <c r="CD13" i="2"/>
  <c r="CD101" i="2"/>
  <c r="CD114" i="2"/>
  <c r="CD68" i="2"/>
  <c r="CD80" i="2"/>
  <c r="CD30" i="2"/>
  <c r="CD168" i="2"/>
  <c r="CD95" i="2"/>
  <c r="CD100" i="2"/>
  <c r="CD103" i="2"/>
  <c r="CD150" i="2"/>
  <c r="CD165" i="2"/>
  <c r="CD157" i="2"/>
  <c r="CD7" i="2"/>
  <c r="CD124" i="2"/>
  <c r="CD119" i="2"/>
  <c r="CD102" i="2"/>
  <c r="CD118" i="2"/>
  <c r="CD147" i="2"/>
  <c r="CD31" i="2"/>
  <c r="CD39" i="2"/>
  <c r="CD197" i="2"/>
  <c r="CD130" i="2"/>
  <c r="CD189" i="2"/>
  <c r="CD57" i="2"/>
  <c r="CD120" i="2"/>
  <c r="CD181" i="2"/>
  <c r="CD203" i="2"/>
  <c r="CD192" i="2"/>
  <c r="CD164" i="2"/>
  <c r="CD177" i="2"/>
  <c r="CD76" i="2"/>
  <c r="CD9" i="2"/>
  <c r="CD187" i="2"/>
  <c r="CD97" i="2"/>
  <c r="CD38" i="2"/>
  <c r="CD184" i="2"/>
  <c r="CD173" i="2"/>
  <c r="CD123" i="2"/>
  <c r="CD91" i="2"/>
  <c r="CD155" i="2"/>
  <c r="CD140" i="2"/>
  <c r="CD70" i="2"/>
  <c r="CD94" i="2"/>
  <c r="CD48" i="2"/>
  <c r="CD75" i="2"/>
  <c r="CD106" i="2"/>
  <c r="CD180" i="2"/>
  <c r="CD78" i="2"/>
  <c r="CD193" i="2"/>
  <c r="CD104" i="2"/>
  <c r="CD18" i="2"/>
  <c r="CD93" i="2"/>
  <c r="CD196" i="2"/>
  <c r="CD92" i="2"/>
  <c r="CD26" i="2"/>
  <c r="CD62" i="2"/>
  <c r="CD160" i="2"/>
  <c r="CD99" i="2"/>
  <c r="CD161" i="2"/>
  <c r="CD136" i="2"/>
  <c r="CD61" i="2"/>
  <c r="CD190" i="2"/>
  <c r="CD194" i="2"/>
  <c r="CD79" i="2"/>
  <c r="CD24" i="2"/>
  <c r="CD77" i="2"/>
  <c r="CD82" i="2"/>
  <c r="CD63" i="2"/>
  <c r="CD15" i="2"/>
  <c r="CD116" i="2"/>
  <c r="CD142" i="2"/>
  <c r="CD110" i="2"/>
  <c r="CD175" i="2"/>
  <c r="CD19" i="2"/>
  <c r="CD32" i="2"/>
  <c r="CD151" i="2"/>
  <c r="CD89" i="2"/>
  <c r="CD145" i="2"/>
  <c r="CD71" i="2"/>
  <c r="CD188" i="2"/>
  <c r="CD121" i="2"/>
  <c r="CD37" i="2"/>
  <c r="CD88" i="2"/>
  <c r="CD174" i="2"/>
  <c r="CD59" i="2"/>
  <c r="CD14" i="2"/>
  <c r="CD81" i="2"/>
  <c r="CD72" i="2"/>
  <c r="CD117" i="2"/>
  <c r="CD109" i="2"/>
  <c r="CD122" i="2"/>
  <c r="CD45" i="2"/>
  <c r="CD139" i="2"/>
  <c r="CD43" i="2"/>
  <c r="CD191" i="2"/>
  <c r="CD35" i="2"/>
  <c r="CD96" i="2"/>
  <c r="CD153" i="2"/>
  <c r="CD6" i="2"/>
  <c r="CD178" i="2"/>
  <c r="CD182" i="2"/>
  <c r="CD87" i="2"/>
  <c r="CD158" i="2"/>
  <c r="CD107" i="2"/>
  <c r="CD98" i="2"/>
  <c r="CD10" i="2"/>
  <c r="CD27" i="2"/>
  <c r="CD83" i="2"/>
  <c r="CD167" i="2"/>
  <c r="CD202" i="2"/>
  <c r="CD12" i="2"/>
  <c r="CD85" i="2"/>
  <c r="CD21" i="2"/>
  <c r="CD52" i="2"/>
  <c r="CD149" i="2"/>
  <c r="CD162" i="2"/>
  <c r="CD28" i="2"/>
  <c r="CD163" i="2"/>
  <c r="CD73" i="2"/>
  <c r="CD171" i="2"/>
  <c r="CD8" i="2"/>
  <c r="CD66" i="2"/>
  <c r="CD4" i="2"/>
  <c r="CD126" i="2"/>
  <c r="CD41" i="2"/>
  <c r="CD172" i="2"/>
  <c r="CD33" i="2"/>
  <c r="CD40" i="2"/>
  <c r="CD34" i="2"/>
  <c r="CD198" i="2"/>
  <c r="CD128" i="2"/>
  <c r="CD5" i="2"/>
  <c r="CD199" i="2"/>
  <c r="CD154" i="2"/>
  <c r="CD183" i="2"/>
  <c r="CD105" i="2"/>
  <c r="CD159" i="2"/>
  <c r="CD108" i="2"/>
  <c r="CD49" i="2"/>
  <c r="CD22" i="2"/>
  <c r="CD115" i="2"/>
  <c r="CD47" i="2"/>
  <c r="CD135" i="2"/>
  <c r="CD125" i="2"/>
  <c r="CD16" i="2"/>
  <c r="CD176" i="2"/>
  <c r="CD67" i="2"/>
  <c r="CD55" i="2"/>
  <c r="CD56" i="2"/>
  <c r="CD144" i="2"/>
  <c r="CD137" i="2"/>
  <c r="CD179" i="2"/>
  <c r="CD36" i="2"/>
  <c r="CD11" i="2"/>
  <c r="CD143" i="2"/>
  <c r="CD74" i="2"/>
  <c r="CD90" i="2"/>
  <c r="CD64" i="2"/>
  <c r="CD141" i="2"/>
  <c r="CD23" i="2"/>
  <c r="CD148" i="2"/>
  <c r="CD156" i="2"/>
  <c r="CD133" i="2"/>
  <c r="CD54" i="2"/>
  <c r="CD113" i="2"/>
  <c r="CD131" i="2"/>
  <c r="CD195" i="2"/>
  <c r="CD29" i="2"/>
  <c r="CD50" i="2"/>
  <c r="CD152" i="2"/>
  <c r="CD25" i="2"/>
  <c r="CD58" i="2"/>
  <c r="CD129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I146" i="2" l="1"/>
  <c r="BI167" i="2"/>
  <c r="BI140" i="2"/>
  <c r="BI153" i="2"/>
  <c r="BI166" i="2"/>
  <c r="BI27" i="2"/>
  <c r="BI73" i="2"/>
  <c r="BI101" i="2"/>
  <c r="BI5" i="2"/>
  <c r="BI35" i="2"/>
  <c r="BI136" i="2"/>
  <c r="BI122" i="2"/>
  <c r="BI109" i="2"/>
  <c r="BI93" i="2"/>
  <c r="BI172" i="2"/>
  <c r="BI30" i="2"/>
  <c r="BI69" i="2"/>
  <c r="BI7" i="2"/>
  <c r="BI55" i="2"/>
  <c r="BI14" i="2"/>
  <c r="BI49" i="2"/>
  <c r="BI90" i="2"/>
  <c r="BI143" i="2"/>
  <c r="BI112" i="2"/>
  <c r="BI22" i="2"/>
  <c r="BI60" i="2"/>
  <c r="BI169" i="2"/>
  <c r="BI57" i="2"/>
  <c r="BI154" i="2"/>
  <c r="BI104" i="2"/>
  <c r="BI16" i="2"/>
  <c r="BI142" i="2"/>
  <c r="BI66" i="2"/>
  <c r="BI56" i="2"/>
  <c r="BI200" i="2"/>
  <c r="BI50" i="2"/>
  <c r="BI182" i="2"/>
  <c r="BI68" i="2"/>
  <c r="BI36" i="2"/>
  <c r="BI184" i="2"/>
  <c r="BI171" i="2"/>
  <c r="BI21" i="2"/>
  <c r="BI139" i="2"/>
  <c r="BI84" i="2"/>
  <c r="BI116" i="2"/>
  <c r="BI203" i="2"/>
  <c r="BI157" i="2"/>
  <c r="BI99" i="2"/>
  <c r="BI197" i="2"/>
  <c r="BI191" i="2"/>
  <c r="BI198" i="2"/>
  <c r="BI24" i="2"/>
  <c r="BI117" i="2"/>
  <c r="BI193" i="2"/>
  <c r="BI28" i="2"/>
  <c r="BI41" i="2"/>
  <c r="BI6" i="2"/>
  <c r="BI147" i="2"/>
  <c r="BI160" i="2"/>
  <c r="BI38" i="2"/>
  <c r="BI75" i="2"/>
  <c r="BI124" i="2"/>
  <c r="BI20" i="2"/>
  <c r="BI23" i="2"/>
  <c r="BI64" i="2"/>
  <c r="BI107" i="2"/>
  <c r="BI190" i="2"/>
  <c r="BI137" i="2"/>
  <c r="BI18" i="2"/>
  <c r="BI71" i="2"/>
  <c r="BI129" i="2"/>
  <c r="BI40" i="2"/>
  <c r="BI176" i="2"/>
  <c r="BI159" i="2"/>
  <c r="BI88" i="2"/>
  <c r="BI79" i="2"/>
  <c r="BI180" i="2"/>
  <c r="BI15" i="2"/>
  <c r="BI43" i="2"/>
  <c r="BI3" i="2"/>
  <c r="C8" i="4" s="1"/>
  <c r="E8" i="4" s="1"/>
  <c r="F8" i="4" s="1"/>
  <c r="G8" i="4" s="1"/>
  <c r="L8" i="4" s="1"/>
  <c r="BI127" i="2"/>
  <c r="BI92" i="2"/>
  <c r="BI13" i="2"/>
  <c r="BI100" i="2"/>
  <c r="BI48" i="2"/>
  <c r="BI70" i="2"/>
  <c r="BI168" i="2"/>
  <c r="BI175" i="2"/>
  <c r="BI125" i="2"/>
  <c r="BI186" i="2"/>
  <c r="BI189" i="2"/>
  <c r="BI72" i="2"/>
  <c r="BI151" i="2"/>
  <c r="BI111" i="2"/>
  <c r="BI110" i="2"/>
  <c r="BI161" i="2"/>
  <c r="BI47" i="2"/>
  <c r="BI173" i="2"/>
  <c r="BI148" i="2"/>
  <c r="BI102" i="2"/>
  <c r="BI170" i="2"/>
  <c r="BI31" i="2"/>
  <c r="BI145" i="2"/>
  <c r="BI45" i="2"/>
  <c r="BI174" i="2"/>
  <c r="BI62" i="2"/>
  <c r="BI134" i="2"/>
  <c r="BI19" i="2"/>
  <c r="BI33" i="2"/>
  <c r="BI8" i="2"/>
  <c r="BI165" i="2"/>
  <c r="BI155" i="2"/>
  <c r="BI115" i="2"/>
  <c r="BI96" i="2"/>
  <c r="BI179" i="2"/>
  <c r="BI58" i="2"/>
  <c r="BI46" i="2"/>
  <c r="BI17" i="2"/>
  <c r="BI128" i="2"/>
  <c r="BI156" i="2"/>
  <c r="BI113" i="2"/>
  <c r="BI108" i="2"/>
  <c r="BI52" i="2"/>
  <c r="BI80" i="2"/>
  <c r="BI97" i="2"/>
  <c r="BI78" i="2"/>
  <c r="BI26" i="2"/>
  <c r="BI131" i="2"/>
  <c r="BI10" i="2"/>
  <c r="BI81" i="2"/>
  <c r="BI123" i="2"/>
  <c r="BI120" i="2"/>
  <c r="BI9" i="2"/>
  <c r="BI194" i="2"/>
  <c r="BI37" i="2"/>
  <c r="BI132" i="2"/>
  <c r="BI106" i="2"/>
  <c r="BI67" i="2"/>
  <c r="BI178" i="2"/>
  <c r="BI119" i="2"/>
  <c r="BI89" i="2"/>
  <c r="BI83" i="2"/>
  <c r="BI164" i="2"/>
  <c r="BI94" i="2"/>
  <c r="BI149" i="2"/>
  <c r="BI158" i="2"/>
  <c r="BI126" i="2"/>
  <c r="BI163" i="2"/>
  <c r="BI39" i="2"/>
  <c r="BI65" i="2"/>
  <c r="BI183" i="2"/>
  <c r="BI195" i="2"/>
  <c r="BI34" i="2"/>
  <c r="BI177" i="2"/>
  <c r="BI135" i="2"/>
  <c r="BI53" i="2"/>
  <c r="BI185" i="2"/>
  <c r="BI199" i="2"/>
  <c r="BI152" i="2"/>
  <c r="BI11" i="2"/>
  <c r="BI85" i="2"/>
  <c r="BI141" i="2"/>
  <c r="BI74" i="2"/>
  <c r="BI114" i="2"/>
  <c r="BI201" i="2"/>
  <c r="BI138" i="2"/>
  <c r="BI118" i="2"/>
  <c r="BI196" i="2"/>
  <c r="BI130" i="2"/>
  <c r="BI32" i="2"/>
  <c r="BI150" i="2"/>
  <c r="BI91" i="2"/>
  <c r="BI187" i="2"/>
  <c r="BI54" i="2"/>
  <c r="BI61" i="2"/>
  <c r="BI51" i="2"/>
  <c r="BI76" i="2"/>
  <c r="BI87" i="2"/>
  <c r="BI12" i="2"/>
  <c r="BI59" i="2"/>
  <c r="BI29" i="2"/>
  <c r="BI95" i="2"/>
  <c r="BI181" i="2"/>
  <c r="BI188" i="2"/>
  <c r="BI82" i="2"/>
  <c r="BI103" i="2"/>
  <c r="BI4" i="2"/>
  <c r="BI98" i="2"/>
  <c r="BI42" i="2"/>
  <c r="BI77" i="2"/>
  <c r="BI63" i="2"/>
  <c r="BI133" i="2"/>
  <c r="BI25" i="2"/>
  <c r="BI121" i="2"/>
  <c r="BI162" i="2"/>
  <c r="BI202" i="2"/>
  <c r="BI192" i="2"/>
  <c r="BI105" i="2"/>
  <c r="BI144" i="2"/>
  <c r="BI44" i="2"/>
  <c r="BI86" i="2"/>
  <c r="BF135" i="2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<sst xmlns="http://schemas.openxmlformats.org/spreadsheetml/2006/main" count="1172" uniqueCount="326">
  <si>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</si>
  <si>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</si>
  <si>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</si>
  <si>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</si>
  <si>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</si>
  <si>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</si>
  <si>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</si>
  <si>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</si>
  <si>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</si>
  <si>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</si>
  <si>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</si>
  <si>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</si>
  <si>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</si>
  <si>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</si>
  <si>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</si>
  <si>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</si>
  <si>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</si>
  <si>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</si>
  <si>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</si>
  <si>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</si>
  <si>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</si>
  <si>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</si>
  <si>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</si>
  <si>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</si>
  <si>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</si>
  <si>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</si>
  <si>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</si>
  <si>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</si>
  <si>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</si>
  <si>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</si>
  <si>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</si>
  <si>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</si>
  <si>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</si>
  <si>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</si>
  <si>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</si>
  <si>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</si>
  <si>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</si>
  <si>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</si>
  <si>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</si>
  <si>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</si>
  <si>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</si>
  <si>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</si>
  <si>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</si>
  <si>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</si>
  <si>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</si>
  <si>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</si>
  <si>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</si>
  <si>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</si>
  <si>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</si>
  <si>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</si>
  <si>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</si>
  <si>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</si>
  <si>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</si>
  <si>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</si>
  <si>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</si>
  <si>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</si>
  <si>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</si>
  <si>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</si>
  <si>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</si>
  <si>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</si>
  <si>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</si>
  <si>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</si>
  <si>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</si>
  <si>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</si>
  <si>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</si>
  <si>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</si>
  <si>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</si>
  <si>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</si>
  <si>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</si>
  <si>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</si>
  <si>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</si>
  <si>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</si>
  <si>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</si>
  <si>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</si>
  <si>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</si>
  <si>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</si>
  <si>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</si>
  <si>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</si>
  <si>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</si>
  <si>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</si>
  <si>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</si>
  <si>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</si>
  <si>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</si>
  <si>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</si>
  <si>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</si>
  <si>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</si>
  <si>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</si>
  <si>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</si>
  <si>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</si>
  <si>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</si>
  <si>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</si>
  <si>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</si>
  <si>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</si>
  <si>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</si>
  <si>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</si>
  <si>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</si>
  <si>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</si>
  <si>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</si>
  <si>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</si>
  <si>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</si>
  <si>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</si>
  <si>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</si>
  <si>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</si>
  <si>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</si>
  <si>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</si>
  <si>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</si>
  <si>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</si>
  <si>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</si>
  <si>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</si>
  <si>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</si>
  <si>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</si>
  <si>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</si>
  <si>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</si>
  <si>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</si>
  <si>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</si>
  <si>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</si>
  <si>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</si>
  <si>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</si>
  <si>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</si>
  <si>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</si>
  <si>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</si>
  <si>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</si>
  <si>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</si>
  <si>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</si>
  <si>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</si>
  <si>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</si>
  <si>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</si>
  <si>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</si>
  <si>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</si>
  <si>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</si>
  <si>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</si>
  <si>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</si>
  <si>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</si>
  <si>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</si>
  <si>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</si>
  <si>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</si>
  <si>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</si>
  <si>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</si>
  <si>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</si>
  <si>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</si>
  <si>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</si>
  <si>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</si>
  <si>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</si>
  <si>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</si>
  <si>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</si>
  <si>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</si>
  <si>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</si>
  <si>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</si>
  <si>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</si>
  <si>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</si>
  <si>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</si>
  <si>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</si>
  <si>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</si>
  <si>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</si>
  <si>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</si>
  <si>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</si>
  <si>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</si>
  <si>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</si>
  <si>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</si>
  <si>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</si>
  <si>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</si>
  <si>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</si>
  <si>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</si>
  <si>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</si>
  <si>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</si>
  <si>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</si>
  <si>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</si>
  <si>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</si>
  <si>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</si>
  <si>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</si>
  <si>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</si>
  <si>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</si>
  <si>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</si>
  <si>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</si>
  <si>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</si>
  <si>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</si>
  <si>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</si>
  <si>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</si>
  <si>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</si>
  <si>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</si>
  <si>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</si>
  <si>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</si>
  <si>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</si>
  <si>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</si>
  <si>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</si>
  <si>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</si>
  <si>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</si>
  <si>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</si>
  <si>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</si>
  <si>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</si>
  <si>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</si>
  <si>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</si>
  <si>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</si>
  <si>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</si>
  <si>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</si>
  <si>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</si>
  <si>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</si>
  <si>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</si>
  <si>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</si>
  <si>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</si>
  <si>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</si>
  <si>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</si>
  <si>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</si>
  <si>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</si>
  <si>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</si>
  <si>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</si>
  <si>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</si>
  <si>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</si>
  <si>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</si>
  <si>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</si>
  <si>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</si>
  <si>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</si>
  <si>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</si>
  <si>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</si>
  <si>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</si>
  <si>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</si>
  <si>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</si>
  <si>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</si>
  <si>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</si>
  <si>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</si>
  <si>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</si>
  <si>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</si>
  <si>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</si>
  <si>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</si>
  <si>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</si>
  <si>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</si>
  <si>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</si>
  <si>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</si>
  <si>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</si>
  <si>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</si>
  <si>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</si>
  <si>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</si>
  <si>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</si>
  <si>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</si>
  <si>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</si>
  <si>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</si>
  <si>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</si>
  <si>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</si>
  <si>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</si>
  <si>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</si>
  <si>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</si>
  <si>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</si>
  <si>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</si>
  <si>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</si>
  <si>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</si>
  <si>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</si>
  <si>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</si>
  <si>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</si>
  <si>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</si>
  <si>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</si>
  <si>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</si>
  <si>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</si>
  <si>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</si>
  <si>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</si>
  <si>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</si>
  <si>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</si>
  <si>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</si>
  <si>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</si>
  <si>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</si>
  <si>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</si>
  <si>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</si>
  <si>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</si>
  <si>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</si>
  <si>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</si>
  <si>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</si>
  <si>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</si>
  <si>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</si>
  <si>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</si>
  <si>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</si>
  <si>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</si>
  <si>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</si>
  <si>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</si>
  <si>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</si>
  <si>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</si>
  <si>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</si>
  <si>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</si>
  <si>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</si>
  <si>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</si>
  <si>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</si>
  <si>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</si>
  <si>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</si>
  <si>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</si>
  <si>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</si>
  <si>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</si>
  <si>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</si>
  <si>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</si>
  <si>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</si>
  <si>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</si>
  <si>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</si>
  <si>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</si>
  <si>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</si>
  <si>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</si>
  <si>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</si>
  <si>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</si>
  <si>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</si>
  <si>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</si>
  <si>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</si>
  <si>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</si>
  <si>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</si>
  <si>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</si>
  <si>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</si>
  <si>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</si>
  <si>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</si>
  <si>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</si>
  <si>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</si>
  <si>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</si>
  <si>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</si>
  <si>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</si>
  <si>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</si>
  <si>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</si>
  <si>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</si>
  <si>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</si>
  <si>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</si>
  <si>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</si>
  <si>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</si>
  <si>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</si>
  <si>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</si>
  <si>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</si>
  <si>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</si>
  <si>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</si>
  <si>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</si>
  <si>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</si>
  <si>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</si>
  <si>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</si>
  <si>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 xml:space="preserve"> Peuplier Vesten</t>
  </si>
  <si>
    <t>Peuplier Aleramo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</si>
</sst>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2.0901746045089653</c:v>
                </c:pt>
                <c:pt idx="2">
                  <c:v>2.9304507447732573</c:v>
                </c:pt>
                <c:pt idx="3">
                  <c:v>4.1099986209053325</c:v>
                </c:pt>
                <c:pt idx="4">
                  <c:v>5.7663618608049285</c:v>
                </c:pt>
                <c:pt idx="5">
                  <c:v>8.0930566924727767</c:v>
                </c:pt>
                <c:pt idx="6">
                  <c:v>11.362429253354604</c:v>
                </c:pt>
                <c:pt idx="7">
                  <c:v>15.957876911591596</c:v>
                </c:pt>
                <c:pt idx="8">
                  <c:v>22.419280945350099</c:v>
                </c:pt>
                <c:pt idx="9">
                  <c:v>31.507082829861748</c:v>
                </c:pt>
                <c:pt idx="10">
                  <c:v>44.29267572913627</c:v>
                </c:pt>
                <c:pt idx="11">
                  <c:v>62.285947389383523</c:v>
                </c:pt>
                <c:pt idx="12">
                  <c:v>87.61528356572309</c:v>
                </c:pt>
                <c:pt idx="13">
                  <c:v>123.28166436210286</c:v>
                </c:pt>
                <c:pt idx="14">
                  <c:v>173.51742631938146</c:v>
                </c:pt>
                <c:pt idx="15">
                  <c:v>244.29290603725232</c:v>
                </c:pt>
                <c:pt idx="16">
                  <c:v>344.03206263858368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1.8380880890296007</c:v>
                </c:pt>
                <c:pt idx="2">
                  <c:v>2.5766676962716719</c:v>
                </c:pt>
                <c:pt idx="3">
                  <c:v>3.6133231115325231</c:v>
                </c:pt>
                <c:pt idx="4">
                  <c:v>5.0688458333016468</c:v>
                </c:pt>
                <c:pt idx="5">
                  <c:v>7.1131635826818895</c:v>
                </c:pt>
                <c:pt idx="6">
                  <c:v>9.9853986655929621</c:v>
                </c:pt>
                <c:pt idx="7">
                  <c:v>14.022141001550596</c:v>
                </c:pt>
                <c:pt idx="8">
                  <c:v>19.697309935168899</c:v>
                </c:pt>
                <c:pt idx="9">
                  <c:v>27.67836853100388</c:v>
                </c:pt>
                <c:pt idx="10">
                  <c:v>38.9056172905482</c:v>
                </c:pt>
                <c:pt idx="11">
                  <c:v>54.704068448837688</c:v>
                </c:pt>
                <c:pt idx="12">
                  <c:v>76.941322906814449</c:v>
                </c:pt>
                <c:pt idx="13">
                  <c:v>108.25041435210379</c:v>
                </c:pt>
                <c:pt idx="14">
                  <c:v>152.34442118161644</c:v>
                </c:pt>
                <c:pt idx="15">
                  <c:v>214.4607273672186</c:v>
                </c:pt>
                <c:pt idx="16">
                  <c:v>301.98848420583784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3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3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3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3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3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3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3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3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3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3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3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3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3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3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3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3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3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3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4" zoomScale="85" zoomScaleNormal="85" workbookViewId="0">
      <selection activeCell="E11" sqref="E11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5" t="s">
        <v>231</v>
      </c>
      <c r="B5" s="305"/>
      <c r="C5" s="26">
        <v>2.65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118</v>
      </c>
      <c r="C9" s="35">
        <v>0.94</v>
      </c>
      <c r="D9" s="36">
        <f t="shared" ref="D9:D18" si="0">C9*$C$5</f>
        <v>2.4909999999999997</v>
      </c>
      <c r="E9" s="37">
        <v>16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H9" s="25" t="s">
        <v>324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121</v>
      </c>
      <c r="C10" s="35">
        <v>0.06</v>
      </c>
      <c r="D10" s="36">
        <f t="shared" si="0"/>
        <v>0.159</v>
      </c>
      <c r="E10" s="37">
        <v>16</v>
      </c>
      <c r="F10" s="38" t="str">
        <f t="array" ref="F10">IF(E10="","",IF(INDEX(A:A,MAX(IF(ISNUMBER($A$62:$A$81),ROW($A$62:$A$81),"")))&lt;&gt;E10,"Corrigez : révolution incorrecte","OK"))</f>
        <v>OK</v>
      </c>
      <c r="H10" s="25" t="s">
        <v>325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2.6499999999999995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Peuplier Taro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16</v>
      </c>
      <c r="B36" s="63">
        <v>274</v>
      </c>
      <c r="C36" s="63">
        <v>1</v>
      </c>
      <c r="D36" s="63">
        <v>274</v>
      </c>
      <c r="E36" s="54">
        <v>0.77</v>
      </c>
      <c r="F36" s="54">
        <v>0.21</v>
      </c>
      <c r="G36" s="54"/>
      <c r="H36" s="54"/>
      <c r="I36" s="52">
        <f>IFERROR(B36/A36,"")</f>
        <v>17.125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Peuplier Beaupré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16</v>
      </c>
      <c r="B62" s="63">
        <v>274</v>
      </c>
      <c r="C62" s="63">
        <v>1</v>
      </c>
      <c r="D62" s="63">
        <v>274</v>
      </c>
      <c r="E62" s="54">
        <v>0.77</v>
      </c>
      <c r="F62" s="54">
        <v>0.21</v>
      </c>
      <c r="G62" s="54"/>
      <c r="H62" s="54"/>
      <c r="I62" s="56">
        <f>IFERROR(B62/A62,"")</f>
        <v>17.125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54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54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115" zoomScaleNormal="115" workbookViewId="0">
      <selection activeCell="C23" sqref="C23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Peuplier Taro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Peuplier Beaupré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79.398641219259446</v>
      </c>
      <c r="T3" s="62">
        <f>IF('Données projet'!E9&gt;30,$R$33-$H$33,LOOKUP('Données projet'!$E$9,$A$3:$A$203,R3:R203)-LOOKUP('Données projet'!$E$9,$A$3:$A$203,$H$3:$H$203))</f>
        <v>363.58761819413922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70.906504965960835</v>
      </c>
      <c r="AO3" s="62">
        <f>IF('Données projet'!E10&gt;30,$AM$33-$H$33,LOOKUP('Données projet'!$E$10,$A$3:$A$203,AM3:AM203)-LOOKUP('Données projet'!$E$10,$A$3:$A$203,$H$3:$H$203))</f>
        <v>321.54403976139344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17.125</v>
      </c>
      <c r="N4" s="14">
        <f>IF('Données projet'!$A$36&gt;35,N3+M4-V3,IF(A4&lt;'Données projet'!$A$36,$K$205^A4,IF(A4='Données projet'!$A$36,'Données projet'!$B$36,N3+M4-V3)))</f>
        <v>1.4202323807635395</v>
      </c>
      <c r="O4" s="14">
        <f>N4*VLOOKUP('Données projet'!$B$9,Paramètres!$A$1:$I$89,3,0)*VLOOKUP('Données projet'!$B$9,Paramètres!$A$1:$I$89,5,0)</f>
        <v>0.8153270051487328</v>
      </c>
      <c r="P4" s="14">
        <f>EXP(-1.0587+0.8836*LN(O4)+0.284)</f>
        <v>0.3847732462439748</v>
      </c>
      <c r="Q4" s="22">
        <f t="shared" ref="Q4:Q34" si="2">(O4+P4)*0.475*44/12</f>
        <v>2.0901746045089653</v>
      </c>
      <c r="R4" s="62">
        <f t="shared" si="0"/>
        <v>259.9790634933978</v>
      </c>
      <c r="S4" s="62">
        <f ca="1">AVERAGE(OFFSET($R$3,0,0,'Données projet'!$E$9+1,1))-AVERAGE(OFFSET($H$3,0,0,'Données projet'!$E$9+1,1))</f>
        <v>79.398641219259446</v>
      </c>
      <c r="T4" s="62">
        <f>$T$3</f>
        <v>363.58761819413922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17.125</v>
      </c>
      <c r="AI4" s="14">
        <f>IF('Données projet'!$A$62&gt;35,AI3+AH4-AQ3,IF(A4&lt;'Données projet'!$A$62,$AF$205^A4,IF(A4='Données projet'!$A$62,'Données projet'!$B$62,AI3+AH4-AQ3)))</f>
        <v>1.4202323807635395</v>
      </c>
      <c r="AJ4" s="14">
        <f>AI4*VLOOKUP('Données projet'!$B$10,Paramètres!$A$1:$I$89,3,0)*VLOOKUP('Données projet'!$B$10,Paramètres!$A$1:$I$89,5,0)</f>
        <v>0.71341112950514129</v>
      </c>
      <c r="AK4" s="14">
        <f>EXP(-1.0587+0.8836*LN(AJ4)+0.284)</f>
        <v>0.34195045271281149</v>
      </c>
      <c r="AL4" s="22">
        <f t="shared" ref="AL4:AL67" si="4">(AJ4+AK4)*0.475*44/12</f>
        <v>1.8380880890296007</v>
      </c>
      <c r="AM4" s="62">
        <f t="shared" ref="AM4:AM67" si="5">AL4+(AD4+AE4)*44/12</f>
        <v>259.72697697791847</v>
      </c>
      <c r="AN4" s="62">
        <f ca="1">AVERAGE(OFFSET($AM$3,0,0,'Données projet'!$E$10+1,1))-AVERAGE(OFFSET($H$3,0,0,'Données projet'!$E$10+1,1))</f>
        <v>70.906504965960835</v>
      </c>
      <c r="AO4" s="62">
        <f>$AO$3</f>
        <v>321.54403976139344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17.125</v>
      </c>
      <c r="N5" s="14">
        <f>IF('Données projet'!$A$36&gt;35,N4+M5-V4,IF(A5&lt;'Données projet'!$A$36,$K$205^A5,IF(A5='Données projet'!$A$36,'Données projet'!$B$36,N4+M5-V4)))</f>
        <v>2.0170600153692715</v>
      </c>
      <c r="O5" s="14">
        <f>N5*VLOOKUP('Données projet'!$B$9,Paramètres!$A$1:$I$89,3,0)*VLOOKUP('Données projet'!$B$9,Paramètres!$A$1:$I$89,5,0)</f>
        <v>1.1579538136231915</v>
      </c>
      <c r="P5" s="14">
        <f t="shared" ref="P5:P68" si="33">EXP(-1.0587+0.8836*LN(O5)+0.284)</f>
        <v>0.52460163792126246</v>
      </c>
      <c r="Q5" s="22">
        <f t="shared" si="2"/>
        <v>2.9304507447732573</v>
      </c>
      <c r="R5" s="62">
        <f t="shared" si="0"/>
        <v>262.04156185588442</v>
      </c>
      <c r="S5" s="62">
        <f ca="1">AVERAGE(OFFSET($R$3,0,0,'Données projet'!$E$9+1,1))-AVERAGE(OFFSET($H$3,0,0,'Données projet'!$E$9+1,1))</f>
        <v>79.398641219259446</v>
      </c>
      <c r="T5" s="62">
        <f t="shared" ref="T5:T68" si="34">$T$3</f>
        <v>363.58761819413922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17.125</v>
      </c>
      <c r="AI5" s="14">
        <f>IF('Données projet'!$A$62&gt;35,AI4+AH5-AQ4,IF(A5&lt;'Données projet'!$A$62,$AF$205^A5,IF(A5='Données projet'!$A$62,'Données projet'!$B$62,AI4+AH5-AQ4)))</f>
        <v>2.0170600153692715</v>
      </c>
      <c r="AJ5" s="14">
        <f>AI5*VLOOKUP('Données projet'!$B$10,Paramètres!$A$1:$I$89,3,0)*VLOOKUP('Données projet'!$B$10,Paramètres!$A$1:$I$89,5,0)</f>
        <v>1.0132095869202926</v>
      </c>
      <c r="AK5" s="14">
        <f t="shared" ref="AK5:AK68" si="35">EXP(-1.0587+0.8836*LN(AJ5)+0.284)</f>
        <v>0.4662168415610502</v>
      </c>
      <c r="AL5" s="22">
        <f t="shared" si="4"/>
        <v>2.5766676962716719</v>
      </c>
      <c r="AM5" s="62">
        <f t="shared" si="5"/>
        <v>261.68777880738281</v>
      </c>
      <c r="AN5" s="62">
        <f ca="1">AVERAGE(OFFSET($AM$3,0,0,'Données projet'!$E$10+1,1))-AVERAGE(OFFSET($H$3,0,0,'Données projet'!$E$10+1,1))</f>
        <v>70.906504965960835</v>
      </c>
      <c r="AO5" s="62">
        <f t="shared" ref="AO5:AO68" si="36">$AO$3</f>
        <v>321.54403976139344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17.125</v>
      </c>
      <c r="N6" s="14">
        <f>IF('Données projet'!$A$36&gt;35,N5+M6-V5,IF(A6&lt;'Données projet'!$A$36,$K$205^A6,IF(A6='Données projet'!$A$36,'Données projet'!$B$36,N5+M6-V5)))</f>
        <v>2.8646939477708422</v>
      </c>
      <c r="O6" s="14">
        <f>N6*VLOOKUP('Données projet'!$B$9,Paramètres!$A$1:$I$89,3,0)*VLOOKUP('Données projet'!$B$9,Paramètres!$A$1:$I$89,5,0)</f>
        <v>1.6445635015362852</v>
      </c>
      <c r="P6" s="14">
        <f t="shared" si="33"/>
        <v>0.71524431907921637</v>
      </c>
      <c r="Q6" s="22">
        <f t="shared" si="2"/>
        <v>4.1099986209053325</v>
      </c>
      <c r="R6" s="62">
        <f t="shared" si="0"/>
        <v>264.44333195423866</v>
      </c>
      <c r="S6" s="62">
        <f ca="1">AVERAGE(OFFSET($R$3,0,0,'Données projet'!$E$9+1,1))-AVERAGE(OFFSET($H$3,0,0,'Données projet'!$E$9+1,1))</f>
        <v>79.398641219259446</v>
      </c>
      <c r="T6" s="62">
        <f t="shared" si="34"/>
        <v>363.58761819413922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17.125</v>
      </c>
      <c r="AI6" s="14">
        <f>IF('Données projet'!$A$62&gt;35,AI5+AH6-AQ5,IF(A6&lt;'Données projet'!$A$62,$AF$205^A6,IF(A6='Données projet'!$A$62,'Données projet'!$B$62,AI5+AH6-AQ5)))</f>
        <v>2.8646939477708422</v>
      </c>
      <c r="AJ6" s="14">
        <f>AI6*VLOOKUP('Données projet'!$B$10,Paramètres!$A$1:$I$89,3,0)*VLOOKUP('Données projet'!$B$10,Paramètres!$A$1:$I$89,5,0)</f>
        <v>1.4389930638442496</v>
      </c>
      <c r="AK6" s="14">
        <f t="shared" si="35"/>
        <v>0.63564221550456756</v>
      </c>
      <c r="AL6" s="22">
        <f t="shared" si="4"/>
        <v>3.6133231115325231</v>
      </c>
      <c r="AM6" s="62">
        <f t="shared" si="5"/>
        <v>263.94665644486582</v>
      </c>
      <c r="AN6" s="62">
        <f ca="1">AVERAGE(OFFSET($AM$3,0,0,'Données projet'!$E$10+1,1))-AVERAGE(OFFSET($H$3,0,0,'Données projet'!$E$10+1,1))</f>
        <v>70.906504965960835</v>
      </c>
      <c r="AO6" s="62">
        <f t="shared" si="36"/>
        <v>321.54403976139344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17.125</v>
      </c>
      <c r="N7" s="14">
        <f>IF('Données projet'!$A$36&gt;35,N6+M7-V6,IF(A7&lt;'Données projet'!$A$36,$K$205^A7,IF(A7='Données projet'!$A$36,'Données projet'!$B$36,N6+M7-V6)))</f>
        <v>4.0685311056014859</v>
      </c>
      <c r="O7" s="14">
        <f>N7*VLOOKUP('Données projet'!$B$9,Paramètres!$A$1:$I$89,3,0)*VLOOKUP('Données projet'!$B$9,Paramètres!$A$1:$I$89,5,0)</f>
        <v>2.3356623371037011</v>
      </c>
      <c r="P7" s="14">
        <f t="shared" si="33"/>
        <v>0.97516743943501394</v>
      </c>
      <c r="Q7" s="22">
        <f t="shared" si="2"/>
        <v>5.7663618608049285</v>
      </c>
      <c r="R7" s="62">
        <f t="shared" si="0"/>
        <v>267.32191741636046</v>
      </c>
      <c r="S7" s="62">
        <f ca="1">AVERAGE(OFFSET($R$3,0,0,'Données projet'!$E$9+1,1))-AVERAGE(OFFSET($H$3,0,0,'Données projet'!$E$9+1,1))</f>
        <v>79.398641219259446</v>
      </c>
      <c r="T7" s="62">
        <f t="shared" si="34"/>
        <v>363.58761819413922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17.125</v>
      </c>
      <c r="AI7" s="14">
        <f>IF('Données projet'!$A$62&gt;35,AI6+AH7-AQ6,IF(A7&lt;'Données projet'!$A$62,$AF$205^A7,IF(A7='Données projet'!$A$62,'Données projet'!$B$62,AI6+AH7-AQ6)))</f>
        <v>4.0685311056014859</v>
      </c>
      <c r="AJ7" s="14">
        <f>AI7*VLOOKUP('Données projet'!$B$10,Paramètres!$A$1:$I$89,3,0)*VLOOKUP('Données projet'!$B$10,Paramètres!$A$1:$I$89,5,0)</f>
        <v>2.0437045449657383</v>
      </c>
      <c r="AK7" s="14">
        <f t="shared" si="35"/>
        <v>0.86663756027922612</v>
      </c>
      <c r="AL7" s="22">
        <f t="shared" si="4"/>
        <v>5.0688458333016468</v>
      </c>
      <c r="AM7" s="62">
        <f t="shared" si="5"/>
        <v>266.62440138885717</v>
      </c>
      <c r="AN7" s="62">
        <f ca="1">AVERAGE(OFFSET($AM$3,0,0,'Données projet'!$E$10+1,1))-AVERAGE(OFFSET($H$3,0,0,'Données projet'!$E$10+1,1))</f>
        <v>70.906504965960835</v>
      </c>
      <c r="AO7" s="62">
        <f t="shared" si="36"/>
        <v>321.54403976139344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17.125</v>
      </c>
      <c r="N8" s="14">
        <f>IF('Données projet'!$A$36&gt;35,N7+M8-V7,IF(A8&lt;'Données projet'!$A$36,$K$205^A8,IF(A8='Données projet'!$A$36,'Données projet'!$B$36,N7+M8-V7)))</f>
        <v>5.7782596183189137</v>
      </c>
      <c r="O8" s="14">
        <f>N8*VLOOKUP('Données projet'!$B$9,Paramètres!$A$1:$I$89,3,0)*VLOOKUP('Données projet'!$B$9,Paramètres!$A$1:$I$89,5,0)</f>
        <v>3.3171832816845219</v>
      </c>
      <c r="P8" s="14">
        <f t="shared" si="33"/>
        <v>1.3295478336108526</v>
      </c>
      <c r="Q8" s="22">
        <f t="shared" si="2"/>
        <v>8.0930566924727767</v>
      </c>
      <c r="R8" s="62">
        <f t="shared" si="0"/>
        <v>270.87083447025054</v>
      </c>
      <c r="S8" s="62">
        <f ca="1">AVERAGE(OFFSET($R$3,0,0,'Données projet'!$E$9+1,1))-AVERAGE(OFFSET($H$3,0,0,'Données projet'!$E$9+1,1))</f>
        <v>79.398641219259446</v>
      </c>
      <c r="T8" s="62">
        <f t="shared" si="34"/>
        <v>363.58761819413922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17.125</v>
      </c>
      <c r="AI8" s="14">
        <f>IF('Données projet'!$A$62&gt;35,AI7+AH8-AQ7,IF(A8&lt;'Données projet'!$A$62,$AF$205^A8,IF(A8='Données projet'!$A$62,'Données projet'!$B$62,AI7+AH8-AQ7)))</f>
        <v>5.7782596183189137</v>
      </c>
      <c r="AJ8" s="14">
        <f>AI8*VLOOKUP('Données projet'!$B$10,Paramètres!$A$1:$I$89,3,0)*VLOOKUP('Données projet'!$B$10,Paramètres!$A$1:$I$89,5,0)</f>
        <v>2.9025353714739568</v>
      </c>
      <c r="AK8" s="14">
        <f t="shared" si="35"/>
        <v>1.1815776903529662</v>
      </c>
      <c r="AL8" s="22">
        <f t="shared" si="4"/>
        <v>7.1131635826818895</v>
      </c>
      <c r="AM8" s="62">
        <f t="shared" si="5"/>
        <v>269.89094136045964</v>
      </c>
      <c r="AN8" s="62">
        <f ca="1">AVERAGE(OFFSET($AM$3,0,0,'Données projet'!$E$10+1,1))-AVERAGE(OFFSET($H$3,0,0,'Données projet'!$E$10+1,1))</f>
        <v>70.906504965960835</v>
      </c>
      <c r="AO8" s="62">
        <f t="shared" si="36"/>
        <v>321.54403976139344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17.125</v>
      </c>
      <c r="N9" s="14">
        <f>IF('Données projet'!$A$36&gt;35,N8+M9-V8,IF(A9&lt;'Données projet'!$A$36,$K$205^A9,IF(A9='Données projet'!$A$36,'Données projet'!$B$36,N8+M9-V8)))</f>
        <v>8.2064714143948922</v>
      </c>
      <c r="O9" s="14">
        <f>N9*VLOOKUP('Données projet'!$B$9,Paramètres!$A$1:$I$89,3,0)*VLOOKUP('Données projet'!$B$9,Paramètres!$A$1:$I$89,5,0)</f>
        <v>4.7111711095758197</v>
      </c>
      <c r="P9" s="14">
        <f t="shared" si="33"/>
        <v>1.8127117153167756</v>
      </c>
      <c r="Q9" s="22">
        <f t="shared" si="2"/>
        <v>11.362429253354604</v>
      </c>
      <c r="R9" s="62">
        <f t="shared" si="0"/>
        <v>275.36242925335461</v>
      </c>
      <c r="S9" s="62">
        <f ca="1">AVERAGE(OFFSET($R$3,0,0,'Données projet'!$E$9+1,1))-AVERAGE(OFFSET($H$3,0,0,'Données projet'!$E$9+1,1))</f>
        <v>79.398641219259446</v>
      </c>
      <c r="T9" s="62">
        <f t="shared" si="34"/>
        <v>363.58761819413922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17.125</v>
      </c>
      <c r="AI9" s="14">
        <f>IF('Données projet'!$A$62&gt;35,AI8+AH9-AQ8,IF(A9&lt;'Données projet'!$A$62,$AF$205^A9,IF(A9='Données projet'!$A$62,'Données projet'!$B$62,AI8+AH9-AQ8)))</f>
        <v>8.2064714143948922</v>
      </c>
      <c r="AJ9" s="14">
        <f>AI9*VLOOKUP('Données projet'!$B$10,Paramètres!$A$1:$I$89,3,0)*VLOOKUP('Données projet'!$B$10,Paramètres!$A$1:$I$89,5,0)</f>
        <v>4.1222747208788428</v>
      </c>
      <c r="AK9" s="14">
        <f t="shared" si="35"/>
        <v>1.6109685320931921</v>
      </c>
      <c r="AL9" s="22">
        <f t="shared" si="4"/>
        <v>9.9853986655929621</v>
      </c>
      <c r="AM9" s="62">
        <f t="shared" si="5"/>
        <v>273.98539866559298</v>
      </c>
      <c r="AN9" s="62">
        <f ca="1">AVERAGE(OFFSET($AM$3,0,0,'Données projet'!$E$10+1,1))-AVERAGE(OFFSET($H$3,0,0,'Données projet'!$E$10+1,1))</f>
        <v>70.906504965960835</v>
      </c>
      <c r="AO9" s="62">
        <f t="shared" si="36"/>
        <v>321.54403976139344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17.125</v>
      </c>
      <c r="N10" s="14">
        <f>IF('Données projet'!$A$36&gt;35,N9+M10-V9,IF(A10&lt;'Données projet'!$A$36,$K$205^A10,IF(A10='Données projet'!$A$36,'Données projet'!$B$36,N9+M10-V9)))</f>
        <v>11.65509643453399</v>
      </c>
      <c r="O10" s="14">
        <f>N10*VLOOKUP('Données projet'!$B$9,Paramètres!$A$1:$I$89,3,0)*VLOOKUP('Données projet'!$B$9,Paramètres!$A$1:$I$89,5,0)</f>
        <v>6.6909577611372724</v>
      </c>
      <c r="P10" s="14">
        <f t="shared" si="33"/>
        <v>2.4714596043698629</v>
      </c>
      <c r="Q10" s="22">
        <f t="shared" si="2"/>
        <v>15.957876911591596</v>
      </c>
      <c r="R10" s="62">
        <f t="shared" si="0"/>
        <v>281.18009913381383</v>
      </c>
      <c r="S10" s="62">
        <f ca="1">AVERAGE(OFFSET($R$3,0,0,'Données projet'!$E$9+1,1))-AVERAGE(OFFSET($H$3,0,0,'Données projet'!$E$9+1,1))</f>
        <v>79.398641219259446</v>
      </c>
      <c r="T10" s="62">
        <f t="shared" si="34"/>
        <v>363.58761819413922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17.125</v>
      </c>
      <c r="AI10" s="14">
        <f>IF('Données projet'!$A$62&gt;35,AI9+AH10-AQ9,IF(A10&lt;'Données projet'!$A$62,$AF$205^A10,IF(A10='Données projet'!$A$62,'Données projet'!$B$62,AI9+AH10-AQ9)))</f>
        <v>11.65509643453399</v>
      </c>
      <c r="AJ10" s="14">
        <f>AI10*VLOOKUP('Données projet'!$B$10,Paramètres!$A$1:$I$89,3,0)*VLOOKUP('Données projet'!$B$10,Paramètres!$A$1:$I$89,5,0)</f>
        <v>5.8545880409951137</v>
      </c>
      <c r="AK10" s="14">
        <f t="shared" si="35"/>
        <v>2.1964020077420714</v>
      </c>
      <c r="AL10" s="22">
        <f t="shared" si="4"/>
        <v>14.022141001550596</v>
      </c>
      <c r="AM10" s="62">
        <f t="shared" si="5"/>
        <v>279.24436322377284</v>
      </c>
      <c r="AN10" s="62">
        <f ca="1">AVERAGE(OFFSET($AM$3,0,0,'Données projet'!$E$10+1,1))-AVERAGE(OFFSET($H$3,0,0,'Données projet'!$E$10+1,1))</f>
        <v>70.906504965960835</v>
      </c>
      <c r="AO10" s="62">
        <f t="shared" si="36"/>
        <v>321.54403976139344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17.125</v>
      </c>
      <c r="N11" s="14">
        <f>IF('Données projet'!$A$36&gt;35,N10+M11-V10,IF(A11&lt;'Données projet'!$A$36,$K$205^A11,IF(A11='Données projet'!$A$36,'Données projet'!$B$36,N10+M11-V10)))</f>
        <v>16.552945357246848</v>
      </c>
      <c r="O11" s="14">
        <f>N11*VLOOKUP('Données projet'!$B$9,Paramètres!$A$1:$I$89,3,0)*VLOOKUP('Données projet'!$B$9,Paramètres!$A$1:$I$89,5,0)</f>
        <v>9.5027148706882709</v>
      </c>
      <c r="P11" s="14">
        <f t="shared" si="33"/>
        <v>3.3695995476945608</v>
      </c>
      <c r="Q11" s="22">
        <f t="shared" si="2"/>
        <v>22.419280945350099</v>
      </c>
      <c r="R11" s="62">
        <f t="shared" si="0"/>
        <v>288.86372538979458</v>
      </c>
      <c r="S11" s="62">
        <f ca="1">AVERAGE(OFFSET($R$3,0,0,'Données projet'!$E$9+1,1))-AVERAGE(OFFSET($H$3,0,0,'Données projet'!$E$9+1,1))</f>
        <v>79.398641219259446</v>
      </c>
      <c r="T11" s="62">
        <f t="shared" si="34"/>
        <v>363.58761819413922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17.125</v>
      </c>
      <c r="AI11" s="14">
        <f>IF('Données projet'!$A$62&gt;35,AI10+AH11-AQ10,IF(A11&lt;'Données projet'!$A$62,$AF$205^A11,IF(A11='Données projet'!$A$62,'Données projet'!$B$62,AI10+AH11-AQ10)))</f>
        <v>16.552945357246848</v>
      </c>
      <c r="AJ11" s="14">
        <f>AI11*VLOOKUP('Données projet'!$B$10,Paramètres!$A$1:$I$89,3,0)*VLOOKUP('Données projet'!$B$10,Paramètres!$A$1:$I$89,5,0)</f>
        <v>8.3148755118522377</v>
      </c>
      <c r="AK11" s="14">
        <f t="shared" si="35"/>
        <v>2.9945847380055031</v>
      </c>
      <c r="AL11" s="22">
        <f t="shared" si="4"/>
        <v>19.697309935168899</v>
      </c>
      <c r="AM11" s="62">
        <f t="shared" si="5"/>
        <v>286.14175437961336</v>
      </c>
      <c r="AN11" s="62">
        <f ca="1">AVERAGE(OFFSET($AM$3,0,0,'Données projet'!$E$10+1,1))-AVERAGE(OFFSET($H$3,0,0,'Données projet'!$E$10+1,1))</f>
        <v>70.906504965960835</v>
      </c>
      <c r="AO11" s="62">
        <f t="shared" si="36"/>
        <v>321.54403976139344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17.125</v>
      </c>
      <c r="N12" s="14">
        <f>IF('Données projet'!$A$36&gt;35,N11+M12-V11,IF(A12&lt;'Données projet'!$A$36,$K$205^A12,IF(A12='Données projet'!$A$36,'Données projet'!$B$36,N11+M12-V11)))</f>
        <v>23.509028993371469</v>
      </c>
      <c r="O12" s="14">
        <f>N12*VLOOKUP('Données projet'!$B$9,Paramètres!$A$1:$I$89,3,0)*VLOOKUP('Données projet'!$B$9,Paramètres!$A$1:$I$89,5,0)</f>
        <v>13.496063364514693</v>
      </c>
      <c r="P12" s="14">
        <f t="shared" si="33"/>
        <v>4.5941277339705193</v>
      </c>
      <c r="Q12" s="22">
        <f t="shared" si="2"/>
        <v>31.507082829861748</v>
      </c>
      <c r="R12" s="62">
        <f t="shared" si="0"/>
        <v>299.17374949652844</v>
      </c>
      <c r="S12" s="62">
        <f ca="1">AVERAGE(OFFSET($R$3,0,0,'Données projet'!$E$9+1,1))-AVERAGE(OFFSET($H$3,0,0,'Données projet'!$E$9+1,1))</f>
        <v>79.398641219259446</v>
      </c>
      <c r="T12" s="62">
        <f t="shared" si="34"/>
        <v>363.58761819413922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17.125</v>
      </c>
      <c r="AI12" s="14">
        <f>IF('Données projet'!$A$62&gt;35,AI11+AH12-AQ11,IF(A12&lt;'Données projet'!$A$62,$AF$205^A12,IF(A12='Données projet'!$A$62,'Données projet'!$B$62,AI11+AH12-AQ11)))</f>
        <v>23.509028993371469</v>
      </c>
      <c r="AJ12" s="14">
        <f>AI12*VLOOKUP('Données projet'!$B$10,Paramètres!$A$1:$I$89,3,0)*VLOOKUP('Données projet'!$B$10,Paramètres!$A$1:$I$89,5,0)</f>
        <v>11.809055443950356</v>
      </c>
      <c r="AK12" s="14">
        <f t="shared" si="35"/>
        <v>4.0828307939466093</v>
      </c>
      <c r="AL12" s="22">
        <f t="shared" si="4"/>
        <v>27.67836853100388</v>
      </c>
      <c r="AM12" s="62">
        <f t="shared" si="5"/>
        <v>295.34503519767054</v>
      </c>
      <c r="AN12" s="62">
        <f ca="1">AVERAGE(OFFSET($AM$3,0,0,'Données projet'!$E$10+1,1))-AVERAGE(OFFSET($H$3,0,0,'Données projet'!$E$10+1,1))</f>
        <v>70.906504965960835</v>
      </c>
      <c r="AO12" s="62">
        <f t="shared" si="36"/>
        <v>321.54403976139344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17.125</v>
      </c>
      <c r="N13" s="14">
        <f>IF('Données projet'!$A$36&gt;35,N12+M13-V12,IF(A13&lt;'Données projet'!$A$36,$K$205^A13,IF(A13='Données projet'!$A$36,'Données projet'!$B$36,N12+M13-V12)))</f>
        <v>33.388284216695041</v>
      </c>
      <c r="O13" s="14">
        <f>N13*VLOOKUP('Données projet'!$B$9,Paramètres!$A$1:$I$89,3,0)*VLOOKUP('Données projet'!$B$9,Paramètres!$A$1:$I$89,5,0)</f>
        <v>19.167546203120288</v>
      </c>
      <c r="P13" s="14">
        <f t="shared" si="33"/>
        <v>6.2636551724603473</v>
      </c>
      <c r="Q13" s="22">
        <f t="shared" si="2"/>
        <v>44.29267572913627</v>
      </c>
      <c r="R13" s="62">
        <f t="shared" si="0"/>
        <v>313.18156461802511</v>
      </c>
      <c r="S13" s="62">
        <f ca="1">AVERAGE(OFFSET($R$3,0,0,'Données projet'!$E$9+1,1))-AVERAGE(OFFSET($H$3,0,0,'Données projet'!$E$9+1,1))</f>
        <v>79.398641219259446</v>
      </c>
      <c r="T13" s="62">
        <f t="shared" si="34"/>
        <v>363.58761819413922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17.125</v>
      </c>
      <c r="AI13" s="14">
        <f>IF('Données projet'!$A$62&gt;35,AI12+AH13-AQ12,IF(A13&lt;'Données projet'!$A$62,$AF$205^A13,IF(A13='Données projet'!$A$62,'Données projet'!$B$62,AI12+AH13-AQ12)))</f>
        <v>33.388284216695041</v>
      </c>
      <c r="AJ13" s="14">
        <f>AI13*VLOOKUP('Données projet'!$B$10,Paramètres!$A$1:$I$89,3,0)*VLOOKUP('Données projet'!$B$10,Paramètres!$A$1:$I$89,5,0)</f>
        <v>16.771602927730253</v>
      </c>
      <c r="AK13" s="14">
        <f t="shared" si="35"/>
        <v>5.5665505405270848</v>
      </c>
      <c r="AL13" s="22">
        <f t="shared" si="4"/>
        <v>38.9056172905482</v>
      </c>
      <c r="AM13" s="62">
        <f t="shared" si="5"/>
        <v>307.79450617943706</v>
      </c>
      <c r="AN13" s="62">
        <f ca="1">AVERAGE(OFFSET($AM$3,0,0,'Données projet'!$E$10+1,1))-AVERAGE(OFFSET($H$3,0,0,'Données projet'!$E$10+1,1))</f>
        <v>70.906504965960835</v>
      </c>
      <c r="AO13" s="62">
        <f t="shared" si="36"/>
        <v>321.54403976139344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17.125</v>
      </c>
      <c r="N14" s="14">
        <f>IF('Données projet'!$A$36&gt;35,N13+M14-V13,IF(A14&lt;'Données projet'!$A$36,$K$205^A14,IF(A14='Données projet'!$A$36,'Données projet'!$B$36,N13+M14-V13)))</f>
        <v>47.41912238268651</v>
      </c>
      <c r="O14" s="14">
        <f>N14*VLOOKUP('Données projet'!$B$9,Paramètres!$A$1:$I$89,3,0)*VLOOKUP('Données projet'!$B$9,Paramètres!$A$1:$I$89,5,0)</f>
        <v>27.222369777452673</v>
      </c>
      <c r="P14" s="14">
        <f t="shared" si="33"/>
        <v>8.5398966662125133</v>
      </c>
      <c r="Q14" s="22">
        <f t="shared" si="2"/>
        <v>62.285947389383523</v>
      </c>
      <c r="R14" s="62">
        <f t="shared" si="0"/>
        <v>332.39705850049467</v>
      </c>
      <c r="S14" s="62">
        <f ca="1">AVERAGE(OFFSET($R$3,0,0,'Données projet'!$E$9+1,1))-AVERAGE(OFFSET($H$3,0,0,'Données projet'!$E$9+1,1))</f>
        <v>79.398641219259446</v>
      </c>
      <c r="T14" s="62">
        <f t="shared" si="34"/>
        <v>363.58761819413922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17.125</v>
      </c>
      <c r="AI14" s="14">
        <f>IF('Données projet'!$A$62&gt;35,AI13+AH14-AQ13,IF(A14&lt;'Données projet'!$A$62,$AF$205^A14,IF(A14='Données projet'!$A$62,'Données projet'!$B$62,AI13+AH14-AQ13)))</f>
        <v>47.41912238268651</v>
      </c>
      <c r="AJ14" s="14">
        <f>AI14*VLOOKUP('Données projet'!$B$10,Paramètres!$A$1:$I$89,3,0)*VLOOKUP('Données projet'!$B$10,Paramètres!$A$1:$I$89,5,0)</f>
        <v>23.819573555271088</v>
      </c>
      <c r="AK14" s="14">
        <f t="shared" si="35"/>
        <v>7.5894609608079708</v>
      </c>
      <c r="AL14" s="22">
        <f t="shared" si="4"/>
        <v>54.704068448837688</v>
      </c>
      <c r="AM14" s="62">
        <f t="shared" si="5"/>
        <v>324.81517955994883</v>
      </c>
      <c r="AN14" s="62">
        <f ca="1">AVERAGE(OFFSET($AM$3,0,0,'Données projet'!$E$10+1,1))-AVERAGE(OFFSET($H$3,0,0,'Données projet'!$E$10+1,1))</f>
        <v>70.906504965960835</v>
      </c>
      <c r="AO14" s="62">
        <f t="shared" si="36"/>
        <v>321.54403976139344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17.125</v>
      </c>
      <c r="N15" s="14">
        <f>IF('Données projet'!$A$36&gt;35,N14+M15-V14,IF(A15&lt;'Données projet'!$A$36,$K$205^A15,IF(A15='Données projet'!$A$36,'Données projet'!$B$36,N14+M15-V14)))</f>
        <v>67.346173075280504</v>
      </c>
      <c r="O15" s="14">
        <f>N15*VLOOKUP('Données projet'!$B$9,Paramètres!$A$1:$I$89,3,0)*VLOOKUP('Données projet'!$B$9,Paramètres!$A$1:$I$89,5,0)</f>
        <v>38.662091039057032</v>
      </c>
      <c r="P15" s="14">
        <f t="shared" si="33"/>
        <v>11.643334931693074</v>
      </c>
      <c r="Q15" s="22">
        <f t="shared" si="2"/>
        <v>87.61528356572309</v>
      </c>
      <c r="R15" s="62">
        <f t="shared" si="0"/>
        <v>358.94861689905639</v>
      </c>
      <c r="S15" s="62">
        <f ca="1">AVERAGE(OFFSET($R$3,0,0,'Données projet'!$E$9+1,1))-AVERAGE(OFFSET($H$3,0,0,'Données projet'!$E$9+1,1))</f>
        <v>79.398641219259446</v>
      </c>
      <c r="T15" s="62">
        <f t="shared" si="34"/>
        <v>363.58761819413922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17.125</v>
      </c>
      <c r="AI15" s="14">
        <f>IF('Données projet'!$A$62&gt;35,AI14+AH15-AQ14,IF(A15&lt;'Données projet'!$A$62,$AF$205^A15,IF(A15='Données projet'!$A$62,'Données projet'!$B$62,AI14+AH15-AQ14)))</f>
        <v>67.346173075280504</v>
      </c>
      <c r="AJ15" s="14">
        <f>AI15*VLOOKUP('Données projet'!$B$10,Paramètres!$A$1:$I$89,3,0)*VLOOKUP('Données projet'!$B$10,Paramètres!$A$1:$I$89,5,0)</f>
        <v>33.829329659174903</v>
      </c>
      <c r="AK15" s="14">
        <f t="shared" si="35"/>
        <v>10.347506459570237</v>
      </c>
      <c r="AL15" s="22">
        <f t="shared" si="4"/>
        <v>76.941322906814449</v>
      </c>
      <c r="AM15" s="62">
        <f t="shared" si="5"/>
        <v>348.27465624014775</v>
      </c>
      <c r="AN15" s="62">
        <f ca="1">AVERAGE(OFFSET($AM$3,0,0,'Données projet'!$E$10+1,1))-AVERAGE(OFFSET($H$3,0,0,'Données projet'!$E$10+1,1))</f>
        <v>70.906504965960835</v>
      </c>
      <c r="AO15" s="62">
        <f t="shared" si="36"/>
        <v>321.54403976139344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17.125</v>
      </c>
      <c r="N16" s="14">
        <f>IF('Données projet'!$A$36&gt;35,N15+M16-V15,IF(A16&lt;'Données projet'!$A$36,$K$205^A16,IF(A16='Données projet'!$A$36,'Données projet'!$B$36,N15+M16-V15)))</f>
        <v>95.647215722019013</v>
      </c>
      <c r="O16" s="14">
        <f>N16*VLOOKUP('Données projet'!$B$9,Paramètres!$A$1:$I$89,3,0)*VLOOKUP('Données projet'!$B$9,Paramètres!$A$1:$I$89,5,0)</f>
        <v>54.909153601696673</v>
      </c>
      <c r="P16" s="14">
        <f t="shared" si="33"/>
        <v>15.874577132525058</v>
      </c>
      <c r="Q16" s="22">
        <f t="shared" si="2"/>
        <v>123.28166436210286</v>
      </c>
      <c r="R16" s="62">
        <f t="shared" si="0"/>
        <v>395.83721991765839</v>
      </c>
      <c r="S16" s="62">
        <f ca="1">AVERAGE(OFFSET($R$3,0,0,'Données projet'!$E$9+1,1))-AVERAGE(OFFSET($H$3,0,0,'Données projet'!$E$9+1,1))</f>
        <v>79.398641219259446</v>
      </c>
      <c r="T16" s="62">
        <f t="shared" si="34"/>
        <v>363.58761819413922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17.125</v>
      </c>
      <c r="AI16" s="14">
        <f>IF('Données projet'!$A$62&gt;35,AI15+AH16-AQ15,IF(A16&lt;'Données projet'!$A$62,$AF$205^A16,IF(A16='Données projet'!$A$62,'Données projet'!$B$62,AI15+AH16-AQ15)))</f>
        <v>95.647215722019013</v>
      </c>
      <c r="AJ16" s="14">
        <f>AI16*VLOOKUP('Données projet'!$B$10,Paramètres!$A$1:$I$89,3,0)*VLOOKUP('Données projet'!$B$10,Paramètres!$A$1:$I$89,5,0)</f>
        <v>48.045509401484594</v>
      </c>
      <c r="AK16" s="14">
        <f t="shared" si="35"/>
        <v>14.107838551876432</v>
      </c>
      <c r="AL16" s="22">
        <f t="shared" si="4"/>
        <v>108.25041435210379</v>
      </c>
      <c r="AM16" s="62">
        <f t="shared" si="5"/>
        <v>380.80596990765935</v>
      </c>
      <c r="AN16" s="62">
        <f ca="1">AVERAGE(OFFSET($AM$3,0,0,'Données projet'!$E$10+1,1))-AVERAGE(OFFSET($H$3,0,0,'Données projet'!$E$10+1,1))</f>
        <v>70.906504965960835</v>
      </c>
      <c r="AO16" s="62">
        <f t="shared" si="36"/>
        <v>321.54403976139344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17.125</v>
      </c>
      <c r="N17" s="14">
        <f>IF('Données projet'!$A$36&gt;35,N16+M17-V16,IF(A17&lt;'Données projet'!$A$36,$K$205^A17,IF(A17='Données projet'!$A$36,'Données projet'!$B$36,N16+M17-V16)))</f>
        <v>135.84127289828692</v>
      </c>
      <c r="O17" s="14">
        <f>N17*VLOOKUP('Données projet'!$B$9,Paramètres!$A$1:$I$89,3,0)*VLOOKUP('Données projet'!$B$9,Paramètres!$A$1:$I$89,5,0)</f>
        <v>77.983757945448545</v>
      </c>
      <c r="P17" s="14">
        <f t="shared" si="33"/>
        <v>21.643472477162838</v>
      </c>
      <c r="Q17" s="22">
        <f t="shared" si="2"/>
        <v>173.51742631938146</v>
      </c>
      <c r="R17" s="62">
        <f t="shared" si="0"/>
        <v>447.29520409715923</v>
      </c>
      <c r="S17" s="62">
        <f ca="1">AVERAGE(OFFSET($R$3,0,0,'Données projet'!$E$9+1,1))-AVERAGE(OFFSET($H$3,0,0,'Données projet'!$E$9+1,1))</f>
        <v>79.398641219259446</v>
      </c>
      <c r="T17" s="62">
        <f t="shared" si="34"/>
        <v>363.58761819413922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17.125</v>
      </c>
      <c r="AI17" s="14">
        <f>IF('Données projet'!$A$62&gt;35,AI16+AH17-AQ16,IF(A17&lt;'Données projet'!$A$62,$AF$205^A17,IF(A17='Données projet'!$A$62,'Données projet'!$B$62,AI16+AH17-AQ16)))</f>
        <v>135.84127289828692</v>
      </c>
      <c r="AJ17" s="14">
        <f>AI17*VLOOKUP('Données projet'!$B$10,Paramètres!$A$1:$I$89,3,0)*VLOOKUP('Données projet'!$B$10,Paramètres!$A$1:$I$89,5,0)</f>
        <v>68.235788202267486</v>
      </c>
      <c r="AK17" s="14">
        <f t="shared" si="35"/>
        <v>19.234692858947696</v>
      </c>
      <c r="AL17" s="22">
        <f t="shared" si="4"/>
        <v>152.34442118161644</v>
      </c>
      <c r="AM17" s="62">
        <f t="shared" si="5"/>
        <v>426.12219895939421</v>
      </c>
      <c r="AN17" s="62">
        <f ca="1">AVERAGE(OFFSET($AM$3,0,0,'Données projet'!$E$10+1,1))-AVERAGE(OFFSET($H$3,0,0,'Données projet'!$E$10+1,1))</f>
        <v>70.906504965960835</v>
      </c>
      <c r="AO17" s="62">
        <f t="shared" si="36"/>
        <v>321.54403976139344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17.125</v>
      </c>
      <c r="N18" s="14">
        <f>IF('Données projet'!$A$36&gt;35,N17+M18-V17,IF(A18&lt;'Données projet'!$A$36,$K$205^A18,IF(A18='Données projet'!$A$36,'Données projet'!$B$36,N17+M18-V17)))</f>
        <v>192.92617441428371</v>
      </c>
      <c r="O18" s="14">
        <f>N18*VLOOKUP('Données projet'!$B$9,Paramètres!$A$1:$I$89,3,0)*VLOOKUP('Données projet'!$B$9,Paramètres!$A$1:$I$89,5,0)</f>
        <v>110.755058207752</v>
      </c>
      <c r="P18" s="14">
        <f t="shared" si="33"/>
        <v>29.508811287321105</v>
      </c>
      <c r="Q18" s="22">
        <f t="shared" si="2"/>
        <v>244.29290603725232</v>
      </c>
      <c r="R18" s="62">
        <f t="shared" si="0"/>
        <v>519.29290603725235</v>
      </c>
      <c r="S18" s="62">
        <f ca="1">AVERAGE(OFFSET($R$3,0,0,'Données projet'!$E$9+1,1))-AVERAGE(OFFSET($H$3,0,0,'Données projet'!$E$9+1,1))</f>
        <v>79.398641219259446</v>
      </c>
      <c r="T18" s="62">
        <f t="shared" si="34"/>
        <v>363.58761819413922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17.125</v>
      </c>
      <c r="AI18" s="14">
        <f>IF('Données projet'!$A$62&gt;35,AI17+AH18-AQ17,IF(A18&lt;'Données projet'!$A$62,$AF$205^A18,IF(A18='Données projet'!$A$62,'Données projet'!$B$62,AI17+AH18-AQ17)))</f>
        <v>192.92617441428371</v>
      </c>
      <c r="AJ18" s="14">
        <f>AI18*VLOOKUP('Données projet'!$B$10,Paramètres!$A$1:$I$89,3,0)*VLOOKUP('Données projet'!$B$10,Paramètres!$A$1:$I$89,5,0)</f>
        <v>96.910675931783004</v>
      </c>
      <c r="AK18" s="14">
        <f t="shared" si="35"/>
        <v>26.224669924993226</v>
      </c>
      <c r="AL18" s="22">
        <f t="shared" si="4"/>
        <v>214.4607273672186</v>
      </c>
      <c r="AM18" s="62">
        <f t="shared" si="5"/>
        <v>489.46072736721862</v>
      </c>
      <c r="AN18" s="62">
        <f ca="1">AVERAGE(OFFSET($AM$3,0,0,'Données projet'!$E$10+1,1))-AVERAGE(OFFSET($H$3,0,0,'Données projet'!$E$10+1,1))</f>
        <v>70.906504965960835</v>
      </c>
      <c r="AO18" s="62">
        <f t="shared" si="36"/>
        <v>321.54403976139344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>
        <f>VLOOKUP(A19,'Données projet'!$A$35:$I$55,2,0)</f>
        <v>274</v>
      </c>
      <c r="L19" s="13">
        <f>VLOOKUP(A19,'Données projet'!$A$35:$I$55,9,0)</f>
        <v>17.125</v>
      </c>
      <c r="M19" s="13">
        <f t="array" ref="M19">INDEX(L:L,MIN(IF(ISNUMBER(L19:L215),ROW(L19:L215),"")))</f>
        <v>17.125</v>
      </c>
      <c r="N19" s="14">
        <f>IF('Données projet'!$A$36&gt;35,N18+M19-V18,IF(A19&lt;'Données projet'!$A$36,$K$205^A19,IF(A19='Données projet'!$A$36,'Données projet'!$B$36,N18+M19-V18)))</f>
        <v>274</v>
      </c>
      <c r="O19" s="14">
        <f>N19*VLOOKUP('Données projet'!$B$9,Paramètres!$A$1:$I$89,3,0)*VLOOKUP('Données projet'!$B$9,Paramètres!$A$1:$I$89,5,0)</f>
        <v>157.29792</v>
      </c>
      <c r="P19" s="14">
        <f t="shared" si="33"/>
        <v>40.232450892966718</v>
      </c>
      <c r="Q19" s="22">
        <f t="shared" si="2"/>
        <v>344.03206263858368</v>
      </c>
      <c r="R19" s="62">
        <f t="shared" si="0"/>
        <v>620.25428486080591</v>
      </c>
      <c r="S19" s="62">
        <f ca="1">AVERAGE(OFFSET($R$3,0,0,'Données projet'!$E$9+1,1))-AVERAGE(OFFSET($H$3,0,0,'Données projet'!$E$9+1,1))</f>
        <v>79.398641219259446</v>
      </c>
      <c r="T19" s="62">
        <f t="shared" si="34"/>
        <v>363.58761819413922</v>
      </c>
      <c r="U19" s="16">
        <f>IF(ISNA(VLOOKUP(A19,'Données projet'!$A$35:$I$55,3,0)),0,VLOOKUP(A19,'Données projet'!$A$35:$I$55,3,0))</f>
        <v>1</v>
      </c>
      <c r="V19" s="16">
        <f>IF(ISNA(VLOOKUP(A19,'Données projet'!$A$35:$I$55,4,0)),0,VLOOKUP(A19,'Données projet'!$A$35:$I$55,4,0))</f>
        <v>274</v>
      </c>
      <c r="W19" s="17">
        <f>IF(ISNA(VLOOKUP(A19,'Données projet'!$A$35:$I$55,5,0)),0%,VLOOKUP(A19,'Données projet'!$A$35:$I$55,5,0)*VLOOKUP('Données projet'!$B$9,Paramètres!$A$1:$I$89,7,0))</f>
        <v>0.46199999999999997</v>
      </c>
      <c r="X19" s="17">
        <f>IF(ISNA(VLOOKUP(A19,'Données projet'!$A$35:$I$55,6,0)),0%,VLOOKUP(A19,'Données projet'!$A$35:$I$55,6,0)*VLOOKUP('Données projet'!$B$9,Paramètres!$A$1:$I$89,7,0))</f>
        <v>0.126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80.336344390830348</v>
      </c>
      <c r="AA19" s="23">
        <f>EXP(-LN(2)/25)*AA18+(1-EXP(-LN(2)/25))/(LN(2)/25)*Calculateur!V19*Calculateur!X19*VLOOKUP('Données projet'!$B$9,Paramètres!$A$1:$I$89,3,0)*0.475*44/12</f>
        <v>21.823644434295442</v>
      </c>
      <c r="AB19" s="23">
        <f>EXP(-LN(2)/2)*AB18+(1-EXP(-LN(2)/2))/(LN(2)/2)*V19*Y19*VLOOKUP('Données projet'!$B$9,Paramètres!$A$1:$I$89,3,0)*0.475*44/12</f>
        <v>0</v>
      </c>
      <c r="AC19" s="24">
        <f t="shared" si="3"/>
        <v>102.15998882512579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>
        <f>VLOOKUP(A19,'Données projet'!$A$61:$I$81,2,0)</f>
        <v>274</v>
      </c>
      <c r="AG19" s="13">
        <f>VLOOKUP(A19,'Données projet'!$A$61:$I$81,9,0)</f>
        <v>17.125</v>
      </c>
      <c r="AH19" s="13">
        <f t="array" ref="AH19">INDEX(AG:AG,MIN(IF(ISNUMBER(AG19:AG215),ROW(AG19:AG215),"")))</f>
        <v>17.125</v>
      </c>
      <c r="AI19" s="14">
        <f>IF('Données projet'!$A$62&gt;35,AI18+AH19-AQ18,IF(A19&lt;'Données projet'!$A$62,$AF$205^A19,IF(A19='Données projet'!$A$62,'Données projet'!$B$62,AI18+AH19-AQ18)))</f>
        <v>274</v>
      </c>
      <c r="AJ19" s="14">
        <f>AI19*VLOOKUP('Données projet'!$B$10,Paramètres!$A$1:$I$89,3,0)*VLOOKUP('Données projet'!$B$10,Paramètres!$A$1:$I$89,5,0)</f>
        <v>137.63568000000001</v>
      </c>
      <c r="AK19" s="14">
        <f t="shared" si="35"/>
        <v>35.754837247370986</v>
      </c>
      <c r="AL19" s="22">
        <f t="shared" si="4"/>
        <v>301.98848420583784</v>
      </c>
      <c r="AM19" s="62">
        <f t="shared" si="5"/>
        <v>578.21070642806012</v>
      </c>
      <c r="AN19" s="62">
        <f ca="1">AVERAGE(OFFSET($AM$3,0,0,'Données projet'!$E$10+1,1))-AVERAGE(OFFSET($H$3,0,0,'Données projet'!$E$10+1,1))</f>
        <v>70.906504965960835</v>
      </c>
      <c r="AO19" s="62">
        <f t="shared" si="36"/>
        <v>321.54403976139344</v>
      </c>
      <c r="AP19" s="16">
        <f>IF(ISNA(VLOOKUP(A19,'Données projet'!$A$61:$I$81,3,0)),0,VLOOKUP(A19,'Données projet'!$A$61:$I$81,3,0))</f>
        <v>1</v>
      </c>
      <c r="AQ19" s="16">
        <f>IF(ISNA(VLOOKUP(A19,'Données projet'!$A$61:$I$81,4,0)),0,VLOOKUP(A19,'Données projet'!$A$61:$I$81,4,0))</f>
        <v>274</v>
      </c>
      <c r="AR19" s="17">
        <f>IF(ISNA(VLOOKUP(A19,'Données projet'!$A$61:$I$81,5,0)),0%,VLOOKUP(A19,'Données projet'!$A$61:$I$81,5,0)*VLOOKUP('Données projet'!$B$10,Paramètres!$A$1:$I$89,7,0))</f>
        <v>0.46199999999999997</v>
      </c>
      <c r="AS19" s="17">
        <f>IF(ISNA(VLOOKUP(A19,'Données projet'!$A$61:$I$81,6,0)),0%,VLOOKUP(A19,'Données projet'!$A$61:$I$81,6,0)*VLOOKUP('Données projet'!$B$10,Paramètres!$A$1:$I$89,7,0))</f>
        <v>0.126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70.294301341976563</v>
      </c>
      <c r="AV19" s="23">
        <f>EXP(-LN(2)/25)*AV18+(1-EXP(-LN(2)/25))/(LN(2)/25)*Calculateur!AQ19*Calculateur!AS19*VLOOKUP('Données projet'!$B$10,Paramètres!$A$1:$I$89,3,0)*0.475*44/12</f>
        <v>19.095688880008513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89.389990221985073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0</v>
      </c>
      <c r="N20" s="14">
        <f>IF('Données projet'!$A$36&gt;35,N19+M20-V19,IF(A20&lt;'Données projet'!$A$36,$K$205^A20,IF(A20='Données projet'!$A$36,'Données projet'!$B$36,N19+M20-V19)))</f>
        <v>0</v>
      </c>
      <c r="O20" s="14">
        <f>N20*VLOOKUP('Données projet'!$B$9,Paramètres!$A$1:$I$89,3,0)*VLOOKUP('Données projet'!$B$9,Paramètres!$A$1:$I$89,5,0)</f>
        <v>0</v>
      </c>
      <c r="P20" s="14" t="e">
        <f t="shared" si="33"/>
        <v>#NUM!</v>
      </c>
      <c r="Q20" s="22" t="e">
        <f t="shared" si="2"/>
        <v>#NUM!</v>
      </c>
      <c r="R20" s="62" t="e">
        <f t="shared" si="0"/>
        <v>#NUM!</v>
      </c>
      <c r="S20" s="62">
        <f ca="1">AVERAGE(OFFSET($R$3,0,0,'Données projet'!$E$9+1,1))-AVERAGE(OFFSET($H$3,0,0,'Données projet'!$E$9+1,1))</f>
        <v>79.398641219259446</v>
      </c>
      <c r="T20" s="62">
        <f t="shared" si="34"/>
        <v>363.58761819413922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78.760997677657869</v>
      </c>
      <c r="AA20" s="23">
        <f>EXP(-LN(2)/25)*AA19+(1-EXP(-LN(2)/25))/(LN(2)/25)*Calculateur!V20*Calculateur!X20*VLOOKUP('Données projet'!$B$9,Paramètres!$A$1:$I$89,3,0)*0.475*44/12</f>
        <v>21.226875729584052</v>
      </c>
      <c r="AB20" s="23">
        <f>EXP(-LN(2)/2)*AB19+(1-EXP(-LN(2)/2))/(LN(2)/2)*V20*Y20*VLOOKUP('Données projet'!$B$9,Paramètres!$A$1:$I$89,3,0)*0.475*44/12</f>
        <v>0</v>
      </c>
      <c r="AC20" s="24">
        <f t="shared" si="3"/>
        <v>99.987873407241921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>
        <f>AI20*VLOOKUP('Données projet'!$B$10,Paramètres!$A$1:$I$89,3,0)*VLOOKUP('Données projet'!$B$10,Paramètres!$A$1:$I$89,5,0)</f>
        <v>0</v>
      </c>
      <c r="AK20" s="14" t="e">
        <f t="shared" si="35"/>
        <v>#NUM!</v>
      </c>
      <c r="AL20" s="22" t="e">
        <f t="shared" si="4"/>
        <v>#NUM!</v>
      </c>
      <c r="AM20" s="62" t="e">
        <f t="shared" si="5"/>
        <v>#NUM!</v>
      </c>
      <c r="AN20" s="62">
        <f ca="1">AVERAGE(OFFSET($AM$3,0,0,'Données projet'!$E$10+1,1))-AVERAGE(OFFSET($H$3,0,0,'Données projet'!$E$10+1,1))</f>
        <v>70.906504965960835</v>
      </c>
      <c r="AO20" s="62">
        <f t="shared" si="36"/>
        <v>321.54403976139344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68.915872967950634</v>
      </c>
      <c r="AV20" s="23">
        <f>EXP(-LN(2)/25)*AV19+(1-EXP(-LN(2)/25))/(LN(2)/25)*Calculateur!AQ20*Calculateur!AS20*VLOOKUP('Données projet'!$B$10,Paramètres!$A$1:$I$89,3,0)*0.475*44/12</f>
        <v>18.573516263386047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87.489389231336673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0</v>
      </c>
      <c r="N21" s="14">
        <f>IF('Données projet'!$A$36&gt;35,N20+M21-V20,IF(A21&lt;'Données projet'!$A$36,$K$205^A21,IF(A21='Données projet'!$A$36,'Données projet'!$B$36,N20+M21-V20)))</f>
        <v>0</v>
      </c>
      <c r="O21" s="14">
        <f>N21*VLOOKUP('Données projet'!$B$9,Paramètres!$A$1:$I$89,3,0)*VLOOKUP('Données projet'!$B$9,Paramètres!$A$1:$I$89,5,0)</f>
        <v>0</v>
      </c>
      <c r="P21" s="14" t="e">
        <f t="shared" si="33"/>
        <v>#NUM!</v>
      </c>
      <c r="Q21" s="22" t="e">
        <f t="shared" si="2"/>
        <v>#NUM!</v>
      </c>
      <c r="R21" s="62" t="e">
        <f t="shared" si="0"/>
        <v>#NUM!</v>
      </c>
      <c r="S21" s="62">
        <f ca="1">AVERAGE(OFFSET($R$3,0,0,'Données projet'!$E$9+1,1))-AVERAGE(OFFSET($H$3,0,0,'Données projet'!$E$9+1,1))</f>
        <v>79.398641219259446</v>
      </c>
      <c r="T21" s="62">
        <f t="shared" si="34"/>
        <v>363.58761819413922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77.21654255266408</v>
      </c>
      <c r="AA21" s="23">
        <f>EXP(-LN(2)/25)*AA20+(1-EXP(-LN(2)/25))/(LN(2)/25)*Calculateur!V21*Calculateur!X21*VLOOKUP('Données projet'!$B$9,Paramètres!$A$1:$I$89,3,0)*0.475*44/12</f>
        <v>20.646425696485696</v>
      </c>
      <c r="AB21" s="23">
        <f>EXP(-LN(2)/2)*AB20+(1-EXP(-LN(2)/2))/(LN(2)/2)*V21*Y21*VLOOKUP('Données projet'!$B$9,Paramètres!$A$1:$I$89,3,0)*0.475*44/12</f>
        <v>0</v>
      </c>
      <c r="AC21" s="24">
        <f t="shared" si="3"/>
        <v>97.862968249149773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>
        <f>AI21*VLOOKUP('Données projet'!$B$10,Paramètres!$A$1:$I$89,3,0)*VLOOKUP('Données projet'!$B$10,Paramètres!$A$1:$I$89,5,0)</f>
        <v>0</v>
      </c>
      <c r="AK21" s="14" t="e">
        <f t="shared" si="35"/>
        <v>#NUM!</v>
      </c>
      <c r="AL21" s="22" t="e">
        <f t="shared" si="4"/>
        <v>#NUM!</v>
      </c>
      <c r="AM21" s="62" t="e">
        <f t="shared" si="5"/>
        <v>#NUM!</v>
      </c>
      <c r="AN21" s="62">
        <f ca="1">AVERAGE(OFFSET($AM$3,0,0,'Données projet'!$E$10+1,1))-AVERAGE(OFFSET($H$3,0,0,'Données projet'!$E$10+1,1))</f>
        <v>70.906504965960835</v>
      </c>
      <c r="AO21" s="62">
        <f t="shared" si="36"/>
        <v>321.54403976139344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67.564474733581065</v>
      </c>
      <c r="AV21" s="23">
        <f>EXP(-LN(2)/25)*AV20+(1-EXP(-LN(2)/25))/(LN(2)/25)*Calculateur!AQ21*Calculateur!AS21*VLOOKUP('Données projet'!$B$10,Paramètres!$A$1:$I$89,3,0)*0.475*44/12</f>
        <v>18.065622484424985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85.630097218006057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79.398641219259446</v>
      </c>
      <c r="T22" s="62">
        <f t="shared" si="34"/>
        <v>363.58761819413922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75.702373250646815</v>
      </c>
      <c r="AA22" s="23">
        <f>EXP(-LN(2)/25)*AA21+(1-EXP(-LN(2)/25))/(LN(2)/25)*Calculateur!V22*Calculateur!X22*VLOOKUP('Données projet'!$B$9,Paramètres!$A$1:$I$89,3,0)*0.475*44/12</f>
        <v>20.081848100066956</v>
      </c>
      <c r="AB22" s="23">
        <f>EXP(-LN(2)/2)*AB21+(1-EXP(-LN(2)/2))/(LN(2)/2)*V22*Y22*VLOOKUP('Données projet'!$B$9,Paramètres!$A$1:$I$89,3,0)*0.475*44/12</f>
        <v>0</v>
      </c>
      <c r="AC22" s="24">
        <f t="shared" si="3"/>
        <v>95.784221350713779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>
        <f>AI22*VLOOKUP('Données projet'!$B$10,Paramètres!$A$1:$I$89,3,0)*VLOOKUP('Données projet'!$B$10,Paramètres!$A$1:$I$89,5,0)</f>
        <v>0</v>
      </c>
      <c r="AK22" s="14" t="e">
        <f t="shared" si="35"/>
        <v>#NUM!</v>
      </c>
      <c r="AL22" s="22" t="e">
        <f t="shared" si="4"/>
        <v>#NUM!</v>
      </c>
      <c r="AM22" s="62" t="e">
        <f t="shared" si="5"/>
        <v>#NUM!</v>
      </c>
      <c r="AN22" s="62">
        <f ca="1">AVERAGE(OFFSET($AM$3,0,0,'Données projet'!$E$10+1,1))-AVERAGE(OFFSET($H$3,0,0,'Données projet'!$E$10+1,1))</f>
        <v>70.906504965960835</v>
      </c>
      <c r="AO22" s="62">
        <f t="shared" si="36"/>
        <v>321.54403976139344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66.239576594315949</v>
      </c>
      <c r="AV22" s="23">
        <f>EXP(-LN(2)/25)*AV21+(1-EXP(-LN(2)/25))/(LN(2)/25)*Calculateur!AQ22*Calculateur!AS22*VLOOKUP('Données projet'!$B$10,Paramètres!$A$1:$I$89,3,0)*0.475*44/12</f>
        <v>17.571617087558586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83.811193681874528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79.398641219259446</v>
      </c>
      <c r="T23" s="62">
        <f t="shared" si="34"/>
        <v>363.58761819413922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74.217895885090016</v>
      </c>
      <c r="AA23" s="23">
        <f>EXP(-LN(2)/25)*AA22+(1-EXP(-LN(2)/25))/(LN(2)/25)*Calculateur!V23*Calculateur!X23*VLOOKUP('Données projet'!$B$9,Paramètres!$A$1:$I$89,3,0)*0.475*44/12</f>
        <v>19.532708907712131</v>
      </c>
      <c r="AB23" s="23">
        <f>EXP(-LN(2)/2)*AB22+(1-EXP(-LN(2)/2))/(LN(2)/2)*V23*Y23*VLOOKUP('Données projet'!$B$9,Paramètres!$A$1:$I$89,3,0)*0.475*44/12</f>
        <v>0</v>
      </c>
      <c r="AC23" s="24">
        <f t="shared" si="3"/>
        <v>93.75060479280215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>
        <f>AI23*VLOOKUP('Données projet'!$B$10,Paramètres!$A$1:$I$89,3,0)*VLOOKUP('Données projet'!$B$10,Paramètres!$A$1:$I$89,5,0)</f>
        <v>0</v>
      </c>
      <c r="AK23" s="14" t="e">
        <f t="shared" si="35"/>
        <v>#NUM!</v>
      </c>
      <c r="AL23" s="22" t="e">
        <f t="shared" si="4"/>
        <v>#NUM!</v>
      </c>
      <c r="AM23" s="62" t="e">
        <f t="shared" si="5"/>
        <v>#NUM!</v>
      </c>
      <c r="AN23" s="62">
        <f ca="1">AVERAGE(OFFSET($AM$3,0,0,'Données projet'!$E$10+1,1))-AVERAGE(OFFSET($H$3,0,0,'Données projet'!$E$10+1,1))</f>
        <v>70.906504965960835</v>
      </c>
      <c r="AO23" s="62">
        <f t="shared" si="36"/>
        <v>321.54403976139344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64.940658899453751</v>
      </c>
      <c r="AV23" s="23">
        <f>EXP(-LN(2)/25)*AV22+(1-EXP(-LN(2)/25))/(LN(2)/25)*Calculateur!AQ23*Calculateur!AS23*VLOOKUP('Données projet'!$B$10,Paramètres!$A$1:$I$89,3,0)*0.475*44/12</f>
        <v>17.091120294248114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82.031779193701865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79.398641219259446</v>
      </c>
      <c r="T24" s="62">
        <f t="shared" si="34"/>
        <v>363.58761819413922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72.762528215230006</v>
      </c>
      <c r="AA24" s="23">
        <f>EXP(-LN(2)/25)*AA23+(1-EXP(-LN(2)/25))/(LN(2)/25)*Calculateur!V24*Calculateur!X24*VLOOKUP('Données projet'!$B$9,Paramètres!$A$1:$I$89,3,0)*0.475*44/12</f>
        <v>18.998585955450224</v>
      </c>
      <c r="AB24" s="23">
        <f>EXP(-LN(2)/2)*AB23+(1-EXP(-LN(2)/2))/(LN(2)/2)*V24*Y24*VLOOKUP('Données projet'!$B$9,Paramètres!$A$1:$I$89,3,0)*0.475*44/12</f>
        <v>0</v>
      </c>
      <c r="AC24" s="24">
        <f t="shared" si="3"/>
        <v>91.76111417068023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70.906504965960835</v>
      </c>
      <c r="AO24" s="62">
        <f t="shared" si="36"/>
        <v>321.54403976139344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63.667212188326239</v>
      </c>
      <c r="AV24" s="23">
        <f>EXP(-LN(2)/25)*AV23+(1-EXP(-LN(2)/25))/(LN(2)/25)*Calculateur!AQ24*Calculateur!AS24*VLOOKUP('Données projet'!$B$10,Paramètres!$A$1:$I$89,3,0)*0.475*44/12</f>
        <v>16.623762711018944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80.290974899345187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79.398641219259446</v>
      </c>
      <c r="T25" s="62">
        <f t="shared" si="34"/>
        <v>363.58761819413922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71.335699417689327</v>
      </c>
      <c r="AA25" s="23">
        <f>EXP(-LN(2)/25)*AA24+(1-EXP(-LN(2)/25))/(LN(2)/25)*Calculateur!V25*Calculateur!X25*VLOOKUP('Données projet'!$B$9,Paramètres!$A$1:$I$89,3,0)*0.475*44/12</f>
        <v>18.479068623406224</v>
      </c>
      <c r="AB25" s="23">
        <f>EXP(-LN(2)/2)*AB24+(1-EXP(-LN(2)/2))/(LN(2)/2)*V25*Y25*VLOOKUP('Données projet'!$B$9,Paramètres!$A$1:$I$89,3,0)*0.475*44/12</f>
        <v>0</v>
      </c>
      <c r="AC25" s="24">
        <f t="shared" si="3"/>
        <v>89.814768041095547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70.906504965960835</v>
      </c>
      <c r="AO25" s="62">
        <f t="shared" si="36"/>
        <v>321.54403976139344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62.418736990478138</v>
      </c>
      <c r="AV25" s="23">
        <f>EXP(-LN(2)/25)*AV24+(1-EXP(-LN(2)/25))/(LN(2)/25)*Calculateur!AQ25*Calculateur!AS25*VLOOKUP('Données projet'!$B$10,Paramètres!$A$1:$I$89,3,0)*0.475*44/12</f>
        <v>16.169185045480443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78.587922035958584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79.398641219259446</v>
      </c>
      <c r="T26" s="62">
        <f t="shared" si="34"/>
        <v>363.58761819413922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69.936849862588787</v>
      </c>
      <c r="AA26" s="23">
        <f>EXP(-LN(2)/25)*AA25+(1-EXP(-LN(2)/25))/(LN(2)/25)*Calculateur!V26*Calculateur!X26*VLOOKUP('Données projet'!$B$9,Paramètres!$A$1:$I$89,3,0)*0.475*44/12</f>
        <v>17.973757520127197</v>
      </c>
      <c r="AB26" s="23">
        <f>EXP(-LN(2)/2)*AB25+(1-EXP(-LN(2)/2))/(LN(2)/2)*V26*Y26*VLOOKUP('Données projet'!$B$9,Paramètres!$A$1:$I$89,3,0)*0.475*44/12</f>
        <v>0</v>
      </c>
      <c r="AC26" s="24">
        <f t="shared" si="3"/>
        <v>87.91060738271598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70.906504965960835</v>
      </c>
      <c r="AO26" s="62">
        <f t="shared" si="36"/>
        <v>321.54403976139344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61.194743629765163</v>
      </c>
      <c r="AV26" s="23">
        <f>EXP(-LN(2)/25)*AV25+(1-EXP(-LN(2)/25))/(LN(2)/25)*Calculateur!AQ26*Calculateur!AS26*VLOOKUP('Données projet'!$B$10,Paramètres!$A$1:$I$89,3,0)*0.475*44/12</f>
        <v>15.727037830111295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76.921781459876456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79.398641219259446</v>
      </c>
      <c r="T27" s="62">
        <f t="shared" si="34"/>
        <v>363.58761819413922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68.565430894049783</v>
      </c>
      <c r="AA27" s="23">
        <f>EXP(-LN(2)/25)*AA26+(1-EXP(-LN(2)/25))/(LN(2)/25)*Calculateur!V27*Calculateur!X27*VLOOKUP('Données projet'!$B$9,Paramètres!$A$1:$I$89,3,0)*0.475*44/12</f>
        <v>17.48226417554049</v>
      </c>
      <c r="AB27" s="23">
        <f>EXP(-LN(2)/2)*AB26+(1-EXP(-LN(2)/2))/(LN(2)/2)*V27*Y27*VLOOKUP('Données projet'!$B$9,Paramètres!$A$1:$I$89,3,0)*0.475*44/12</f>
        <v>0</v>
      </c>
      <c r="AC27" s="24">
        <f t="shared" si="3"/>
        <v>86.047695069590276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70.906504965960835</v>
      </c>
      <c r="AO27" s="62">
        <f t="shared" si="36"/>
        <v>321.54403976139344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59.994752032293533</v>
      </c>
      <c r="AV27" s="23">
        <f>EXP(-LN(2)/25)*AV26+(1-EXP(-LN(2)/25))/(LN(2)/25)*Calculateur!AQ27*Calculateur!AS27*VLOOKUP('Données projet'!$B$10,Paramètres!$A$1:$I$89,3,0)*0.475*44/12</f>
        <v>15.296981153597926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75.291733185891459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79.398641219259446</v>
      </c>
      <c r="T28" s="62">
        <f t="shared" si="34"/>
        <v>363.58761819413922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67.220904615000848</v>
      </c>
      <c r="AA28" s="23">
        <f>EXP(-LN(2)/25)*AA27+(1-EXP(-LN(2)/25))/(LN(2)/25)*Calculateur!V28*Calculateur!X28*VLOOKUP('Données projet'!$B$9,Paramètres!$A$1:$I$89,3,0)*0.475*44/12</f>
        <v>17.004210742308018</v>
      </c>
      <c r="AB28" s="23">
        <f>EXP(-LN(2)/2)*AB27+(1-EXP(-LN(2)/2))/(LN(2)/2)*V28*Y28*VLOOKUP('Données projet'!$B$9,Paramètres!$A$1:$I$89,3,0)*0.475*44/12</f>
        <v>0</v>
      </c>
      <c r="AC28" s="24">
        <f t="shared" si="3"/>
        <v>84.225115357308866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70.906504965960835</v>
      </c>
      <c r="AO28" s="62">
        <f t="shared" si="36"/>
        <v>321.54403976139344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58.81829153812572</v>
      </c>
      <c r="AV28" s="23">
        <f>EXP(-LN(2)/25)*AV27+(1-EXP(-LN(2)/25))/(LN(2)/25)*Calculateur!AQ28*Calculateur!AS28*VLOOKUP('Données projet'!$B$10,Paramètres!$A$1:$I$89,3,0)*0.475*44/12</f>
        <v>14.878684399519514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73.696975937645234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79.398641219259446</v>
      </c>
      <c r="T29" s="62">
        <f t="shared" si="34"/>
        <v>363.58761819413922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65.902743676204011</v>
      </c>
      <c r="AA29" s="23">
        <f>EXP(-LN(2)/25)*AA28+(1-EXP(-LN(2)/25))/(LN(2)/25)*Calculateur!V29*Calculateur!X29*VLOOKUP('Données projet'!$B$9,Paramètres!$A$1:$I$89,3,0)*0.475*44/12</f>
        <v>16.539229705347026</v>
      </c>
      <c r="AB29" s="23">
        <f>EXP(-LN(2)/2)*AB28+(1-EXP(-LN(2)/2))/(LN(2)/2)*V29*Y29*VLOOKUP('Données projet'!$B$9,Paramètres!$A$1:$I$89,3,0)*0.475*44/12</f>
        <v>0</v>
      </c>
      <c r="AC29" s="24">
        <f t="shared" si="3"/>
        <v>82.441973381551037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70.906504965960835</v>
      </c>
      <c r="AO29" s="62">
        <f t="shared" si="36"/>
        <v>321.54403976139344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57.664900716678488</v>
      </c>
      <c r="AV29" s="23">
        <f>EXP(-LN(2)/25)*AV28+(1-EXP(-LN(2)/25))/(LN(2)/25)*Calculateur!AQ29*Calculateur!AS29*VLOOKUP('Données projet'!$B$10,Paramètres!$A$1:$I$89,3,0)*0.475*44/12</f>
        <v>14.471825992178646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72.13672670885714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79.398641219259446</v>
      </c>
      <c r="T30" s="62">
        <f t="shared" si="34"/>
        <v>363.58761819413922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64.610431069418198</v>
      </c>
      <c r="AA30" s="23">
        <f>EXP(-LN(2)/25)*AA29+(1-EXP(-LN(2)/25))/(LN(2)/25)*Calculateur!V30*Calculateur!X30*VLOOKUP('Données projet'!$B$9,Paramètres!$A$1:$I$89,3,0)*0.475*44/12</f>
        <v>16.086963599294023</v>
      </c>
      <c r="AB30" s="23">
        <f>EXP(-LN(2)/2)*AB29+(1-EXP(-LN(2)/2))/(LN(2)/2)*V30*Y30*VLOOKUP('Données projet'!$B$9,Paramètres!$A$1:$I$89,3,0)*0.475*44/12</f>
        <v>0</v>
      </c>
      <c r="AC30" s="24">
        <f t="shared" si="3"/>
        <v>80.697394668712221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70.906504965960835</v>
      </c>
      <c r="AO30" s="62">
        <f t="shared" si="36"/>
        <v>321.54403976139344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56.5341271857409</v>
      </c>
      <c r="AV30" s="23">
        <f>EXP(-LN(2)/25)*AV29+(1-EXP(-LN(2)/25))/(LN(2)/25)*Calculateur!AQ30*Calculateur!AS30*VLOOKUP('Données projet'!$B$10,Paramètres!$A$1:$I$89,3,0)*0.475*44/12</f>
        <v>14.076093149382269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70.610220335123174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79.398641219259446</v>
      </c>
      <c r="T31" s="62">
        <f t="shared" si="34"/>
        <v>363.58761819413922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63.343459924618593</v>
      </c>
      <c r="AA31" s="23">
        <f>EXP(-LN(2)/25)*AA30+(1-EXP(-LN(2)/25))/(LN(2)/25)*Calculateur!V31*Calculateur!X31*VLOOKUP('Données projet'!$B$9,Paramètres!$A$1:$I$89,3,0)*0.475*44/12</f>
        <v>15.64706473369468</v>
      </c>
      <c r="AB31" s="23">
        <f>EXP(-LN(2)/2)*AB30+(1-EXP(-LN(2)/2))/(LN(2)/2)*V31*Y31*VLOOKUP('Données projet'!$B$9,Paramètres!$A$1:$I$89,3,0)*0.475*44/12</f>
        <v>0</v>
      </c>
      <c r="AC31" s="24">
        <f t="shared" si="3"/>
        <v>78.990524658313277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70.906504965960835</v>
      </c>
      <c r="AO31" s="62">
        <f t="shared" si="36"/>
        <v>321.54403976139344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55.42552743404125</v>
      </c>
      <c r="AV31" s="23">
        <f>EXP(-LN(2)/25)*AV30+(1-EXP(-LN(2)/25))/(LN(2)/25)*Calculateur!AQ31*Calculateur!AS31*VLOOKUP('Données projet'!$B$10,Paramètres!$A$1:$I$89,3,0)*0.475*44/12</f>
        <v>13.691181641982842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69.116709076024094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79.398641219259446</v>
      </c>
      <c r="T32" s="62">
        <f t="shared" si="34"/>
        <v>363.58761819413922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62.10133331119242</v>
      </c>
      <c r="AA32" s="23">
        <f>EXP(-LN(2)/25)*AA31+(1-EXP(-LN(2)/25))/(LN(2)/25)*Calculateur!V32*Calculateur!X32*VLOOKUP('Données projet'!$B$9,Paramètres!$A$1:$I$89,3,0)*0.475*44/12</f>
        <v>15.219194925708427</v>
      </c>
      <c r="AB32" s="23">
        <f>EXP(-LN(2)/2)*AB31+(1-EXP(-LN(2)/2))/(LN(2)/2)*V32*Y32*VLOOKUP('Données projet'!$B$9,Paramètres!$A$1:$I$89,3,0)*0.475*44/12</f>
        <v>0</v>
      </c>
      <c r="AC32" s="24">
        <f t="shared" si="3"/>
        <v>77.320528236900842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70.906504965960835</v>
      </c>
      <c r="AO32" s="62">
        <f t="shared" si="36"/>
        <v>321.54403976139344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54.338666647293344</v>
      </c>
      <c r="AV32" s="23">
        <f>EXP(-LN(2)/25)*AV31+(1-EXP(-LN(2)/25))/(LN(2)/25)*Calculateur!AQ32*Calculateur!AS32*VLOOKUP('Données projet'!$B$10,Paramètres!$A$1:$I$89,3,0)*0.475*44/12</f>
        <v>13.316795559994871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67.65546220728821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79.398641219259446</v>
      </c>
      <c r="T33" s="62">
        <f t="shared" si="34"/>
        <v>363.58761819413922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60.883564043033104</v>
      </c>
      <c r="AA33" s="23">
        <f>EXP(-LN(2)/25)*AA32+(1-EXP(-LN(2)/25))/(LN(2)/25)*Calculateur!V33*Calculateur!X33*VLOOKUP('Données projet'!$B$9,Paramètres!$A$1:$I$89,3,0)*0.475*44/12</f>
        <v>14.803025240122253</v>
      </c>
      <c r="AB33" s="23">
        <f>EXP(-LN(2)/2)*AB32+(1-EXP(-LN(2)/2))/(LN(2)/2)*V33*Y33*VLOOKUP('Données projet'!$B$9,Paramètres!$A$1:$I$89,3,0)*0.475*44/12</f>
        <v>0</v>
      </c>
      <c r="AC33" s="24">
        <f t="shared" si="3"/>
        <v>75.686589283155357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70.906504965960835</v>
      </c>
      <c r="AO33" s="62">
        <f t="shared" si="36"/>
        <v>321.54403976139344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53.273118537653943</v>
      </c>
      <c r="AV33" s="23">
        <f>EXP(-LN(2)/25)*AV32+(1-EXP(-LN(2)/25))/(LN(2)/25)*Calculateur!AQ33*Calculateur!AS33*VLOOKUP('Données projet'!$B$10,Paramètres!$A$1:$I$89,3,0)*0.475*44/12</f>
        <v>12.952647085106969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66.225765622760917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79.398641219259446</v>
      </c>
      <c r="T34" s="62">
        <f t="shared" si="34"/>
        <v>363.58761819413922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59.689674487456486</v>
      </c>
      <c r="AA34" s="23">
        <f>EXP(-LN(2)/25)*AA33+(1-EXP(-LN(2)/25))/(LN(2)/25)*Calculateur!V34*Calculateur!X34*VLOOKUP('Données projet'!$B$9,Paramètres!$A$1:$I$89,3,0)*0.475*44/12</f>
        <v>14.398235736473845</v>
      </c>
      <c r="AB34" s="23">
        <f>EXP(-LN(2)/2)*AB33+(1-EXP(-LN(2)/2))/(LN(2)/2)*V34*Y34*VLOOKUP('Données projet'!$B$9,Paramètres!$A$1:$I$89,3,0)*0.475*44/12</f>
        <v>0</v>
      </c>
      <c r="AC34" s="24">
        <f t="shared" si="3"/>
        <v>74.087910223930336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70.906504965960835</v>
      </c>
      <c r="AO34" s="62">
        <f t="shared" si="36"/>
        <v>321.54403976139344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52.228465176524402</v>
      </c>
      <c r="AV34" s="23">
        <f>EXP(-LN(2)/25)*AV33+(1-EXP(-LN(2)/25))/(LN(2)/25)*Calculateur!AQ34*Calculateur!AS34*VLOOKUP('Données projet'!$B$10,Paramètres!$A$1:$I$89,3,0)*0.475*44/12</f>
        <v>12.598456269414612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64.826921445939007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79.398641219259446</v>
      </c>
      <c r="T35" s="62">
        <f t="shared" si="34"/>
        <v>363.58761819413922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58.519196377863999</v>
      </c>
      <c r="AA35" s="23">
        <f>EXP(-LN(2)/25)*AA34+(1-EXP(-LN(2)/25))/(LN(2)/25)*Calculateur!V35*Calculateur!X35*VLOOKUP('Données projet'!$B$9,Paramètres!$A$1:$I$89,3,0)*0.475*44/12</f>
        <v>14.004515223089658</v>
      </c>
      <c r="AB35" s="23">
        <f>EXP(-LN(2)/2)*AB34+(1-EXP(-LN(2)/2))/(LN(2)/2)*V35*Y35*VLOOKUP('Données projet'!$B$9,Paramètres!$A$1:$I$89,3,0)*0.475*44/12</f>
        <v>0</v>
      </c>
      <c r="AC35" s="24">
        <f t="shared" si="3"/>
        <v>72.523711600953661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70.906504965960835</v>
      </c>
      <c r="AO35" s="62">
        <f t="shared" si="36"/>
        <v>321.54403976139344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51.204296830630973</v>
      </c>
      <c r="AV35" s="23">
        <f>EXP(-LN(2)/25)*AV34+(1-EXP(-LN(2)/25))/(LN(2)/25)*Calculateur!AQ35*Calculateur!AS35*VLOOKUP('Données projet'!$B$10,Paramètres!$A$1:$I$89,3,0)*0.475*44/12</f>
        <v>12.253950820203448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63.458247650834423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79.398641219259446</v>
      </c>
      <c r="T36" s="62">
        <f t="shared" si="34"/>
        <v>363.58761819413922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57.371670630079464</v>
      </c>
      <c r="AA36" s="23">
        <f>EXP(-LN(2)/25)*AA35+(1-EXP(-LN(2)/25))/(LN(2)/25)*Calculateur!V36*Calculateur!X36*VLOOKUP('Données projet'!$B$9,Paramètres!$A$1:$I$89,3,0)*0.475*44/12</f>
        <v>13.621561017848824</v>
      </c>
      <c r="AB36" s="23">
        <f>EXP(-LN(2)/2)*AB35+(1-EXP(-LN(2)/2))/(LN(2)/2)*V36*Y36*VLOOKUP('Données projet'!$B$9,Paramètres!$A$1:$I$89,3,0)*0.475*44/12</f>
        <v>0</v>
      </c>
      <c r="AC36" s="24">
        <f t="shared" si="3"/>
        <v>70.993231647928283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70.906504965960835</v>
      </c>
      <c r="AO36" s="62">
        <f t="shared" si="36"/>
        <v>321.54403976139344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50.200211801319512</v>
      </c>
      <c r="AV36" s="23">
        <f>EXP(-LN(2)/25)*AV35+(1-EXP(-LN(2)/25))/(LN(2)/25)*Calculateur!AQ36*Calculateur!AS36*VLOOKUP('Données projet'!$B$10,Paramètres!$A$1:$I$89,3,0)*0.475*44/12</f>
        <v>11.918865890617719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62.119077691937228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79.398641219259446</v>
      </c>
      <c r="T37" s="62">
        <f t="shared" si="34"/>
        <v>363.58761819413922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56.246647162287395</v>
      </c>
      <c r="AA37" s="23">
        <f>EXP(-LN(2)/25)*AA36+(1-EXP(-LN(2)/25))/(LN(2)/25)*Calculateur!V37*Calculateur!X37*VLOOKUP('Données projet'!$B$9,Paramètres!$A$1:$I$89,3,0)*0.475*44/12</f>
        <v>13.249078715488986</v>
      </c>
      <c r="AB37" s="23">
        <f>EXP(-LN(2)/2)*AB36+(1-EXP(-LN(2)/2))/(LN(2)/2)*V37*Y37*VLOOKUP('Données projet'!$B$9,Paramètres!$A$1:$I$89,3,0)*0.475*44/12</f>
        <v>0</v>
      </c>
      <c r="AC37" s="24">
        <f t="shared" si="3"/>
        <v>69.49572587777638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70.906504965960835</v>
      </c>
      <c r="AO37" s="62">
        <f t="shared" si="36"/>
        <v>321.54403976139344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49.215816267001451</v>
      </c>
      <c r="AV37" s="23">
        <f>EXP(-LN(2)/25)*AV36+(1-EXP(-LN(2)/25))/(LN(2)/25)*Calculateur!AQ37*Calculateur!AS37*VLOOKUP('Données projet'!$B$10,Paramètres!$A$1:$I$89,3,0)*0.475*44/12</f>
        <v>11.59294387605286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60.808760143054315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79.398641219259446</v>
      </c>
      <c r="T38" s="62">
        <f t="shared" si="34"/>
        <v>363.58761819413922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55.143684718502165</v>
      </c>
      <c r="AA38" s="23">
        <f>EXP(-LN(2)/25)*AA37+(1-EXP(-LN(2)/25))/(LN(2)/25)*Calculateur!V38*Calculateur!X38*VLOOKUP('Données projet'!$B$9,Paramètres!$A$1:$I$89,3,0)*0.475*44/12</f>
        <v>12.886781961275171</v>
      </c>
      <c r="AB38" s="23">
        <f>EXP(-LN(2)/2)*AB37+(1-EXP(-LN(2)/2))/(LN(2)/2)*V38*Y38*VLOOKUP('Données projet'!$B$9,Paramètres!$A$1:$I$89,3,0)*0.475*44/12</f>
        <v>0</v>
      </c>
      <c r="AC38" s="24">
        <f t="shared" si="3"/>
        <v>68.030466679777334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70.906504965960835</v>
      </c>
      <c r="AO38" s="62">
        <f t="shared" si="36"/>
        <v>321.54403976139344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48.250724128689377</v>
      </c>
      <c r="AV38" s="23">
        <f>EXP(-LN(2)/25)*AV37+(1-EXP(-LN(2)/25))/(LN(2)/25)*Calculateur!AQ38*Calculateur!AS38*VLOOKUP('Données projet'!$B$10,Paramètres!$A$1:$I$89,3,0)*0.475*44/12</f>
        <v>11.275934216115772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59.526658344805149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79.398641219259446</v>
      </c>
      <c r="T39" s="62">
        <f t="shared" si="34"/>
        <v>363.58761819413922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54.0623506954989</v>
      </c>
      <c r="AA39" s="23">
        <f>EXP(-LN(2)/25)*AA38+(1-EXP(-LN(2)/25))/(LN(2)/25)*Calculateur!V39*Calculateur!X39*VLOOKUP('Données projet'!$B$9,Paramètres!$A$1:$I$89,3,0)*0.475*44/12</f>
        <v>12.534392230857691</v>
      </c>
      <c r="AB39" s="23">
        <f>EXP(-LN(2)/2)*AB38+(1-EXP(-LN(2)/2))/(LN(2)/2)*V39*Y39*VLOOKUP('Données projet'!$B$9,Paramètres!$A$1:$I$89,3,0)*0.475*44/12</f>
        <v>0</v>
      </c>
      <c r="AC39" s="24">
        <f t="shared" si="3"/>
        <v>66.596742926356598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70.906504965960835</v>
      </c>
      <c r="AO39" s="62">
        <f t="shared" si="36"/>
        <v>321.54403976139344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47.304556858561526</v>
      </c>
      <c r="AV39" s="23">
        <f>EXP(-LN(2)/25)*AV38+(1-EXP(-LN(2)/25))/(LN(2)/25)*Calculateur!AQ39*Calculateur!AS39*VLOOKUP('Données projet'!$B$10,Paramètres!$A$1:$I$89,3,0)*0.475*44/12</f>
        <v>10.967593202000478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58.272150060562005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79.398641219259446</v>
      </c>
      <c r="T40" s="62">
        <f t="shared" si="34"/>
        <v>363.58761819413922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53.002220973138101</v>
      </c>
      <c r="AA40" s="23">
        <f>EXP(-LN(2)/25)*AA39+(1-EXP(-LN(2)/25))/(LN(2)/25)*Calculateur!V40*Calculateur!X40*VLOOKUP('Données projet'!$B$9,Paramètres!$A$1:$I$89,3,0)*0.475*44/12</f>
        <v>12.191638616149847</v>
      </c>
      <c r="AB40" s="23">
        <f>EXP(-LN(2)/2)*AB39+(1-EXP(-LN(2)/2))/(LN(2)/2)*V40*Y40*VLOOKUP('Données projet'!$B$9,Paramètres!$A$1:$I$89,3,0)*0.475*44/12</f>
        <v>0</v>
      </c>
      <c r="AC40" s="24">
        <f t="shared" si="3"/>
        <v>65.193859589287953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70.906504965960835</v>
      </c>
      <c r="AO40" s="62">
        <f t="shared" si="36"/>
        <v>321.54403976139344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46.376943351495825</v>
      </c>
      <c r="AV40" s="23">
        <f>EXP(-LN(2)/25)*AV39+(1-EXP(-LN(2)/25))/(LN(2)/25)*Calculateur!AQ40*Calculateur!AS40*VLOOKUP('Données projet'!$B$10,Paramètres!$A$1:$I$89,3,0)*0.475*44/12</f>
        <v>10.667683789131114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57.044627140626943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79.398641219259446</v>
      </c>
      <c r="T41" s="62">
        <f t="shared" si="34"/>
        <v>363.58761819413922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51.962879748017514</v>
      </c>
      <c r="AA41" s="23">
        <f>EXP(-LN(2)/25)*AA40+(1-EXP(-LN(2)/25))/(LN(2)/25)*Calculateur!V41*Calculateur!X41*VLOOKUP('Données projet'!$B$9,Paramètres!$A$1:$I$89,3,0)*0.475*44/12</f>
        <v>11.858257617060818</v>
      </c>
      <c r="AB41" s="23">
        <f>EXP(-LN(2)/2)*AB40+(1-EXP(-LN(2)/2))/(LN(2)/2)*V41*Y41*VLOOKUP('Données projet'!$B$9,Paramètres!$A$1:$I$89,3,0)*0.475*44/12</f>
        <v>0</v>
      </c>
      <c r="AC41" s="24">
        <f t="shared" si="3"/>
        <v>63.821137365078329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70.906504965960835</v>
      </c>
      <c r="AO41" s="62">
        <f t="shared" si="36"/>
        <v>321.54403976139344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45.467519779515314</v>
      </c>
      <c r="AV41" s="23">
        <f>EXP(-LN(2)/25)*AV40+(1-EXP(-LN(2)/25))/(LN(2)/25)*Calculateur!AQ41*Calculateur!AS41*VLOOKUP('Données projet'!$B$10,Paramètres!$A$1:$I$89,3,0)*0.475*44/12</f>
        <v>10.375975414928215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55.843495194443527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79.398641219259446</v>
      </c>
      <c r="T42" s="62">
        <f t="shared" si="34"/>
        <v>363.58761819413922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50.943919370385991</v>
      </c>
      <c r="AA42" s="23">
        <f>EXP(-LN(2)/25)*AA41+(1-EXP(-LN(2)/25))/(LN(2)/25)*Calculateur!V42*Calculateur!X42*VLOOKUP('Données projet'!$B$9,Paramètres!$A$1:$I$89,3,0)*0.475*44/12</f>
        <v>11.533992938923625</v>
      </c>
      <c r="AB42" s="23">
        <f>EXP(-LN(2)/2)*AB41+(1-EXP(-LN(2)/2))/(LN(2)/2)*V42*Y42*VLOOKUP('Données projet'!$B$9,Paramètres!$A$1:$I$89,3,0)*0.475*44/12</f>
        <v>0</v>
      </c>
      <c r="AC42" s="24">
        <f t="shared" si="3"/>
        <v>62.477912309309616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70.906504965960835</v>
      </c>
      <c r="AO42" s="62">
        <f t="shared" si="36"/>
        <v>321.54403976139344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44.575929449087731</v>
      </c>
      <c r="AV42" s="23">
        <f>EXP(-LN(2)/25)*AV41+(1-EXP(-LN(2)/25))/(LN(2)/25)*Calculateur!AQ42*Calculateur!AS42*VLOOKUP('Données projet'!$B$10,Paramètres!$A$1:$I$89,3,0)*0.475*44/12</f>
        <v>10.092243821558171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54.668173270645902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79.398641219259446</v>
      </c>
      <c r="T43" s="62">
        <f t="shared" si="34"/>
        <v>363.58761819413922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49.944940184255358</v>
      </c>
      <c r="AA43" s="23">
        <f>EXP(-LN(2)/25)*AA42+(1-EXP(-LN(2)/25))/(LN(2)/25)*Calculateur!V43*Calculateur!X43*VLOOKUP('Données projet'!$B$9,Paramètres!$A$1:$I$89,3,0)*0.475*44/12</f>
        <v>11.21859529546243</v>
      </c>
      <c r="AB43" s="23">
        <f>EXP(-LN(2)/2)*AB42+(1-EXP(-LN(2)/2))/(LN(2)/2)*V43*Y43*VLOOKUP('Données projet'!$B$9,Paramètres!$A$1:$I$89,3,0)*0.475*44/12</f>
        <v>0</v>
      </c>
      <c r="AC43" s="24">
        <f t="shared" si="3"/>
        <v>61.163535479717787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70.906504965960835</v>
      </c>
      <c r="AO43" s="62">
        <f t="shared" si="36"/>
        <v>321.54403976139344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43.701822661223432</v>
      </c>
      <c r="AV43" s="23">
        <f>EXP(-LN(2)/25)*AV42+(1-EXP(-LN(2)/25))/(LN(2)/25)*Calculateur!AQ43*Calculateur!AS43*VLOOKUP('Données projet'!$B$10,Paramètres!$A$1:$I$89,3,0)*0.475*44/12</f>
        <v>9.8162708835296257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53.518093544753057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79.398641219259446</v>
      </c>
      <c r="T44" s="62">
        <f t="shared" si="34"/>
        <v>363.58761819413922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48.965550370647613</v>
      </c>
      <c r="AA44" s="23">
        <f>EXP(-LN(2)/25)*AA43+(1-EXP(-LN(2)/25))/(LN(2)/25)*Calculateur!V44*Calculateur!X44*VLOOKUP('Données projet'!$B$9,Paramètres!$A$1:$I$89,3,0)*0.475*44/12</f>
        <v>10.911822217147725</v>
      </c>
      <c r="AB44" s="23">
        <f>EXP(-LN(2)/2)*AB43+(1-EXP(-LN(2)/2))/(LN(2)/2)*V44*Y44*VLOOKUP('Données projet'!$B$9,Paramètres!$A$1:$I$89,3,0)*0.475*44/12</f>
        <v>0</v>
      </c>
      <c r="AC44" s="24">
        <f t="shared" si="3"/>
        <v>59.877372587795335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70.906504965960835</v>
      </c>
      <c r="AO44" s="62">
        <f t="shared" si="36"/>
        <v>321.54403976139344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42.844856574316651</v>
      </c>
      <c r="AV44" s="23">
        <f>EXP(-LN(2)/25)*AV43+(1-EXP(-LN(2)/25))/(LN(2)/25)*Calculateur!AQ44*Calculateur!AS44*VLOOKUP('Données projet'!$B$10,Paramètres!$A$1:$I$89,3,0)*0.475*44/12</f>
        <v>9.5478444400042584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52.392701014320906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79.398641219259446</v>
      </c>
      <c r="T45" s="62">
        <f t="shared" si="34"/>
        <v>363.58761819413922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48.005365793915914</v>
      </c>
      <c r="AA45" s="23">
        <f>EXP(-LN(2)/25)*AA44+(1-EXP(-LN(2)/25))/(LN(2)/25)*Calculateur!V45*Calculateur!X45*VLOOKUP('Données projet'!$B$9,Paramètres!$A$1:$I$89,3,0)*0.475*44/12</f>
        <v>10.613437864792029</v>
      </c>
      <c r="AB45" s="23">
        <f>EXP(-LN(2)/2)*AB44+(1-EXP(-LN(2)/2))/(LN(2)/2)*V45*Y45*VLOOKUP('Données projet'!$B$9,Paramètres!$A$1:$I$89,3,0)*0.475*44/12</f>
        <v>0</v>
      </c>
      <c r="AC45" s="24">
        <f t="shared" si="3"/>
        <v>58.618803658707947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70.906504965960835</v>
      </c>
      <c r="AO45" s="62">
        <f t="shared" si="36"/>
        <v>321.54403976139344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42.004695069676416</v>
      </c>
      <c r="AV45" s="23">
        <f>EXP(-LN(2)/25)*AV44+(1-EXP(-LN(2)/25))/(LN(2)/25)*Calculateur!AQ45*Calculateur!AS45*VLOOKUP('Données projet'!$B$10,Paramètres!$A$1:$I$89,3,0)*0.475*44/12</f>
        <v>9.2867581316930252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51.291453201369443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79.398641219259446</v>
      </c>
      <c r="T46" s="62">
        <f t="shared" si="34"/>
        <v>363.58761819413922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47.064009851079156</v>
      </c>
      <c r="AA46" s="23">
        <f>EXP(-LN(2)/25)*AA45+(1-EXP(-LN(2)/25))/(LN(2)/25)*Calculateur!V46*Calculateur!X46*VLOOKUP('Données projet'!$B$9,Paramètres!$A$1:$I$89,3,0)*0.475*44/12</f>
        <v>10.323212848242852</v>
      </c>
      <c r="AB46" s="23">
        <f>EXP(-LN(2)/2)*AB45+(1-EXP(-LN(2)/2))/(LN(2)/2)*V46*Y46*VLOOKUP('Données projet'!$B$9,Paramètres!$A$1:$I$89,3,0)*0.475*44/12</f>
        <v>0</v>
      </c>
      <c r="AC46" s="24">
        <f t="shared" si="3"/>
        <v>57.38722269932201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70.906504965960835</v>
      </c>
      <c r="AO46" s="62">
        <f t="shared" si="36"/>
        <v>321.54403976139344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41.181008619694254</v>
      </c>
      <c r="AV46" s="23">
        <f>EXP(-LN(2)/25)*AV45+(1-EXP(-LN(2)/25))/(LN(2)/25)*Calculateur!AQ46*Calculateur!AS46*VLOOKUP('Données projet'!$B$10,Paramètres!$A$1:$I$89,3,0)*0.475*44/12</f>
        <v>9.0328112422124942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50.21381986190675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79.398641219259446</v>
      </c>
      <c r="T47" s="62">
        <f t="shared" si="34"/>
        <v>363.58761819413922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46.141113324110997</v>
      </c>
      <c r="AA47" s="23">
        <f>EXP(-LN(2)/25)*AA46+(1-EXP(-LN(2)/25))/(LN(2)/25)*Calculateur!V47*Calculateur!X47*VLOOKUP('Données projet'!$B$9,Paramètres!$A$1:$I$89,3,0)*0.475*44/12</f>
        <v>10.040924050033482</v>
      </c>
      <c r="AB47" s="23">
        <f>EXP(-LN(2)/2)*AB46+(1-EXP(-LN(2)/2))/(LN(2)/2)*V47*Y47*VLOOKUP('Données projet'!$B$9,Paramètres!$A$1:$I$89,3,0)*0.475*44/12</f>
        <v>0</v>
      </c>
      <c r="AC47" s="24">
        <f t="shared" si="3"/>
        <v>56.182037374144478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70.906504965960835</v>
      </c>
      <c r="AO47" s="62">
        <f t="shared" si="36"/>
        <v>321.54403976139344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40.373474158597119</v>
      </c>
      <c r="AV47" s="23">
        <f>EXP(-LN(2)/25)*AV46+(1-EXP(-LN(2)/25))/(LN(2)/25)*Calculateur!AQ47*Calculateur!AS47*VLOOKUP('Données projet'!$B$10,Paramètres!$A$1:$I$89,3,0)*0.475*44/12</f>
        <v>8.7858085437792948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49.159282702376416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79.398641219259446</v>
      </c>
      <c r="T48" s="62">
        <f t="shared" si="34"/>
        <v>363.58761819413922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45.236314235125384</v>
      </c>
      <c r="AA48" s="23">
        <f>EXP(-LN(2)/25)*AA47+(1-EXP(-LN(2)/25))/(LN(2)/25)*Calculateur!V48*Calculateur!X48*VLOOKUP('Données projet'!$B$9,Paramètres!$A$1:$I$89,3,0)*0.475*44/12</f>
        <v>9.7663544538560689</v>
      </c>
      <c r="AB48" s="23">
        <f>EXP(-LN(2)/2)*AB47+(1-EXP(-LN(2)/2))/(LN(2)/2)*V48*Y48*VLOOKUP('Données projet'!$B$9,Paramètres!$A$1:$I$89,3,0)*0.475*44/12</f>
        <v>0</v>
      </c>
      <c r="AC48" s="24">
        <f t="shared" si="3"/>
        <v>55.002668688981451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70.906504965960835</v>
      </c>
      <c r="AO48" s="62">
        <f t="shared" si="36"/>
        <v>321.54403976139344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39.581774955734708</v>
      </c>
      <c r="AV48" s="23">
        <f>EXP(-LN(2)/25)*AV47+(1-EXP(-LN(2)/25))/(LN(2)/25)*Calculateur!AQ48*Calculateur!AS48*VLOOKUP('Données projet'!$B$10,Paramètres!$A$1:$I$89,3,0)*0.475*44/12</f>
        <v>8.5455601471240588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48.127335102858765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79.398641219259446</v>
      </c>
      <c r="T49" s="62">
        <f t="shared" si="34"/>
        <v>363.58761819413922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44.349257704401829</v>
      </c>
      <c r="AA49" s="23">
        <f>EXP(-LN(2)/25)*AA48+(1-EXP(-LN(2)/25))/(LN(2)/25)*Calculateur!V49*Calculateur!X49*VLOOKUP('Données projet'!$B$9,Paramètres!$A$1:$I$89,3,0)*0.475*44/12</f>
        <v>9.4992929777251156</v>
      </c>
      <c r="AB49" s="23">
        <f>EXP(-LN(2)/2)*AB48+(1-EXP(-LN(2)/2))/(LN(2)/2)*V49*Y49*VLOOKUP('Données projet'!$B$9,Paramètres!$A$1:$I$89,3,0)*0.475*44/12</f>
        <v>0</v>
      </c>
      <c r="AC49" s="24">
        <f t="shared" si="3"/>
        <v>53.848550682126941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70.906504965960835</v>
      </c>
      <c r="AO49" s="62">
        <f t="shared" si="36"/>
        <v>321.54403976139344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38.805600491351598</v>
      </c>
      <c r="AV49" s="23">
        <f>EXP(-LN(2)/25)*AV48+(1-EXP(-LN(2)/25))/(LN(2)/25)*Calculateur!AQ49*Calculateur!AS49*VLOOKUP('Données projet'!$B$10,Paramètres!$A$1:$I$89,3,0)*0.475*44/12</f>
        <v>8.3118813555094739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47.117481846861068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79.398641219259446</v>
      </c>
      <c r="T50" s="62">
        <f t="shared" si="34"/>
        <v>363.58761819413922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43.479595811194706</v>
      </c>
      <c r="AA50" s="23">
        <f>EXP(-LN(2)/25)*AA49+(1-EXP(-LN(2)/25))/(LN(2)/25)*Calculateur!V50*Calculateur!X50*VLOOKUP('Données projet'!$B$9,Paramètres!$A$1:$I$89,3,0)*0.475*44/12</f>
        <v>9.2395343117031157</v>
      </c>
      <c r="AB50" s="23">
        <f>EXP(-LN(2)/2)*AB49+(1-EXP(-LN(2)/2))/(LN(2)/2)*V50*Y50*VLOOKUP('Données projet'!$B$9,Paramètres!$A$1:$I$89,3,0)*0.475*44/12</f>
        <v>0</v>
      </c>
      <c r="AC50" s="24">
        <f t="shared" si="3"/>
        <v>52.719130122897823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70.906504965960835</v>
      </c>
      <c r="AO50" s="62">
        <f t="shared" si="36"/>
        <v>321.54403976139344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38.044646334795367</v>
      </c>
      <c r="AV50" s="23">
        <f>EXP(-LN(2)/25)*AV49+(1-EXP(-LN(2)/25))/(LN(2)/25)*Calculateur!AQ50*Calculateur!AS50*VLOOKUP('Données projet'!$B$10,Paramètres!$A$1:$I$89,3,0)*0.475*44/12</f>
        <v>8.0845925227402233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46.12923885753559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79.398641219259446</v>
      </c>
      <c r="T51" s="62">
        <f t="shared" si="34"/>
        <v>363.58761819413922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42.626987457271994</v>
      </c>
      <c r="AA51" s="23">
        <f>EXP(-LN(2)/25)*AA50+(1-EXP(-LN(2)/25))/(LN(2)/25)*Calculateur!V51*Calculateur!X51*VLOOKUP('Données projet'!$B$9,Paramètres!$A$1:$I$89,3,0)*0.475*44/12</f>
        <v>8.9868787600636022</v>
      </c>
      <c r="AB51" s="23">
        <f>EXP(-LN(2)/2)*AB50+(1-EXP(-LN(2)/2))/(LN(2)/2)*V51*Y51*VLOOKUP('Données projet'!$B$9,Paramètres!$A$1:$I$89,3,0)*0.475*44/12</f>
        <v>0</v>
      </c>
      <c r="AC51" s="24">
        <f t="shared" si="3"/>
        <v>51.613866217335598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70.906504965960835</v>
      </c>
      <c r="AO51" s="62">
        <f t="shared" si="36"/>
        <v>321.54403976139344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37.298614025112997</v>
      </c>
      <c r="AV51" s="23">
        <f>EXP(-LN(2)/25)*AV50+(1-EXP(-LN(2)/25))/(LN(2)/25)*Calculateur!AQ51*Calculateur!AS51*VLOOKUP('Données projet'!$B$10,Paramètres!$A$1:$I$89,3,0)*0.475*44/12</f>
        <v>7.863518915055649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45.162132940168647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79.398641219259446</v>
      </c>
      <c r="T52" s="62">
        <f t="shared" si="34"/>
        <v>363.58761819413922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41.791098233129965</v>
      </c>
      <c r="AA52" s="23">
        <f>EXP(-LN(2)/25)*AA51+(1-EXP(-LN(2)/25))/(LN(2)/25)*Calculateur!V52*Calculateur!X52*VLOOKUP('Données projet'!$B$9,Paramètres!$A$1:$I$89,3,0)*0.475*44/12</f>
        <v>8.7411320877702483</v>
      </c>
      <c r="AB52" s="23">
        <f>EXP(-LN(2)/2)*AB51+(1-EXP(-LN(2)/2))/(LN(2)/2)*V52*Y52*VLOOKUP('Données projet'!$B$9,Paramètres!$A$1:$I$89,3,0)*0.475*44/12</f>
        <v>0</v>
      </c>
      <c r="AC52" s="24">
        <f t="shared" si="3"/>
        <v>50.532230320900211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70.906504965960835</v>
      </c>
      <c r="AO52" s="62">
        <f t="shared" si="36"/>
        <v>321.54403976139344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36.56721095398872</v>
      </c>
      <c r="AV52" s="23">
        <f>EXP(-LN(2)/25)*AV51+(1-EXP(-LN(2)/25))/(LN(2)/25)*Calculateur!AQ52*Calculateur!AS52*VLOOKUP('Données projet'!$B$10,Paramètres!$A$1:$I$89,3,0)*0.475*44/12</f>
        <v>7.6484905767989648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44.215701530787683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79.398641219259446</v>
      </c>
      <c r="T53" s="62">
        <f t="shared" si="34"/>
        <v>363.58761819413922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40.971600286831276</v>
      </c>
      <c r="AA53" s="23">
        <f>EXP(-LN(2)/25)*AA52+(1-EXP(-LN(2)/25))/(LN(2)/25)*Calculateur!V53*Calculateur!X53*VLOOKUP('Données projet'!$B$9,Paramètres!$A$1:$I$89,3,0)*0.475*44/12</f>
        <v>8.5021053711540127</v>
      </c>
      <c r="AB53" s="23">
        <f>EXP(-LN(2)/2)*AB52+(1-EXP(-LN(2)/2))/(LN(2)/2)*V53*Y53*VLOOKUP('Données projet'!$B$9,Paramètres!$A$1:$I$89,3,0)*0.475*44/12</f>
        <v>0</v>
      </c>
      <c r="AC53" s="24">
        <f t="shared" si="3"/>
        <v>49.473705657985292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70.906504965960835</v>
      </c>
      <c r="AO53" s="62">
        <f t="shared" si="36"/>
        <v>321.54403976139344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35.850150250977364</v>
      </c>
      <c r="AV53" s="23">
        <f>EXP(-LN(2)/25)*AV52+(1-EXP(-LN(2)/25))/(LN(2)/25)*Calculateur!AQ53*Calculateur!AS53*VLOOKUP('Données projet'!$B$10,Paramètres!$A$1:$I$89,3,0)*0.475*44/12</f>
        <v>7.4393421997597589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43.289492450737121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79.398641219259446</v>
      </c>
      <c r="T54" s="62">
        <f t="shared" si="34"/>
        <v>363.58761819413922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40.16817219541511</v>
      </c>
      <c r="AA54" s="23">
        <f>EXP(-LN(2)/25)*AA53+(1-EXP(-LN(2)/25))/(LN(2)/25)*Calculateur!V54*Calculateur!X54*VLOOKUP('Données projet'!$B$9,Paramètres!$A$1:$I$89,3,0)*0.475*44/12</f>
        <v>8.2696148526735165</v>
      </c>
      <c r="AB54" s="23">
        <f>EXP(-LN(2)/2)*AB53+(1-EXP(-LN(2)/2))/(LN(2)/2)*V54*Y54*VLOOKUP('Données projet'!$B$9,Paramètres!$A$1:$I$89,3,0)*0.475*44/12</f>
        <v>0</v>
      </c>
      <c r="AC54" s="24">
        <f t="shared" si="3"/>
        <v>48.437787048088623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70.906504965960835</v>
      </c>
      <c r="AO54" s="62">
        <f t="shared" si="36"/>
        <v>321.54403976139344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35.147150670988218</v>
      </c>
      <c r="AV54" s="23">
        <f>EXP(-LN(2)/25)*AV53+(1-EXP(-LN(2)/25))/(LN(2)/25)*Calculateur!AQ54*Calculateur!AS54*VLOOKUP('Données projet'!$B$10,Paramètres!$A$1:$I$89,3,0)*0.475*44/12</f>
        <v>7.2359129960893247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42.383063667077543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79.398641219259446</v>
      </c>
      <c r="T55" s="62">
        <f t="shared" si="34"/>
        <v>363.58761819413922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39.380498838828871</v>
      </c>
      <c r="AA55" s="23">
        <f>EXP(-LN(2)/25)*AA54+(1-EXP(-LN(2)/25))/(LN(2)/25)*Calculateur!V55*Calculateur!X55*VLOOKUP('Données projet'!$B$9,Paramètres!$A$1:$I$89,3,0)*0.475*44/12</f>
        <v>8.0434817996470152</v>
      </c>
      <c r="AB55" s="23">
        <f>EXP(-LN(2)/2)*AB54+(1-EXP(-LN(2)/2))/(LN(2)/2)*V55*Y55*VLOOKUP('Données projet'!$B$9,Paramètres!$A$1:$I$89,3,0)*0.475*44/12</f>
        <v>0</v>
      </c>
      <c r="AC55" s="24">
        <f t="shared" si="3"/>
        <v>47.423980638475882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70.906504965960835</v>
      </c>
      <c r="AO55" s="62">
        <f t="shared" si="36"/>
        <v>321.54403976139344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34.45793648397526</v>
      </c>
      <c r="AV55" s="23">
        <f>EXP(-LN(2)/25)*AV54+(1-EXP(-LN(2)/25))/(LN(2)/25)*Calculateur!AQ55*Calculateur!AS55*VLOOKUP('Données projet'!$B$10,Paramètres!$A$1:$I$89,3,0)*0.475*44/12</f>
        <v>7.0380465746911351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41.495983058666397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79.398641219259446</v>
      </c>
      <c r="T56" s="62">
        <f t="shared" si="34"/>
        <v>363.58761819413922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38.608271276331976</v>
      </c>
      <c r="AA56" s="23">
        <f>EXP(-LN(2)/25)*AA55+(1-EXP(-LN(2)/25))/(LN(2)/25)*Calculateur!V56*Calculateur!X56*VLOOKUP('Données projet'!$B$9,Paramètres!$A$1:$I$89,3,0)*0.475*44/12</f>
        <v>7.8235323668473429</v>
      </c>
      <c r="AB56" s="23">
        <f>EXP(-LN(2)/2)*AB55+(1-EXP(-LN(2)/2))/(LN(2)/2)*V56*Y56*VLOOKUP('Données projet'!$B$9,Paramètres!$A$1:$I$89,3,0)*0.475*44/12</f>
        <v>0</v>
      </c>
      <c r="AC56" s="24">
        <f t="shared" si="3"/>
        <v>46.431803643179322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70.906504965960835</v>
      </c>
      <c r="AO56" s="62">
        <f t="shared" si="36"/>
        <v>321.54403976139344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33.782237366790476</v>
      </c>
      <c r="AV56" s="23">
        <f>EXP(-LN(2)/25)*AV55+(1-EXP(-LN(2)/25))/(LN(2)/25)*Calculateur!AQ56*Calculateur!AS56*VLOOKUP('Données projet'!$B$10,Paramètres!$A$1:$I$89,3,0)*0.475*44/12</f>
        <v>6.845590820991422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40.627828187781901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79.398641219259446</v>
      </c>
      <c r="T57" s="62">
        <f t="shared" si="34"/>
        <v>363.58761819413922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37.851186625323344</v>
      </c>
      <c r="AA57" s="23">
        <f>EXP(-LN(2)/25)*AA56+(1-EXP(-LN(2)/25))/(LN(2)/25)*Calculateur!V57*Calculateur!X57*VLOOKUP('Données projet'!$B$9,Paramètres!$A$1:$I$89,3,0)*0.475*44/12</f>
        <v>7.6095974628542162</v>
      </c>
      <c r="AB57" s="23">
        <f>EXP(-LN(2)/2)*AB56+(1-EXP(-LN(2)/2))/(LN(2)/2)*V57*Y57*VLOOKUP('Données projet'!$B$9,Paramètres!$A$1:$I$89,3,0)*0.475*44/12</f>
        <v>0</v>
      </c>
      <c r="AC57" s="24">
        <f t="shared" si="3"/>
        <v>45.460784088177562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70.906504965960835</v>
      </c>
      <c r="AO57" s="62">
        <f t="shared" si="36"/>
        <v>321.54403976139344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33.119788297157918</v>
      </c>
      <c r="AV57" s="23">
        <f>EXP(-LN(2)/25)*AV56+(1-EXP(-LN(2)/25))/(LN(2)/25)*Calculateur!AQ57*Calculateur!AS57*VLOOKUP('Données projet'!$B$10,Paramètres!$A$1:$I$89,3,0)*0.475*44/12</f>
        <v>6.6583977799974363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39.778186077155354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79.398641219259446</v>
      </c>
      <c r="T58" s="62">
        <f t="shared" si="34"/>
        <v>363.58761819413922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37.108947942544951</v>
      </c>
      <c r="AA58" s="23">
        <f>EXP(-LN(2)/25)*AA57+(1-EXP(-LN(2)/25))/(LN(2)/25)*Calculateur!V58*Calculateur!X58*VLOOKUP('Données projet'!$B$9,Paramètres!$A$1:$I$89,3,0)*0.475*44/12</f>
        <v>7.401512620061129</v>
      </c>
      <c r="AB58" s="23">
        <f>EXP(-LN(2)/2)*AB57+(1-EXP(-LN(2)/2))/(LN(2)/2)*V58*Y58*VLOOKUP('Données projet'!$B$9,Paramètres!$A$1:$I$89,3,0)*0.475*44/12</f>
        <v>0</v>
      </c>
      <c r="AC58" s="24">
        <f t="shared" si="3"/>
        <v>44.510460562606077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70.906504965960835</v>
      </c>
      <c r="AO58" s="62">
        <f t="shared" si="36"/>
        <v>321.54403976139344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32.470329449726819</v>
      </c>
      <c r="AV58" s="23">
        <f>EXP(-LN(2)/25)*AV57+(1-EXP(-LN(2)/25))/(LN(2)/25)*Calculateur!AQ58*Calculateur!AS58*VLOOKUP('Données projet'!$B$10,Paramètres!$A$1:$I$89,3,0)*0.475*44/12</f>
        <v>6.4763235425534855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38.946652992280306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79.398641219259446</v>
      </c>
      <c r="T59" s="62">
        <f t="shared" si="34"/>
        <v>363.58761819413922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36.381264107614946</v>
      </c>
      <c r="AA59" s="23">
        <f>EXP(-LN(2)/25)*AA58+(1-EXP(-LN(2)/25))/(LN(2)/25)*Calculateur!V59*Calculateur!X59*VLOOKUP('Données projet'!$B$9,Paramètres!$A$1:$I$89,3,0)*0.475*44/12</f>
        <v>7.1991178682369252</v>
      </c>
      <c r="AB59" s="23">
        <f>EXP(-LN(2)/2)*AB58+(1-EXP(-LN(2)/2))/(LN(2)/2)*V59*Y59*VLOOKUP('Données projet'!$B$9,Paramètres!$A$1:$I$89,3,0)*0.475*44/12</f>
        <v>0</v>
      </c>
      <c r="AC59" s="24">
        <f t="shared" si="3"/>
        <v>43.580381975851871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70.906504965960835</v>
      </c>
      <c r="AO59" s="62">
        <f t="shared" si="36"/>
        <v>321.54403976139344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31.833606094163063</v>
      </c>
      <c r="AV59" s="23">
        <f>EXP(-LN(2)/25)*AV58+(1-EXP(-LN(2)/25))/(LN(2)/25)*Calculateur!AQ59*Calculateur!AS59*VLOOKUP('Données projet'!$B$10,Paramètres!$A$1:$I$89,3,0)*0.475*44/12</f>
        <v>6.2992281347073069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38.132834228870372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79.398641219259446</v>
      </c>
      <c r="T60" s="62">
        <f t="shared" si="34"/>
        <v>363.58761819413922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35.667849708844606</v>
      </c>
      <c r="AA60" s="23">
        <f>EXP(-LN(2)/25)*AA59+(1-EXP(-LN(2)/25))/(LN(2)/25)*Calculateur!V60*Calculateur!X60*VLOOKUP('Données projet'!$B$9,Paramètres!$A$1:$I$89,3,0)*0.475*44/12</f>
        <v>7.0022576115448318</v>
      </c>
      <c r="AB60" s="23">
        <f>EXP(-LN(2)/2)*AB59+(1-EXP(-LN(2)/2))/(LN(2)/2)*V60*Y60*VLOOKUP('Données projet'!$B$9,Paramètres!$A$1:$I$89,3,0)*0.475*44/12</f>
        <v>0</v>
      </c>
      <c r="AC60" s="24">
        <f t="shared" si="3"/>
        <v>42.670107320389441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70.906504965960835</v>
      </c>
      <c r="AO60" s="62">
        <f t="shared" si="36"/>
        <v>321.54403976139344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31.209368495239016</v>
      </c>
      <c r="AV60" s="23">
        <f>EXP(-LN(2)/25)*AV59+(1-EXP(-LN(2)/25))/(LN(2)/25)*Calculateur!AQ60*Calculateur!AS60*VLOOKUP('Données projet'!$B$10,Paramètres!$A$1:$I$89,3,0)*0.475*44/12</f>
        <v>6.1269754101017249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37.33634390534074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79.398641219259446</v>
      </c>
      <c r="T61" s="62">
        <f t="shared" si="34"/>
        <v>363.58761819413922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34.968424931294336</v>
      </c>
      <c r="AA61" s="23">
        <f>EXP(-LN(2)/25)*AA60+(1-EXP(-LN(2)/25))/(LN(2)/25)*Calculateur!V61*Calculateur!X61*VLOOKUP('Données projet'!$B$9,Paramètres!$A$1:$I$89,3,0)*0.475*44/12</f>
        <v>6.8107805089244149</v>
      </c>
      <c r="AB61" s="23">
        <f>EXP(-LN(2)/2)*AB60+(1-EXP(-LN(2)/2))/(LN(2)/2)*V61*Y61*VLOOKUP('Données projet'!$B$9,Paramètres!$A$1:$I$89,3,0)*0.475*44/12</f>
        <v>0</v>
      </c>
      <c r="AC61" s="24">
        <f t="shared" si="3"/>
        <v>41.779205440218753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70.906504965960835</v>
      </c>
      <c r="AO61" s="62">
        <f t="shared" si="36"/>
        <v>321.54403976139344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30.597371814882528</v>
      </c>
      <c r="AV61" s="23">
        <f>EXP(-LN(2)/25)*AV60+(1-EXP(-LN(2)/25))/(LN(2)/25)*Calculateur!AQ61*Calculateur!AS61*VLOOKUP('Données projet'!$B$10,Paramètres!$A$1:$I$89,3,0)*0.475*44/12</f>
        <v>5.9594329453088601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36.55680476019139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79.398641219259446</v>
      </c>
      <c r="T62" s="62">
        <f t="shared" si="34"/>
        <v>363.58761819413922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34.282715447024835</v>
      </c>
      <c r="AA62" s="23">
        <f>EXP(-LN(2)/25)*AA61+(1-EXP(-LN(2)/25))/(LN(2)/25)*Calculateur!V62*Calculateur!X62*VLOOKUP('Données projet'!$B$9,Paramètres!$A$1:$I$89,3,0)*0.475*44/12</f>
        <v>6.6245393577444958</v>
      </c>
      <c r="AB62" s="23">
        <f>EXP(-LN(2)/2)*AB61+(1-EXP(-LN(2)/2))/(LN(2)/2)*V62*Y62*VLOOKUP('Données projet'!$B$9,Paramètres!$A$1:$I$89,3,0)*0.475*44/12</f>
        <v>0</v>
      </c>
      <c r="AC62" s="24">
        <f t="shared" si="3"/>
        <v>40.90725480476933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70.906504965960835</v>
      </c>
      <c r="AO62" s="62">
        <f t="shared" si="36"/>
        <v>321.54403976139344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29.997376016146713</v>
      </c>
      <c r="AV62" s="23">
        <f>EXP(-LN(2)/25)*AV61+(1-EXP(-LN(2)/25))/(LN(2)/25)*Calculateur!AQ62*Calculateur!AS62*VLOOKUP('Données projet'!$B$10,Paramètres!$A$1:$I$89,3,0)*0.475*44/12</f>
        <v>5.7964719380264311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35.793847954173145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79.398641219259446</v>
      </c>
      <c r="T63" s="62">
        <f t="shared" si="34"/>
        <v>363.58761819413922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33.610452307500374</v>
      </c>
      <c r="AA63" s="23">
        <f>EXP(-LN(2)/25)*AA62+(1-EXP(-LN(2)/25))/(LN(2)/25)*Calculateur!V63*Calculateur!X63*VLOOKUP('Données projet'!$B$9,Paramètres!$A$1:$I$89,3,0)*0.475*44/12</f>
        <v>6.443390980637588</v>
      </c>
      <c r="AB63" s="23">
        <f>EXP(-LN(2)/2)*AB62+(1-EXP(-LN(2)/2))/(LN(2)/2)*V63*Y63*VLOOKUP('Données projet'!$B$9,Paramètres!$A$1:$I$89,3,0)*0.475*44/12</f>
        <v>0</v>
      </c>
      <c r="AC63" s="24">
        <f t="shared" si="3"/>
        <v>40.053843288137962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70.906504965960835</v>
      </c>
      <c r="AO63" s="62">
        <f t="shared" si="36"/>
        <v>321.54403976139344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29.409145769062807</v>
      </c>
      <c r="AV63" s="23">
        <f>EXP(-LN(2)/25)*AV62+(1-EXP(-LN(2)/25))/(LN(2)/25)*Calculateur!AQ63*Calculateur!AS63*VLOOKUP('Données projet'!$B$10,Paramètres!$A$1:$I$89,3,0)*0.475*44/12</f>
        <v>5.6379671080578868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35.047112877120696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79.398641219259446</v>
      </c>
      <c r="T64" s="62">
        <f t="shared" si="34"/>
        <v>363.58761819413922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32.951371838101956</v>
      </c>
      <c r="AA64" s="23">
        <f>EXP(-LN(2)/25)*AA63+(1-EXP(-LN(2)/25))/(LN(2)/25)*Calculateur!V64*Calculateur!X64*VLOOKUP('Données projet'!$B$9,Paramètres!$A$1:$I$89,3,0)*0.475*44/12</f>
        <v>6.267196115428848</v>
      </c>
      <c r="AB64" s="23">
        <f>EXP(-LN(2)/2)*AB63+(1-EXP(-LN(2)/2))/(LN(2)/2)*V64*Y64*VLOOKUP('Données projet'!$B$9,Paramètres!$A$1:$I$89,3,0)*0.475*44/12</f>
        <v>0</v>
      </c>
      <c r="AC64" s="24">
        <f t="shared" si="3"/>
        <v>39.218567953530801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70.906504965960835</v>
      </c>
      <c r="AO64" s="62">
        <f t="shared" si="36"/>
        <v>321.54403976139344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28.832450358339194</v>
      </c>
      <c r="AV64" s="23">
        <f>EXP(-LN(2)/25)*AV63+(1-EXP(-LN(2)/25))/(LN(2)/25)*Calculateur!AQ64*Calculateur!AS64*VLOOKUP('Données projet'!$B$10,Paramètres!$A$1:$I$89,3,0)*0.475*44/12</f>
        <v>5.4837966010002397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34.316246959339438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79.398641219259446</v>
      </c>
      <c r="T65" s="62">
        <f t="shared" si="34"/>
        <v>363.58761819413922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32.305215534709049</v>
      </c>
      <c r="AA65" s="23">
        <f>EXP(-LN(2)/25)*AA64+(1-EXP(-LN(2)/25))/(LN(2)/25)*Calculateur!V65*Calculateur!X65*VLOOKUP('Données projet'!$B$9,Paramètres!$A$1:$I$89,3,0)*0.475*44/12</f>
        <v>6.0958193080749261</v>
      </c>
      <c r="AB65" s="23">
        <f>EXP(-LN(2)/2)*AB64+(1-EXP(-LN(2)/2))/(LN(2)/2)*V65*Y65*VLOOKUP('Données projet'!$B$9,Paramètres!$A$1:$I$89,3,0)*0.475*44/12</f>
        <v>0</v>
      </c>
      <c r="AC65" s="24">
        <f t="shared" si="3"/>
        <v>38.401034842783972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70.906504965960835</v>
      </c>
      <c r="AO65" s="62">
        <f t="shared" si="36"/>
        <v>321.54403976139344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28.267063592870404</v>
      </c>
      <c r="AV65" s="23">
        <f>EXP(-LN(2)/25)*AV64+(1-EXP(-LN(2)/25))/(LN(2)/25)*Calculateur!AQ65*Calculateur!AS65*VLOOKUP('Données projet'!$B$10,Paramètres!$A$1:$I$89,3,0)*0.475*44/12</f>
        <v>5.3338418945655581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33.600905487435959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79.398641219259446</v>
      </c>
      <c r="T66" s="62">
        <f t="shared" si="34"/>
        <v>363.58761819413922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31.67172996230925</v>
      </c>
      <c r="AA66" s="23">
        <f>EXP(-LN(2)/25)*AA65+(1-EXP(-LN(2)/25))/(LN(2)/25)*Calculateur!V66*Calculateur!X66*VLOOKUP('Données projet'!$B$9,Paramètres!$A$1:$I$89,3,0)*0.475*44/12</f>
        <v>5.9291288085304119</v>
      </c>
      <c r="AB66" s="23">
        <f>EXP(-LN(2)/2)*AB65+(1-EXP(-LN(2)/2))/(LN(2)/2)*V66*Y66*VLOOKUP('Données projet'!$B$9,Paramètres!$A$1:$I$89,3,0)*0.475*44/12</f>
        <v>0</v>
      </c>
      <c r="AC66" s="24">
        <f t="shared" si="3"/>
        <v>37.600858770839665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70.906504965960835</v>
      </c>
      <c r="AO66" s="62">
        <f t="shared" si="36"/>
        <v>321.54403976139344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27.712763717020579</v>
      </c>
      <c r="AV66" s="23">
        <f>EXP(-LN(2)/25)*AV65+(1-EXP(-LN(2)/25))/(LN(2)/25)*Calculateur!AQ66*Calculateur!AS66*VLOOKUP('Données projet'!$B$10,Paramètres!$A$1:$I$89,3,0)*0.475*44/12</f>
        <v>5.1879877074641083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32.900751424484689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79.398641219259446</v>
      </c>
      <c r="T67" s="62">
        <f t="shared" si="34"/>
        <v>363.58761819413922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31.050666655596164</v>
      </c>
      <c r="AA67" s="23">
        <f>EXP(-LN(2)/25)*AA66+(1-EXP(-LN(2)/25))/(LN(2)/25)*Calculateur!V67*Calculateur!X67*VLOOKUP('Données projet'!$B$9,Paramètres!$A$1:$I$89,3,0)*0.475*44/12</f>
        <v>5.766996469461815</v>
      </c>
      <c r="AB67" s="23">
        <f>EXP(-LN(2)/2)*AB66+(1-EXP(-LN(2)/2))/(LN(2)/2)*V67*Y67*VLOOKUP('Données projet'!$B$9,Paramètres!$A$1:$I$89,3,0)*0.475*44/12</f>
        <v>0</v>
      </c>
      <c r="AC67" s="24">
        <f t="shared" si="3"/>
        <v>36.817663125057976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70.906504965960835</v>
      </c>
      <c r="AO67" s="62">
        <f t="shared" si="36"/>
        <v>321.54403976139344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27.169333323646629</v>
      </c>
      <c r="AV67" s="23">
        <f>EXP(-LN(2)/25)*AV66+(1-EXP(-LN(2)/25))/(LN(2)/25)*Calculateur!AQ67*Calculateur!AS67*VLOOKUP('Données projet'!$B$10,Paramètres!$A$1:$I$89,3,0)*0.475*44/12</f>
        <v>5.0461219107790862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32.215455234425718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79.398641219259446</v>
      </c>
      <c r="T68" s="62">
        <f t="shared" si="34"/>
        <v>363.58761819413922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30.441782021516509</v>
      </c>
      <c r="AA68" s="23">
        <f>EXP(-LN(2)/25)*AA67+(1-EXP(-LN(2)/25))/(LN(2)/25)*Calculateur!V68*Calculateur!X68*VLOOKUP('Données projet'!$B$9,Paramètres!$A$1:$I$89,3,0)*0.475*44/12</f>
        <v>5.6092976477312178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36.051079669247727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70.906504965960835</v>
      </c>
      <c r="AO68" s="62">
        <f t="shared" si="36"/>
        <v>321.54403976139344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26.636559268826932</v>
      </c>
      <c r="AV68" s="23">
        <f>EXP(-LN(2)/25)*AV67+(1-EXP(-LN(2)/25))/(LN(2)/25)*Calculateur!AQ68*Calculateur!AS68*VLOOKUP('Données projet'!$B$10,Paramètres!$A$1:$I$89,3,0)*0.475*44/12</f>
        <v>4.9081354417648138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31.544694710591745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79.398641219259446</v>
      </c>
      <c r="T69" s="62">
        <f t="shared" ref="T69:T132" si="88">$T$3</f>
        <v>363.58761819413922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29.8448372437282</v>
      </c>
      <c r="AA69" s="23">
        <f>EXP(-LN(2)/25)*AA68+(1-EXP(-LN(2)/25))/(LN(2)/25)*Calculateur!V69*Calculateur!X69*VLOOKUP('Données projet'!$B$9,Paramètres!$A$1:$I$89,3,0)*0.475*44/12</f>
        <v>5.455911108573865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35.300748352302065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70.906504965960835</v>
      </c>
      <c r="AO69" s="62">
        <f t="shared" ref="AO69:AO132" si="90">$AO$3</f>
        <v>321.54403976139344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26.114232588262162</v>
      </c>
      <c r="AV69" s="23">
        <f>EXP(-LN(2)/25)*AV68+(1-EXP(-LN(2)/25))/(LN(2)/25)*Calculateur!AQ69*Calculateur!AS69*VLOOKUP('Données projet'!$B$10,Paramètres!$A$1:$I$89,3,0)*0.475*44/12</f>
        <v>4.7739222200021301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30.888154808264293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79.398641219259446</v>
      </c>
      <c r="T70" s="62">
        <f t="shared" si="88"/>
        <v>363.58761819413922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29.259598188931957</v>
      </c>
      <c r="AA70" s="23">
        <f>EXP(-LN(2)/25)*AA69+(1-EXP(-LN(2)/25))/(LN(2)/25)*Calculateur!V70*Calculateur!X70*VLOOKUP('Données projet'!$B$9,Paramètres!$A$1:$I$89,3,0)*0.475*44/12</f>
        <v>5.3067189323960173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34.566317121327977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70.906504965960835</v>
      </c>
      <c r="AO70" s="62">
        <f t="shared" si="90"/>
        <v>321.54403976139344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25.602148415315451</v>
      </c>
      <c r="AV70" s="23">
        <f>EXP(-LN(2)/25)*AV69+(1-EXP(-LN(2)/25))/(LN(2)/25)*Calculateur!AQ70*Calculateur!AS70*VLOOKUP('Données projet'!$B$10,Paramètres!$A$1:$I$89,3,0)*0.475*44/12</f>
        <v>4.6433790658465135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30.245527481161965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79.398641219259446</v>
      </c>
      <c r="T71" s="62">
        <f t="shared" si="88"/>
        <v>363.58761819413922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28.685835315039693</v>
      </c>
      <c r="AA71" s="23">
        <f>EXP(-LN(2)/25)*AA70+(1-EXP(-LN(2)/25))/(LN(2)/25)*Calculateur!V71*Calculateur!X71*VLOOKUP('Données projet'!$B$9,Paramètres!$A$1:$I$89,3,0)*0.475*44/12</f>
        <v>5.1616064241214286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33.84744173916112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70.906504965960835</v>
      </c>
      <c r="AO71" s="62">
        <f t="shared" si="90"/>
        <v>321.54403976139344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25.10010590065972</v>
      </c>
      <c r="AV71" s="23">
        <f>EXP(-LN(2)/25)*AV70+(1-EXP(-LN(2)/25))/(LN(2)/25)*Calculateur!AQ71*Calculateur!AS71*VLOOKUP('Données projet'!$B$10,Paramètres!$A$1:$I$89,3,0)*0.475*44/12</f>
        <v>4.516405621106248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29.616511521765968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79.398641219259446</v>
      </c>
      <c r="T72" s="62">
        <f t="shared" si="88"/>
        <v>363.58761819413922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28.123323581143659</v>
      </c>
      <c r="AA72" s="23">
        <f>EXP(-LN(2)/25)*AA71+(1-EXP(-LN(2)/25))/(LN(2)/25)*Calculateur!V72*Calculateur!X72*VLOOKUP('Données projet'!$B$9,Paramètres!$A$1:$I$89,3,0)*0.475*44/12</f>
        <v>5.0204620250167435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33.143785606160399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70.906504965960835</v>
      </c>
      <c r="AO72" s="62">
        <f t="shared" si="90"/>
        <v>321.54403976139344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24.60790813350069</v>
      </c>
      <c r="AV72" s="23">
        <f>EXP(-LN(2)/25)*AV71+(1-EXP(-LN(2)/25))/(LN(2)/25)*Calculateur!AQ72*Calculateur!AS72*VLOOKUP('Données projet'!$B$10,Paramètres!$A$1:$I$89,3,0)*0.475*44/12</f>
        <v>4.3929042718896483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29.000812405390338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79.398641219259446</v>
      </c>
      <c r="T73" s="62">
        <f t="shared" si="88"/>
        <v>363.58761819413922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27.571842359251047</v>
      </c>
      <c r="AA73" s="23">
        <f>EXP(-LN(2)/25)*AA72+(1-EXP(-LN(2)/25))/(LN(2)/25)*Calculateur!V73*Calculateur!X73*VLOOKUP('Données projet'!$B$9,Paramètres!$A$1:$I$89,3,0)*0.475*44/12</f>
        <v>4.8831772269280371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32.455019586179084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70.906504965960835</v>
      </c>
      <c r="AO73" s="62">
        <f t="shared" si="90"/>
        <v>321.54403976139344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24.125362064344653</v>
      </c>
      <c r="AV73" s="23">
        <f>EXP(-LN(2)/25)*AV72+(1-EXP(-LN(2)/25))/(LN(2)/25)*Calculateur!AQ73*Calculateur!AS73*VLOOKUP('Données projet'!$B$10,Paramètres!$A$1:$I$89,3,0)*0.475*44/12</f>
        <v>4.2727800735620303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28.398142137906682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79.398641219259446</v>
      </c>
      <c r="T74" s="62">
        <f t="shared" si="88"/>
        <v>363.58761819413922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27.031175347749414</v>
      </c>
      <c r="AA74" s="23">
        <f>EXP(-LN(2)/25)*AA73+(1-EXP(-LN(2)/25))/(LN(2)/25)*Calculateur!V74*Calculateur!X74*VLOOKUP('Données projet'!$B$9,Paramètres!$A$1:$I$89,3,0)*0.475*44/12</f>
        <v>4.7496464888625605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31.780821836611974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70.906504965960835</v>
      </c>
      <c r="AO74" s="62">
        <f t="shared" si="90"/>
        <v>321.54403976139344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23.652278429280727</v>
      </c>
      <c r="AV74" s="23">
        <f>EXP(-LN(2)/25)*AV73+(1-EXP(-LN(2)/25))/(LN(2)/25)*Calculateur!AQ74*Calculateur!AS74*VLOOKUP('Données projet'!$B$10,Paramètres!$A$1:$I$89,3,0)*0.475*44/12</f>
        <v>4.1559406777547379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27.808219107035466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79.398641219259446</v>
      </c>
      <c r="T75" s="62">
        <f t="shared" si="88"/>
        <v>363.58761819413922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26.501110486569015</v>
      </c>
      <c r="AA75" s="23">
        <f>EXP(-LN(2)/25)*AA74+(1-EXP(-LN(2)/25))/(LN(2)/25)*Calculateur!V75*Calculateur!X75*VLOOKUP('Données projet'!$B$9,Paramètres!$A$1:$I$89,3,0)*0.475*44/12</f>
        <v>4.6197671558515605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31.120877642420574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70.906504965960835</v>
      </c>
      <c r="AO75" s="62">
        <f t="shared" si="90"/>
        <v>321.54403976139344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23.188471675747881</v>
      </c>
      <c r="AV75" s="23">
        <f>EXP(-LN(2)/25)*AV74+(1-EXP(-LN(2)/25))/(LN(2)/25)*Calculateur!AQ75*Calculateur!AS75*VLOOKUP('Données projet'!$B$10,Paramètres!$A$1:$I$89,3,0)*0.475*44/12</f>
        <v>4.0422962613701126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27.230767937117992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79.398641219259446</v>
      </c>
      <c r="T76" s="62">
        <f t="shared" si="88"/>
        <v>363.58761819413922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25.981439874008721</v>
      </c>
      <c r="AA76" s="23">
        <f>EXP(-LN(2)/25)*AA75+(1-EXP(-LN(2)/25))/(LN(2)/25)*Calculateur!V76*Calculateur!X76*VLOOKUP('Données projet'!$B$9,Paramètres!$A$1:$I$89,3,0)*0.475*44/12</f>
        <v>4.4934393800318038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30.474879254040523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70.906504965960835</v>
      </c>
      <c r="AO76" s="62">
        <f t="shared" si="90"/>
        <v>321.54403976139344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22.733759889757625</v>
      </c>
      <c r="AV76" s="23">
        <f>EXP(-LN(2)/25)*AV75+(1-EXP(-LN(2)/25))/(LN(2)/25)*Calculateur!AQ76*Calculateur!AS76*VLOOKUP('Données projet'!$B$10,Paramètres!$A$1:$I$89,3,0)*0.475*44/12</f>
        <v>3.9317594575278254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26.66551934728545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79.398641219259446</v>
      </c>
      <c r="T77" s="62">
        <f t="shared" si="88"/>
        <v>363.58761819413922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25.47195968519296</v>
      </c>
      <c r="AA77" s="23">
        <f>EXP(-LN(2)/25)*AA76+(1-EXP(-LN(2)/25))/(LN(2)/25)*Calculateur!V77*Calculateur!X77*VLOOKUP('Données projet'!$B$9,Paramètres!$A$1:$I$89,3,0)*0.475*44/12</f>
        <v>4.3705660438851268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29.842525729078087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70.906504965960835</v>
      </c>
      <c r="AO77" s="62">
        <f t="shared" si="90"/>
        <v>321.54403976139344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22.287964724543833</v>
      </c>
      <c r="AV77" s="23">
        <f>EXP(-LN(2)/25)*AV76+(1-EXP(-LN(2)/25))/(LN(2)/25)*Calculateur!AQ77*Calculateur!AS77*VLOOKUP('Données projet'!$B$10,Paramètres!$A$1:$I$89,3,0)*0.475*44/12</f>
        <v>3.8242452883994833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26.112210012943315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79.398641219259446</v>
      </c>
      <c r="T78" s="62">
        <f t="shared" si="88"/>
        <v>363.58761819413922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24.972470092127647</v>
      </c>
      <c r="AA78" s="23">
        <f>EXP(-LN(2)/25)*AA77+(1-EXP(-LN(2)/25))/(LN(2)/25)*Calculateur!V78*Calculateur!X78*VLOOKUP('Données projet'!$B$9,Paramètres!$A$1:$I$89,3,0)*0.475*44/12</f>
        <v>4.251052685577009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29.223522777704655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70.906504965960835</v>
      </c>
      <c r="AO78" s="62">
        <f t="shared" si="90"/>
        <v>321.54403976139344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21.850911330611684</v>
      </c>
      <c r="AV78" s="23">
        <f>EXP(-LN(2)/25)*AV77+(1-EXP(-LN(2)/25))/(LN(2)/25)*Calculateur!AQ78*Calculateur!AS78*VLOOKUP('Données projet'!$B$10,Paramètres!$A$1:$I$89,3,0)*0.475*44/12</f>
        <v>3.7196710998798803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25.570582430491562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79.398641219259446</v>
      </c>
      <c r="T79" s="62">
        <f t="shared" si="88"/>
        <v>363.58761819413922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24.482775185323774</v>
      </c>
      <c r="AA79" s="23">
        <f>EXP(-LN(2)/25)*AA78+(1-EXP(-LN(2)/25))/(LN(2)/25)*Calculateur!V79*Calculateur!X79*VLOOKUP('Données projet'!$B$9,Paramètres!$A$1:$I$89,3,0)*0.475*44/12</f>
        <v>4.1348074263367609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28.617582611660534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70.906504965960835</v>
      </c>
      <c r="AO79" s="62">
        <f t="shared" si="90"/>
        <v>321.54403976139344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21.422428287158294</v>
      </c>
      <c r="AV79" s="23">
        <f>EXP(-LN(2)/25)*AV78+(1-EXP(-LN(2)/25))/(LN(2)/25)*Calculateur!AQ79*Calculateur!AS79*VLOOKUP('Données projet'!$B$10,Paramètres!$A$1:$I$89,3,0)*0.475*44/12</f>
        <v>3.6179564980446632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25.040384785202956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79.398641219259446</v>
      </c>
      <c r="T80" s="62">
        <f t="shared" si="88"/>
        <v>363.58761819413922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24.002682896957925</v>
      </c>
      <c r="AA80" s="23">
        <f>EXP(-LN(2)/25)*AA79+(1-EXP(-LN(2)/25))/(LN(2)/25)*Calculateur!V80*Calculateur!X80*VLOOKUP('Données projet'!$B$9,Paramètres!$A$1:$I$89,3,0)*0.475*44/12</f>
        <v>4.0217408998235102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28.024423796781434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70.906504965960835</v>
      </c>
      <c r="AO80" s="62">
        <f t="shared" si="90"/>
        <v>321.54403976139344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21.002347534838176</v>
      </c>
      <c r="AV80" s="23">
        <f>EXP(-LN(2)/25)*AV79+(1-EXP(-LN(2)/25))/(LN(2)/25)*Calculateur!AQ80*Calculateur!AS80*VLOOKUP('Données projet'!$B$10,Paramètres!$A$1:$I$89,3,0)*0.475*44/12</f>
        <v>3.5190232873455685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24.521370822183744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79.398641219259446</v>
      </c>
      <c r="T81" s="62">
        <f t="shared" si="88"/>
        <v>363.58761819413922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23.53200492553955</v>
      </c>
      <c r="AA81" s="23">
        <f>EXP(-LN(2)/25)*AA80+(1-EXP(-LN(2)/25))/(LN(2)/25)*Calculateur!V81*Calculateur!X81*VLOOKUP('Données projet'!$B$9,Paramètres!$A$1:$I$89,3,0)*0.475*44/12</f>
        <v>3.9117661834236741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27.443771108963222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70.906504965960835</v>
      </c>
      <c r="AO81" s="62">
        <f t="shared" si="90"/>
        <v>321.54403976139344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20.590504309847095</v>
      </c>
      <c r="AV81" s="23">
        <f>EXP(-LN(2)/25)*AV80+(1-EXP(-LN(2)/25))/(LN(2)/25)*Calculateur!AQ81*Calculateur!AS81*VLOOKUP('Données projet'!$B$10,Paramètres!$A$1:$I$89,3,0)*0.475*44/12</f>
        <v>3.4227954104957119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24.013299720342808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79.398641219259446</v>
      </c>
      <c r="T82" s="62">
        <f t="shared" si="88"/>
        <v>363.58761819413922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23.070556662055473</v>
      </c>
      <c r="AA82" s="23">
        <f>EXP(-LN(2)/25)*AA81+(1-EXP(-LN(2)/25))/(LN(2)/25)*Calculateur!V82*Calculateur!X82*VLOOKUP('Données projet'!$B$9,Paramètres!$A$1:$I$89,3,0)*0.475*44/12</f>
        <v>3.8047987314271108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26.875355393482586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70.906504965960835</v>
      </c>
      <c r="AO82" s="62">
        <f t="shared" si="90"/>
        <v>321.54403976139344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20.186737079298528</v>
      </c>
      <c r="AV82" s="23">
        <f>EXP(-LN(2)/25)*AV81+(1-EXP(-LN(2)/25))/(LN(2)/25)*Calculateur!AQ82*Calculateur!AS82*VLOOKUP('Données projet'!$B$10,Paramètres!$A$1:$I$89,3,0)*0.475*44/12</f>
        <v>3.329198889998719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23.515935969297246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79.398641219259446</v>
      </c>
      <c r="T83" s="62">
        <f t="shared" si="88"/>
        <v>363.58761819413922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22.618157117562671</v>
      </c>
      <c r="AA83" s="23">
        <f>EXP(-LN(2)/25)*AA82+(1-EXP(-LN(2)/25))/(LN(2)/25)*Calculateur!V83*Calculateur!X83*VLOOKUP('Données projet'!$B$9,Paramètres!$A$1:$I$89,3,0)*0.475*44/12</f>
        <v>3.7007563100305672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26.318913427593237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70.906504965960835</v>
      </c>
      <c r="AO83" s="62">
        <f t="shared" si="90"/>
        <v>321.54403976139344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19.790887477867326</v>
      </c>
      <c r="AV83" s="23">
        <f>EXP(-LN(2)/25)*AV82+(1-EXP(-LN(2)/25))/(LN(2)/25)*Calculateur!AQ83*Calculateur!AS83*VLOOKUP('Données projet'!$B$10,Paramètres!$A$1:$I$89,3,0)*0.475*44/12</f>
        <v>3.2381617712767437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23.029049249144069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79.398641219259446</v>
      </c>
      <c r="T84" s="62">
        <f t="shared" si="88"/>
        <v>363.58761819413922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22.174628852200893</v>
      </c>
      <c r="AA84" s="23">
        <f>EXP(-LN(2)/25)*AA83+(1-EXP(-LN(2)/25))/(LN(2)/25)*Calculateur!V84*Calculateur!X84*VLOOKUP('Données projet'!$B$9,Paramètres!$A$1:$I$89,3,0)*0.475*44/12</f>
        <v>3.5995589341184653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25.774187786319359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70.906504965960835</v>
      </c>
      <c r="AO84" s="62">
        <f t="shared" si="90"/>
        <v>321.54403976139344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19.40280024567577</v>
      </c>
      <c r="AV84" s="23">
        <f>EXP(-LN(2)/25)*AV83+(1-EXP(-LN(2)/25))/(LN(2)/25)*Calculateur!AQ84*Calculateur!AS84*VLOOKUP('Données projet'!$B$10,Paramètres!$A$1:$I$89,3,0)*0.475*44/12</f>
        <v>3.1496140673536543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22.552414313029423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79.398641219259446</v>
      </c>
      <c r="T85" s="62">
        <f t="shared" si="88"/>
        <v>363.58761819413922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21.739797905597332</v>
      </c>
      <c r="AA85" s="23">
        <f>EXP(-LN(2)/25)*AA84+(1-EXP(-LN(2)/25))/(LN(2)/25)*Calculateur!V85*Calculateur!X85*VLOOKUP('Données projet'!$B$9,Paramètres!$A$1:$I$89,3,0)*0.475*44/12</f>
        <v>3.5011288057724186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25.240926711369749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70.906504965960835</v>
      </c>
      <c r="AO85" s="62">
        <f t="shared" si="90"/>
        <v>321.54403976139344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19.022323167397655</v>
      </c>
      <c r="AV85" s="23">
        <f>EXP(-LN(2)/25)*AV84+(1-EXP(-LN(2)/25))/(LN(2)/25)*Calculateur!AQ85*Calculateur!AS85*VLOOKUP('Données projet'!$B$10,Paramètres!$A$1:$I$89,3,0)*0.475*44/12</f>
        <v>3.0634877050508633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22.085810872448519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79.398641219259446</v>
      </c>
      <c r="T86" s="62">
        <f t="shared" si="88"/>
        <v>363.58761819413922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21.313493728635976</v>
      </c>
      <c r="AA86" s="23">
        <f>EXP(-LN(2)/25)*AA85+(1-EXP(-LN(2)/25))/(LN(2)/25)*Calculateur!V86*Calculateur!X86*VLOOKUP('Données projet'!$B$9,Paramètres!$A$1:$I$89,3,0)*0.475*44/12</f>
        <v>3.4053902544622097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24.718883983098184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70.906504965960835</v>
      </c>
      <c r="AO86" s="62">
        <f t="shared" si="90"/>
        <v>321.54403976139344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18.64930701255647</v>
      </c>
      <c r="AV86" s="23">
        <f>EXP(-LN(2)/25)*AV85+(1-EXP(-LN(2)/25))/(LN(2)/25)*Calculateur!AQ86*Calculateur!AS86*VLOOKUP('Données projet'!$B$10,Paramètres!$A$1:$I$89,3,0)*0.475*44/12</f>
        <v>2.979716472654431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21.629023485210901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79.398641219259446</v>
      </c>
      <c r="T87" s="62">
        <f t="shared" si="88"/>
        <v>363.58761819413922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20.895549116564961</v>
      </c>
      <c r="AA87" s="23">
        <f>EXP(-LN(2)/25)*AA86+(1-EXP(-LN(2)/25))/(LN(2)/25)*Calculateur!V87*Calculateur!X87*VLOOKUP('Données projet'!$B$9,Paramètres!$A$1:$I$89,3,0)*0.475*44/12</f>
        <v>3.3122696788722501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24.207818795437213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70.906504965960835</v>
      </c>
      <c r="AO87" s="62">
        <f t="shared" si="90"/>
        <v>321.54403976139344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18.283605476994332</v>
      </c>
      <c r="AV87" s="23">
        <f>EXP(-LN(2)/25)*AV86+(1-EXP(-LN(2)/25))/(LN(2)/25)*Calculateur!AQ87*Calculateur!AS87*VLOOKUP('Données projet'!$B$10,Paramètres!$A$1:$I$89,3,0)*0.475*44/12</f>
        <v>2.8982359690132165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21.181841446007549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79.398641219259446</v>
      </c>
      <c r="T88" s="62">
        <f t="shared" si="88"/>
        <v>363.58761819413922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20.485800143415617</v>
      </c>
      <c r="AA88" s="23">
        <f>EXP(-LN(2)/25)*AA87+(1-EXP(-LN(2)/25))/(LN(2)/25)*Calculateur!V88*Calculateur!X88*VLOOKUP('Données projet'!$B$9,Paramètres!$A$1:$I$89,3,0)*0.475*44/12</f>
        <v>3.2216954903187962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23.707495633734414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70.906504965960835</v>
      </c>
      <c r="AO88" s="62">
        <f t="shared" si="90"/>
        <v>321.54403976139344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17.925075125488654</v>
      </c>
      <c r="AV88" s="23">
        <f>EXP(-LN(2)/25)*AV87+(1-EXP(-LN(2)/25))/(LN(2)/25)*Calculateur!AQ88*Calculateur!AS88*VLOOKUP('Données projet'!$B$10,Paramètres!$A$1:$I$89,3,0)*0.475*44/12</f>
        <v>2.8189835540289443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20.744058679517597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79.398641219259446</v>
      </c>
      <c r="T89" s="62">
        <f t="shared" si="88"/>
        <v>363.58761819413922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20.084086097707534</v>
      </c>
      <c r="AA89" s="23">
        <f>EXP(-LN(2)/25)*AA88+(1-EXP(-LN(2)/25))/(LN(2)/25)*Calculateur!V89*Calculateur!X89*VLOOKUP('Données projet'!$B$9,Paramètres!$A$1:$I$89,3,0)*0.475*44/12</f>
        <v>3.1335980577144262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23.21768415542196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70.906504965960835</v>
      </c>
      <c r="AO89" s="62">
        <f t="shared" si="90"/>
        <v>321.54403976139344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17.573575335494084</v>
      </c>
      <c r="AV89" s="23">
        <f>EXP(-LN(2)/25)*AV88+(1-EXP(-LN(2)/25))/(LN(2)/25)*Calculateur!AQ89*Calculateur!AS89*VLOOKUP('Données projet'!$B$10,Paramètres!$A$1:$I$89,3,0)*0.475*44/12</f>
        <v>2.7418983005001207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20.315473635994206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79.398641219259446</v>
      </c>
      <c r="T90" s="62">
        <f t="shared" si="88"/>
        <v>363.58761819413922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19.690249419414414</v>
      </c>
      <c r="AA90" s="23">
        <f>EXP(-LN(2)/25)*AA89+(1-EXP(-LN(2)/25))/(LN(2)/25)*Calculateur!V90*Calculateur!X90*VLOOKUP('Données projet'!$B$9,Paramètres!$A$1:$I$89,3,0)*0.475*44/12</f>
        <v>3.0479096540374653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22.738159073451879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70.906504965960835</v>
      </c>
      <c r="AO90" s="62">
        <f t="shared" si="90"/>
        <v>321.54403976139344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17.228968241987605</v>
      </c>
      <c r="AV90" s="23">
        <f>EXP(-LN(2)/25)*AV89+(1-EXP(-LN(2)/25))/(LN(2)/25)*Calculateur!AQ90*Calculateur!AS90*VLOOKUP('Données projet'!$B$10,Paramètres!$A$1:$I$89,3,0)*0.475*44/12</f>
        <v>2.66692094728278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19.895889189270385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79.398641219259446</v>
      </c>
      <c r="T91" s="62">
        <f t="shared" si="88"/>
        <v>363.58761819413922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19.304135638165967</v>
      </c>
      <c r="AA91" s="23">
        <f>EXP(-LN(2)/25)*AA90+(1-EXP(-LN(2)/25))/(LN(2)/25)*Calculateur!V91*Calculateur!X91*VLOOKUP('Données projet'!$B$9,Paramètres!$A$1:$I$89,3,0)*0.475*44/12</f>
        <v>2.9645644042652082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22.268700042431174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70.906504965960835</v>
      </c>
      <c r="AO91" s="62">
        <f t="shared" si="90"/>
        <v>321.54403976139344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16.891118683395213</v>
      </c>
      <c r="AV91" s="23">
        <f>EXP(-LN(2)/25)*AV90+(1-EXP(-LN(2)/25))/(LN(2)/25)*Calculateur!AQ91*Calculateur!AS91*VLOOKUP('Données projet'!$B$10,Paramètres!$A$1:$I$89,3,0)*0.475*44/12</f>
        <v>2.593993853732055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19.485112537127268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79.398641219259446</v>
      </c>
      <c r="T92" s="62">
        <f t="shared" si="88"/>
        <v>363.58761819413922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18.92559331266165</v>
      </c>
      <c r="AA92" s="23">
        <f>EXP(-LN(2)/25)*AA91+(1-EXP(-LN(2)/25))/(LN(2)/25)*Calculateur!V92*Calculateur!X92*VLOOKUP('Données projet'!$B$9,Paramètres!$A$1:$I$89,3,0)*0.475*44/12</f>
        <v>2.8834982347309097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21.809091547392562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70.906504965960835</v>
      </c>
      <c r="AO92" s="62">
        <f t="shared" si="90"/>
        <v>321.54403976139344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16.559894148578937</v>
      </c>
      <c r="AV92" s="23">
        <f>EXP(-LN(2)/25)*AV91+(1-EXP(-LN(2)/25))/(LN(2)/25)*Calculateur!AQ92*Calculateur!AS92*VLOOKUP('Données projet'!$B$10,Paramètres!$A$1:$I$89,3,0)*0.475*44/12</f>
        <v>2.523060955389544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19.08295510396848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79.398641219259446</v>
      </c>
      <c r="T93" s="62">
        <f t="shared" si="88"/>
        <v>363.58761819413922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18.554473971272454</v>
      </c>
      <c r="AA93" s="23">
        <f>EXP(-LN(2)/25)*AA92+(1-EXP(-LN(2)/25))/(LN(2)/25)*Calculateur!V93*Calculateur!X93*VLOOKUP('Données projet'!$B$9,Paramètres!$A$1:$I$89,3,0)*0.475*44/12</f>
        <v>2.8046488238656111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21.359122795138067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70.906504965960835</v>
      </c>
      <c r="AO93" s="62">
        <f t="shared" si="90"/>
        <v>321.54403976139344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16.235164724863388</v>
      </c>
      <c r="AV93" s="23">
        <f>EXP(-LN(2)/25)*AV92+(1-EXP(-LN(2)/25))/(LN(2)/25)*Calculateur!AQ93*Calculateur!AS93*VLOOKUP('Données projet'!$B$10,Paramètres!$A$1:$I$89,3,0)*0.475*44/12</f>
        <v>2.4540677208824078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18.689232445745795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79.398641219259446</v>
      </c>
      <c r="T94" s="62">
        <f t="shared" si="88"/>
        <v>363.58761819413922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18.190632053807452</v>
      </c>
      <c r="AA94" s="23">
        <f>EXP(-LN(2)/25)*AA93+(1-EXP(-LN(2)/25))/(LN(2)/25)*Calculateur!V94*Calculateur!X94*VLOOKUP('Données projet'!$B$9,Paramètres!$A$1:$I$89,3,0)*0.475*44/12</f>
        <v>2.7279555542869343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20.918587608094384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70.906504965960835</v>
      </c>
      <c r="AO94" s="62">
        <f t="shared" si="90"/>
        <v>321.54403976139344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15.916803047081512</v>
      </c>
      <c r="AV94" s="23">
        <f>EXP(-LN(2)/25)*AV93+(1-EXP(-LN(2)/25))/(LN(2)/25)*Calculateur!AQ94*Calculateur!AS94*VLOOKUP('Données projet'!$B$10,Paramètres!$A$1:$I$89,3,0)*0.475*44/12</f>
        <v>2.3869611100010659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18.303764157082579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79.398641219259446</v>
      </c>
      <c r="T95" s="62">
        <f t="shared" si="88"/>
        <v>363.58761819413922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17.833924854422282</v>
      </c>
      <c r="AA95" s="23">
        <f>EXP(-LN(2)/25)*AA94+(1-EXP(-LN(2)/25))/(LN(2)/25)*Calculateur!V95*Calculateur!X95*VLOOKUP('Données projet'!$B$9,Paramètres!$A$1:$I$89,3,0)*0.475*44/12</f>
        <v>2.6533594661980104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20.487284320620294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70.906504965960835</v>
      </c>
      <c r="AO95" s="62">
        <f t="shared" si="90"/>
        <v>321.54403976139344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15.604684247619488</v>
      </c>
      <c r="AV95" s="23">
        <f>EXP(-LN(2)/25)*AV94+(1-EXP(-LN(2)/25))/(LN(2)/25)*Calculateur!AQ95*Calculateur!AS95*VLOOKUP('Données projet'!$B$10,Paramètres!$A$1:$I$89,3,0)*0.475*44/12</f>
        <v>2.3216895329232576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17.926373780542747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79.398641219259446</v>
      </c>
      <c r="T96" s="62">
        <f t="shared" si="88"/>
        <v>363.58761819413922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17.484212465647147</v>
      </c>
      <c r="AA96" s="23">
        <f>EXP(-LN(2)/25)*AA95+(1-EXP(-LN(2)/25))/(LN(2)/25)*Calculateur!V96*Calculateur!X96*VLOOKUP('Données projet'!$B$9,Paramètres!$A$1:$I$89,3,0)*0.475*44/12</f>
        <v>2.5808032120607161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20.065015677707862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70.906504965960835</v>
      </c>
      <c r="AO96" s="62">
        <f t="shared" si="90"/>
        <v>321.54403976139344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15.298685907441245</v>
      </c>
      <c r="AV96" s="23">
        <f>EXP(-LN(2)/25)*AV95+(1-EXP(-LN(2)/25))/(LN(2)/25)*Calculateur!AQ96*Calculateur!AS96*VLOOKUP('Données projet'!$B$10,Paramètres!$A$1:$I$89,3,0)*0.475*44/12</f>
        <v>2.2582028105531249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17.556888717994369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79.398641219259446</v>
      </c>
      <c r="T97" s="62">
        <f t="shared" si="88"/>
        <v>363.58761819413922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17.141357723512396</v>
      </c>
      <c r="AA97" s="23">
        <f>EXP(-LN(2)/25)*AA96+(1-EXP(-LN(2)/25))/(LN(2)/25)*Calculateur!V97*Calculateur!X97*VLOOKUP('Données projet'!$B$9,Paramètres!$A$1:$I$89,3,0)*0.475*44/12</f>
        <v>2.5102310125083735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19.65158873602077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70.906504965960835</v>
      </c>
      <c r="AO97" s="62">
        <f t="shared" si="90"/>
        <v>321.54403976139344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14.998688008073339</v>
      </c>
      <c r="AV97" s="23">
        <f>EXP(-LN(2)/25)*AV96+(1-EXP(-LN(2)/25))/(LN(2)/25)*Calculateur!AQ97*Calculateur!AS97*VLOOKUP('Données projet'!$B$10,Paramètres!$A$1:$I$89,3,0)*0.475*44/12</f>
        <v>2.196452135944825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17.195140144018165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79.398641219259446</v>
      </c>
      <c r="T98" s="62">
        <f t="shared" si="88"/>
        <v>363.58761819413922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16.805226153750166</v>
      </c>
      <c r="AA98" s="23">
        <f>EXP(-LN(2)/25)*AA97+(1-EXP(-LN(2)/25))/(LN(2)/25)*Calculateur!V98*Calculateur!X98*VLOOKUP('Données projet'!$B$9,Paramètres!$A$1:$I$89,3,0)*0.475*44/12</f>
        <v>2.4415886134640203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19.246814767214186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70.906504965960835</v>
      </c>
      <c r="AO98" s="62">
        <f t="shared" si="90"/>
        <v>321.54403976139344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14.704572884531386</v>
      </c>
      <c r="AV98" s="23">
        <f>EXP(-LN(2)/25)*AV97+(1-EXP(-LN(2)/25))/(LN(2)/25)*Calculateur!AQ98*Calculateur!AS98*VLOOKUP('Données projet'!$B$10,Paramètres!$A$1:$I$89,3,0)*0.475*44/12</f>
        <v>2.136390036781016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16.840962921312403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79.398641219259446</v>
      </c>
      <c r="T99" s="62">
        <f t="shared" si="88"/>
        <v>363.58761819413922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16.475685919050957</v>
      </c>
      <c r="AA99" s="23">
        <f>EXP(-LN(2)/25)*AA98+(1-EXP(-LN(2)/25))/(LN(2)/25)*Calculateur!V99*Calculateur!X99*VLOOKUP('Données projet'!$B$9,Paramètres!$A$1:$I$89,3,0)*0.475*44/12</f>
        <v>2.374823244431282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18.85050916348224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70.906504965960835</v>
      </c>
      <c r="AO99" s="62">
        <f t="shared" si="90"/>
        <v>321.54403976139344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14.416225179169579</v>
      </c>
      <c r="AV99" s="23">
        <f>EXP(-LN(2)/25)*AV98+(1-EXP(-LN(2)/25))/(LN(2)/25)*Calculateur!AQ99*Calculateur!AS99*VLOOKUP('Données projet'!$B$10,Paramètres!$A$1:$I$89,3,0)*0.475*44/12</f>
        <v>2.0779703388773698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16.494195518046951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79.398641219259446</v>
      </c>
      <c r="T100" s="62">
        <f t="shared" si="88"/>
        <v>363.58761819413922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16.152607767354503</v>
      </c>
      <c r="AA100" s="23">
        <f>EXP(-LN(2)/25)*AA99+(1-EXP(-LN(2)/25))/(LN(2)/25)*Calculateur!V100*Calculateur!X100*VLOOKUP('Données projet'!$B$9,Paramètres!$A$1:$I$89,3,0)*0.475*44/12</f>
        <v>2.309883577925782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18.462491345280284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70.906504965960835</v>
      </c>
      <c r="AO100" s="62">
        <f t="shared" si="90"/>
        <v>321.54403976139344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14.133531796435184</v>
      </c>
      <c r="AV100" s="23">
        <f>EXP(-LN(2)/25)*AV99+(1-EXP(-LN(2)/25))/(LN(2)/25)*Calculateur!AQ100*Calculateur!AS100*VLOOKUP('Données projet'!$B$10,Paramètres!$A$1:$I$89,3,0)*0.475*44/12</f>
        <v>2.0211481306850572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16.154679927120242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79.398641219259446</v>
      </c>
      <c r="T101" s="62">
        <f t="shared" si="88"/>
        <v>363.58761819413922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15.835864981154604</v>
      </c>
      <c r="AA101" s="23">
        <f>EXP(-LN(2)/25)*AA100+(1-EXP(-LN(2)/25))/(LN(2)/25)*Calculateur!V101*Calculateur!X101*VLOOKUP('Données projet'!$B$9,Paramètres!$A$1:$I$89,3,0)*0.475*44/12</f>
        <v>2.2467196900159037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18.082584671170508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70.906504965960835</v>
      </c>
      <c r="AO101" s="62">
        <f t="shared" si="90"/>
        <v>321.54403976139344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13.856381858510272</v>
      </c>
      <c r="AV101" s="23">
        <f>EXP(-LN(2)/25)*AV100+(1-EXP(-LN(2)/25))/(LN(2)/25)*Calculateur!AQ101*Calculateur!AS101*VLOOKUP('Données projet'!$B$10,Paramètres!$A$1:$I$89,3,0)*0.475*44/12</f>
        <v>1.9658797287639134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15.822261587274184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79.398641219259446</v>
      </c>
      <c r="T102" s="62">
        <f t="shared" si="88"/>
        <v>363.58761819413922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15.525333327798061</v>
      </c>
      <c r="AA102" s="23">
        <f>EXP(-LN(2)/25)*AA101+(1-EXP(-LN(2)/25))/(LN(2)/25)*Calculateur!V102*Calculateur!X102*VLOOKUP('Données projet'!$B$9,Paramètres!$A$1:$I$89,3,0)*0.475*44/12</f>
        <v>2.1852830219425652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17.710616349740626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70.906504965960835</v>
      </c>
      <c r="AO102" s="62">
        <f t="shared" si="90"/>
        <v>321.54403976139344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13.584666661823297</v>
      </c>
      <c r="AV102" s="23">
        <f>EXP(-LN(2)/25)*AV101+(1-EXP(-LN(2)/25))/(LN(2)/25)*Calculateur!AQ102*Calculateur!AS102*VLOOKUP('Données projet'!$B$10,Paramètres!$A$1:$I$89,3,0)*0.475*44/12</f>
        <v>1.9121226441997423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15.49678930602304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79.398641219259446</v>
      </c>
      <c r="T103" s="62">
        <f t="shared" si="88"/>
        <v>363.58761819413922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15.220891010758233</v>
      </c>
      <c r="AA103" s="23">
        <f>EXP(-LN(2)/25)*AA102+(1-EXP(-LN(2)/25))/(LN(2)/25)*Calculateur!V103*Calculateur!X103*VLOOKUP('Données projet'!$B$9,Paramètres!$A$1:$I$89,3,0)*0.475*44/12</f>
        <v>2.1255263427885063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17.346417353546741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70.906504965960835</v>
      </c>
      <c r="AO103" s="62">
        <f t="shared" si="90"/>
        <v>321.54403976139344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13.318279634413448</v>
      </c>
      <c r="AV103" s="23">
        <f>EXP(-LN(2)/25)*AV102+(1-EXP(-LN(2)/25))/(LN(2)/25)*Calculateur!AQ103*Calculateur!AS103*VLOOKUP('Données projet'!$B$10,Paramètres!$A$1:$I$89,3,0)*0.475*44/12</f>
        <v>1.8598355499399408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15.178115184353389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79.398641219259446</v>
      </c>
      <c r="T104" s="62">
        <f t="shared" si="88"/>
        <v>363.58761819413922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14.922418621864079</v>
      </c>
      <c r="AA104" s="23">
        <f>EXP(-LN(2)/25)*AA103+(1-EXP(-LN(2)/25))/(LN(2)/25)*Calculateur!V104*Calculateur!X104*VLOOKUP('Données projet'!$B$9,Paramètres!$A$1:$I$89,3,0)*0.475*44/12</f>
        <v>2.0674037131683822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16.989822335032461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70.906504965960835</v>
      </c>
      <c r="AO104" s="62">
        <f t="shared" si="90"/>
        <v>321.54403976139344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13.057116294131063</v>
      </c>
      <c r="AV104" s="23">
        <f>EXP(-LN(2)/25)*AV103+(1-EXP(-LN(2)/25))/(LN(2)/25)*Calculateur!AQ104*Calculateur!AS104*VLOOKUP('Données projet'!$B$10,Paramètres!$A$1:$I$89,3,0)*0.475*44/12</f>
        <v>1.8089782490223323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14.866094543153395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79.398641219259446</v>
      </c>
      <c r="T105" s="62">
        <f t="shared" si="88"/>
        <v>363.58761819413922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14.629799094465957</v>
      </c>
      <c r="AA105" s="23">
        <f>EXP(-LN(2)/25)*AA104+(1-EXP(-LN(2)/25))/(LN(2)/25)*Calculateur!V105*Calculateur!X105*VLOOKUP('Données projet'!$B$9,Paramètres!$A$1:$I$89,3,0)*0.475*44/12</f>
        <v>2.0108704499117565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16.640669544377715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70.906504965960835</v>
      </c>
      <c r="AO105" s="62">
        <f t="shared" si="90"/>
        <v>321.54403976139344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12.801074207657708</v>
      </c>
      <c r="AV105" s="23">
        <f>EXP(-LN(2)/25)*AV104+(1-EXP(-LN(2)/25))/(LN(2)/25)*Calculateur!AQ105*Calculateur!AS105*VLOOKUP('Données projet'!$B$10,Paramètres!$A$1:$I$89,3,0)*0.475*44/12</f>
        <v>1.7595116436727849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14.560585851330492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79.398641219259446</v>
      </c>
      <c r="T106" s="62">
        <f t="shared" si="88"/>
        <v>363.58761819413922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14.342917657519825</v>
      </c>
      <c r="AA106" s="23">
        <f>EXP(-LN(2)/25)*AA105+(1-EXP(-LN(2)/25))/(LN(2)/25)*Calculateur!V106*Calculateur!X106*VLOOKUP('Données projet'!$B$9,Paramètres!$A$1:$I$89,3,0)*0.475*44/12</f>
        <v>1.9558830917118384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16.298800749231663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70.906504965960835</v>
      </c>
      <c r="AO106" s="62">
        <f t="shared" si="90"/>
        <v>321.54403976139344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12.550052950329842</v>
      </c>
      <c r="AV106" s="23">
        <f>EXP(-LN(2)/25)*AV105+(1-EXP(-LN(2)/25))/(LN(2)/25)*Calculateur!AQ106*Calculateur!AS106*VLOOKUP('Données projet'!$B$10,Paramètres!$A$1:$I$89,3,0)*0.475*44/12</f>
        <v>1.7113977052478566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14.261450655577699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79.398641219259446</v>
      </c>
      <c r="T107" s="62">
        <f t="shared" si="88"/>
        <v>363.58761819413922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14.061661790571808</v>
      </c>
      <c r="AA107" s="23">
        <f>EXP(-LN(2)/25)*AA106+(1-EXP(-LN(2)/25))/(LN(2)/25)*Calculateur!V107*Calculateur!X107*VLOOKUP('Données projet'!$B$9,Paramètres!$A$1:$I$89,3,0)*0.475*44/12</f>
        <v>1.9023993657135565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15.964061156285364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70.906504965960835</v>
      </c>
      <c r="AO107" s="62">
        <f t="shared" si="90"/>
        <v>321.54403976139344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12.303954066750327</v>
      </c>
      <c r="AV107" s="23">
        <f>EXP(-LN(2)/25)*AV106+(1-EXP(-LN(2)/25))/(LN(2)/25)*Calculateur!AQ107*Calculateur!AS107*VLOOKUP('Données projet'!$B$10,Paramètres!$A$1:$I$89,3,0)*0.475*44/12</f>
        <v>1.6645994449993602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13.968553511749688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79.398641219259446</v>
      </c>
      <c r="T108" s="62">
        <f t="shared" si="88"/>
        <v>363.58761819413922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13.785921179625502</v>
      </c>
      <c r="AA108" s="23">
        <f>EXP(-LN(2)/25)*AA107+(1-EXP(-LN(2)/25))/(LN(2)/25)*Calculateur!V108*Calculateur!X108*VLOOKUP('Données projet'!$B$9,Paramètres!$A$1:$I$89,3,0)*0.475*44/12</f>
        <v>1.8503781550152847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15.636299334640787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70.906504965960835</v>
      </c>
      <c r="AO108" s="62">
        <f t="shared" si="90"/>
        <v>321.54403976139344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12.062681032172309</v>
      </c>
      <c r="AV108" s="23">
        <f>EXP(-LN(2)/25)*AV107+(1-EXP(-LN(2)/25))/(LN(2)/25)*Calculateur!AQ108*Calculateur!AS108*VLOOKUP('Données projet'!$B$10,Paramètres!$A$1:$I$89,3,0)*0.475*44/12</f>
        <v>1.6190808856383723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13.681761917810681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79.398641219259446</v>
      </c>
      <c r="T109" s="62">
        <f t="shared" si="88"/>
        <v>363.58761819413922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13.515587673874688</v>
      </c>
      <c r="AA109" s="23">
        <f>EXP(-LN(2)/25)*AA108+(1-EXP(-LN(2)/25))/(LN(2)/25)*Calculateur!V109*Calculateur!X109*VLOOKUP('Données projet'!$B$9,Paramètres!$A$1:$I$89,3,0)*0.475*44/12</f>
        <v>1.7997794670592338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15.315367140933921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70.906504965960835</v>
      </c>
      <c r="AO109" s="62">
        <f t="shared" si="90"/>
        <v>321.54403976139344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11.826139214640346</v>
      </c>
      <c r="AV109" s="23">
        <f>EXP(-LN(2)/25)*AV108+(1-EXP(-LN(2)/25))/(LN(2)/25)*Calculateur!AQ109*Calculateur!AS109*VLOOKUP('Données projet'!$B$10,Paramètres!$A$1:$I$89,3,0)*0.475*44/12</f>
        <v>1.5748070336768276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13.400946248317174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79.398641219259446</v>
      </c>
      <c r="T110" s="62">
        <f t="shared" si="88"/>
        <v>363.58761819413922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13.250555243284488</v>
      </c>
      <c r="AA110" s="23">
        <f>EXP(-LN(2)/25)*AA109+(1-EXP(-LN(2)/25))/(LN(2)/25)*Calculateur!V110*Calculateur!X110*VLOOKUP('Données projet'!$B$9,Paramètres!$A$1:$I$89,3,0)*0.475*44/12</f>
        <v>1.7505644028862102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15.001119646170698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70.906504965960835</v>
      </c>
      <c r="AO110" s="62">
        <f t="shared" si="90"/>
        <v>321.54403976139344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11.594235837873923</v>
      </c>
      <c r="AV110" s="23">
        <f>EXP(-LN(2)/25)*AV109+(1-EXP(-LN(2)/25))/(LN(2)/25)*Calculateur!AQ110*Calculateur!AS110*VLOOKUP('Données projet'!$B$10,Paramètres!$A$1:$I$89,3,0)*0.475*44/12</f>
        <v>1.5317438525254321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13.125979690399355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79.398641219259446</v>
      </c>
      <c r="T111" s="62">
        <f t="shared" si="88"/>
        <v>363.58761819413922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12.990719937004343</v>
      </c>
      <c r="AA111" s="23">
        <f>EXP(-LN(2)/25)*AA110+(1-EXP(-LN(2)/25))/(LN(2)/25)*Calculateur!V111*Calculateur!X111*VLOOKUP('Données projet'!$B$9,Paramètres!$A$1:$I$89,3,0)*0.475*44/12</f>
        <v>1.7026951272311057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14.693415064235449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70.906504965960835</v>
      </c>
      <c r="AO111" s="62">
        <f t="shared" si="90"/>
        <v>321.54403976139344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11.366879944878795</v>
      </c>
      <c r="AV111" s="23">
        <f>EXP(-LN(2)/25)*AV110+(1-EXP(-LN(2)/25))/(LN(2)/25)*Calculateur!AQ111*Calculateur!AS111*VLOOKUP('Données projet'!$B$10,Paramètres!$A$1:$I$89,3,0)*0.475*44/12</f>
        <v>1.4898582363272157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12.85673818120601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79.398641219259446</v>
      </c>
      <c r="T112" s="62">
        <f t="shared" si="88"/>
        <v>363.58761819413922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12.735979842596462</v>
      </c>
      <c r="AA112" s="23">
        <f>EXP(-LN(2)/25)*AA111+(1-EXP(-LN(2)/25))/(LN(2)/25)*Calculateur!V112*Calculateur!X112*VLOOKUP('Données projet'!$B$9,Paramètres!$A$1:$I$89,3,0)*0.475*44/12</f>
        <v>1.6561348394361259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14.392114682032588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70.906504965960835</v>
      </c>
      <c r="AO112" s="62">
        <f t="shared" si="90"/>
        <v>321.54403976139344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11.143982362271901</v>
      </c>
      <c r="AV112" s="23">
        <f>EXP(-LN(2)/25)*AV111+(1-EXP(-LN(2)/25))/(LN(2)/25)*Calculateur!AQ112*Calculateur!AS112*VLOOKUP('Données projet'!$B$10,Paramètres!$A$1:$I$89,3,0)*0.475*44/12</f>
        <v>1.4491179845066084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12.59310034677851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79.398641219259446</v>
      </c>
      <c r="T113" s="62">
        <f t="shared" si="88"/>
        <v>363.58761819413922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12.486235046063806</v>
      </c>
      <c r="AA113" s="23">
        <f>EXP(-LN(2)/25)*AA112+(1-EXP(-LN(2)/25))/(LN(2)/25)*Calculateur!V113*Calculateur!X113*VLOOKUP('Données projet'!$B$9,Paramètres!$A$1:$I$89,3,0)*0.475*44/12</f>
        <v>1.610847745159399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14.097082791223205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70.906504965960835</v>
      </c>
      <c r="AO113" s="62">
        <f t="shared" si="90"/>
        <v>321.54403976139344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10.925455665305826</v>
      </c>
      <c r="AV113" s="23">
        <f>EXP(-LN(2)/25)*AV112+(1-EXP(-LN(2)/25))/(LN(2)/25)*Calculateur!AQ113*Calculateur!AS113*VLOOKUP('Données projet'!$B$10,Paramètres!$A$1:$I$89,3,0)*0.475*44/12</f>
        <v>1.4094917770144724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12.334947442320299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79.398641219259446</v>
      </c>
      <c r="T114" s="62">
        <f t="shared" si="88"/>
        <v>363.58761819413922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12.241387592661869</v>
      </c>
      <c r="AA114" s="23">
        <f>EXP(-LN(2)/25)*AA113+(1-EXP(-LN(2)/25))/(LN(2)/25)*Calculateur!V114*Calculateur!X114*VLOOKUP('Données projet'!$B$9,Paramètres!$A$1:$I$89,3,0)*0.475*44/12</f>
        <v>1.566799028857214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13.808186621519084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70.906504965960835</v>
      </c>
      <c r="AO114" s="62">
        <f t="shared" si="90"/>
        <v>321.54403976139344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10.711214143579133</v>
      </c>
      <c r="AV114" s="23">
        <f>EXP(-LN(2)/25)*AV113+(1-EXP(-LN(2)/25))/(LN(2)/25)*Calculateur!AQ114*Calculateur!AS114*VLOOKUP('Données projet'!$B$10,Paramètres!$A$1:$I$89,3,0)*0.475*44/12</f>
        <v>1.3709491502500606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12.082163293829193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79.398641219259446</v>
      </c>
      <c r="T115" s="62">
        <f t="shared" si="88"/>
        <v>363.58761819413922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12.001341448478945</v>
      </c>
      <c r="AA115" s="23">
        <f>EXP(-LN(2)/25)*AA114+(1-EXP(-LN(2)/25))/(LN(2)/25)*Calculateur!V115*Calculateur!X115*VLOOKUP('Données projet'!$B$9,Paramètres!$A$1:$I$89,3,0)*0.475*44/12</f>
        <v>1.5239548270187335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13.525296275497679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70.906504965960835</v>
      </c>
      <c r="AO115" s="62">
        <f t="shared" si="90"/>
        <v>321.54403976139344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10.501173767419074</v>
      </c>
      <c r="AV115" s="23">
        <f>EXP(-LN(2)/25)*AV114+(1-EXP(-LN(2)/25))/(LN(2)/25)*Calculateur!AQ115*Calculateur!AS115*VLOOKUP('Données projet'!$B$10,Paramètres!$A$1:$I$89,3,0)*0.475*44/12</f>
        <v>1.3334604736413902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11.834634241060463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79.398641219259446</v>
      </c>
      <c r="T116" s="62">
        <f t="shared" si="88"/>
        <v>363.58761819413922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11.766002462769757</v>
      </c>
      <c r="AA116" s="23">
        <f>EXP(-LN(2)/25)*AA115+(1-EXP(-LN(2)/25))/(LN(2)/25)*Calculateur!V116*Calculateur!X116*VLOOKUP('Données projet'!$B$9,Paramètres!$A$1:$I$89,3,0)*0.475*44/12</f>
        <v>1.482282202132605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13.248284664902362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70.906504965960835</v>
      </c>
      <c r="AO116" s="62">
        <f t="shared" si="90"/>
        <v>321.54403976139344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10.295252154923535</v>
      </c>
      <c r="AV116" s="23">
        <f>EXP(-LN(2)/25)*AV115+(1-EXP(-LN(2)/25))/(LN(2)/25)*Calculateur!AQ116*Calculateur!AS116*VLOOKUP('Données projet'!$B$10,Paramètres!$A$1:$I$89,3,0)*0.475*44/12</f>
        <v>1.2969969268660277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11.592249081789562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79.398641219259446</v>
      </c>
      <c r="T117" s="62">
        <f t="shared" si="88"/>
        <v>363.58761819413922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11.535278331027719</v>
      </c>
      <c r="AA117" s="23">
        <f>EXP(-LN(2)/25)*AA116+(1-EXP(-LN(2)/25))/(LN(2)/25)*Calculateur!V117*Calculateur!X117*VLOOKUP('Données projet'!$B$9,Paramètres!$A$1:$I$89,3,0)*0.475*44/12</f>
        <v>1.4417491173654557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12.977027448393175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70.906504965960835</v>
      </c>
      <c r="AO117" s="62">
        <f t="shared" si="90"/>
        <v>321.54403976139344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10.093368539649251</v>
      </c>
      <c r="AV117" s="23">
        <f>EXP(-LN(2)/25)*AV116+(1-EXP(-LN(2)/25))/(LN(2)/25)*Calculateur!AQ117*Calculateur!AS117*VLOOKUP('Données projet'!$B$10,Paramètres!$A$1:$I$89,3,0)*0.475*44/12</f>
        <v>1.2615304776947722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11.354899017344025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79.398641219259446</v>
      </c>
      <c r="T118" s="62">
        <f t="shared" si="88"/>
        <v>363.58761819413922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11.309078558781318</v>
      </c>
      <c r="AA118" s="23">
        <f>EXP(-LN(2)/25)*AA117+(1-EXP(-LN(2)/25))/(LN(2)/25)*Calculateur!V118*Calculateur!X118*VLOOKUP('Données projet'!$B$9,Paramètres!$A$1:$I$89,3,0)*0.475*44/12</f>
        <v>1.4023244119328064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12.711402970714124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70.906504965960835</v>
      </c>
      <c r="AO118" s="62">
        <f t="shared" si="90"/>
        <v>321.54403976139344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9.8954437389336505</v>
      </c>
      <c r="AV118" s="23">
        <f>EXP(-LN(2)/25)*AV117+(1-EXP(-LN(2)/25))/(LN(2)/25)*Calculateur!AQ118*Calculateur!AS118*VLOOKUP('Données projet'!$B$10,Paramètres!$A$1:$I$89,3,0)*0.475*44/12</f>
        <v>1.2270338604412041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11.122477599374854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79.398641219259446</v>
      </c>
      <c r="T119" s="62">
        <f t="shared" si="88"/>
        <v>363.58761819413922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11.087314426100431</v>
      </c>
      <c r="AA119" s="23">
        <f>EXP(-LN(2)/25)*AA118+(1-EXP(-LN(2)/25))/(LN(2)/25)*Calculateur!V119*Calculateur!X119*VLOOKUP('Données projet'!$B$9,Paramètres!$A$1:$I$89,3,0)*0.475*44/12</f>
        <v>1.363977777143468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12.451292203243899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70.906504965960835</v>
      </c>
      <c r="AO119" s="62">
        <f t="shared" si="90"/>
        <v>321.54403976139344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9.7014001228378746</v>
      </c>
      <c r="AV119" s="23">
        <f>EXP(-LN(2)/25)*AV118+(1-EXP(-LN(2)/25))/(LN(2)/25)*Calculateur!AQ119*Calculateur!AS119*VLOOKUP('Données projet'!$B$10,Paramètres!$A$1:$I$89,3,0)*0.475*44/12</f>
        <v>1.1934805550005332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10.894880677838408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79.398641219259446</v>
      </c>
      <c r="T120" s="62">
        <f t="shared" si="88"/>
        <v>363.58761819413922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10.86989895279865</v>
      </c>
      <c r="AA120" s="23">
        <f>EXP(-LN(2)/25)*AA119+(1-EXP(-LN(2)/25))/(LN(2)/25)*Calculateur!V120*Calculateur!X120*VLOOKUP('Données projet'!$B$9,Paramètres!$A$1:$I$89,3,0)*0.475*44/12</f>
        <v>1.3266797330990061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12.196578685897656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70.906504965960835</v>
      </c>
      <c r="AO120" s="62">
        <f t="shared" si="90"/>
        <v>321.54403976139344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9.5111615836988168</v>
      </c>
      <c r="AV120" s="23">
        <f>EXP(-LN(2)/25)*AV119+(1-EXP(-LN(2)/25))/(LN(2)/25)*Calculateur!AQ120*Calculateur!AS120*VLOOKUP('Données projet'!$B$10,Paramètres!$A$1:$I$89,3,0)*0.475*44/12</f>
        <v>1.160844766461629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10.672006350160446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79.398641219259446</v>
      </c>
      <c r="T121" s="62">
        <f t="shared" si="88"/>
        <v>363.58761819413922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10.656746864317974</v>
      </c>
      <c r="AA121" s="23">
        <f>EXP(-LN(2)/25)*AA120+(1-EXP(-LN(2)/25))/(LN(2)/25)*Calculateur!V121*Calculateur!X121*VLOOKUP('Données projet'!$B$9,Paramètres!$A$1:$I$89,3,0)*0.475*44/12</f>
        <v>1.2904016060303587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11.947148470348333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70.906504965960835</v>
      </c>
      <c r="AO121" s="62">
        <f t="shared" si="90"/>
        <v>321.54403976139344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9.3246535062782243</v>
      </c>
      <c r="AV121" s="23">
        <f>EXP(-LN(2)/25)*AV120+(1-EXP(-LN(2)/25))/(LN(2)/25)*Calculateur!AQ121*Calculateur!AS121*VLOOKUP('Données projet'!$B$10,Paramètres!$A$1:$I$89,3,0)*0.475*44/12</f>
        <v>1.1291014052765627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10.453754911554787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79.398641219259446</v>
      </c>
      <c r="T122" s="62">
        <f t="shared" si="88"/>
        <v>363.58761819413922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10.447774558282466</v>
      </c>
      <c r="AA122" s="23">
        <f>EXP(-LN(2)/25)*AA121+(1-EXP(-LN(2)/25))/(LN(2)/25)*Calculateur!V122*Calculateur!X122*VLOOKUP('Données projet'!$B$9,Paramètres!$A$1:$I$89,3,0)*0.475*44/12</f>
        <v>1.2551155062541872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11.702890064536653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70.906504965960835</v>
      </c>
      <c r="AO122" s="62">
        <f t="shared" si="90"/>
        <v>321.54403976139344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9.1418027384971552</v>
      </c>
      <c r="AV122" s="23">
        <f>EXP(-LN(2)/25)*AV121+(1-EXP(-LN(2)/25))/(LN(2)/25)*Calculateur!AQ122*Calculateur!AS122*VLOOKUP('Données projet'!$B$10,Paramètres!$A$1:$I$89,3,0)*0.475*44/12</f>
        <v>1.0982260679724127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10.240028806469567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79.398641219259446</v>
      </c>
      <c r="T123" s="62">
        <f t="shared" si="88"/>
        <v>363.58761819413922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10.242900071707794</v>
      </c>
      <c r="AA123" s="23">
        <f>EXP(-LN(2)/25)*AA122+(1-EXP(-LN(2)/25))/(LN(2)/25)*Calculateur!V123*Calculateur!X123*VLOOKUP('Données projet'!$B$9,Paramètres!$A$1:$I$89,3,0)*0.475*44/12</f>
        <v>1.2207943067320106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11.463694378439804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70.906504965960835</v>
      </c>
      <c r="AO123" s="62">
        <f t="shared" si="90"/>
        <v>321.54403976139344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8.962537562744318</v>
      </c>
      <c r="AV123" s="23">
        <f>EXP(-LN(2)/25)*AV122+(1-EXP(-LN(2)/25))/(LN(2)/25)*Calculateur!AQ123*Calculateur!AS123*VLOOKUP('Données projet'!$B$10,Paramètres!$A$1:$I$89,3,0)*0.475*44/12</f>
        <v>1.0681950183905082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10.030732581134826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79.398641219259446</v>
      </c>
      <c r="T124" s="62">
        <f t="shared" si="88"/>
        <v>363.58761819413922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10.042043048853753</v>
      </c>
      <c r="AA124" s="23">
        <f>EXP(-LN(2)/25)*AA123+(1-EXP(-LN(2)/25))/(LN(2)/25)*Calculateur!V124*Calculateur!X124*VLOOKUP('Données projet'!$B$9,Paramètres!$A$1:$I$89,3,0)*0.475*44/12</f>
        <v>1.1874116222156414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11.229454671069394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70.906504965960835</v>
      </c>
      <c r="AO124" s="62">
        <f t="shared" si="90"/>
        <v>321.54403976139344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8.7867876677470331</v>
      </c>
      <c r="AV124" s="23">
        <f>EXP(-LN(2)/25)*AV123+(1-EXP(-LN(2)/25))/(LN(2)/25)*Calculateur!AQ124*Calculateur!AS124*VLOOKUP('Données projet'!$B$10,Paramètres!$A$1:$I$89,3,0)*0.475*44/12</f>
        <v>1.0389851694386851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9.8257728371857187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79.398641219259446</v>
      </c>
      <c r="T125" s="62">
        <f t="shared" si="88"/>
        <v>363.58761819413922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9.8451247097071928</v>
      </c>
      <c r="AA125" s="23">
        <f>EXP(-LN(2)/25)*AA124+(1-EXP(-LN(2)/25))/(LN(2)/25)*Calculateur!V125*Calculateur!X125*VLOOKUP('Données projet'!$B$9,Paramètres!$A$1:$I$89,3,0)*0.475*44/12</f>
        <v>1.1549417889628915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11.000066498670083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70.906504965960835</v>
      </c>
      <c r="AO125" s="62">
        <f t="shared" si="90"/>
        <v>321.54403976139344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8.6144841209937937</v>
      </c>
      <c r="AV125" s="23">
        <f>EXP(-LN(2)/25)*AV124+(1-EXP(-LN(2)/25))/(LN(2)/25)*Calculateur!AQ125*Calculateur!AS125*VLOOKUP('Données projet'!$B$10,Paramètres!$A$1:$I$89,3,0)*0.475*44/12</f>
        <v>1.0105740653425288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9.6250581863363216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79.398641219259446</v>
      </c>
      <c r="T126" s="62">
        <f t="shared" si="88"/>
        <v>363.58761819413922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9.6520678190829692</v>
      </c>
      <c r="AA126" s="23">
        <f>EXP(-LN(2)/25)*AA125+(1-EXP(-LN(2)/25))/(LN(2)/25)*Calculateur!V126*Calculateur!X126*VLOOKUP('Données projet'!$B$9,Paramètres!$A$1:$I$89,3,0)*0.475*44/12</f>
        <v>1.1233598450079523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10.775427664090921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70.906504965960835</v>
      </c>
      <c r="AO126" s="62">
        <f t="shared" si="90"/>
        <v>321.54403976139344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8.4455593416975994</v>
      </c>
      <c r="AV126" s="23">
        <f>EXP(-LN(2)/25)*AV125+(1-EXP(-LN(2)/25))/(LN(2)/25)*Calculateur!AQ126*Calculateur!AS126*VLOOKUP('Données projet'!$B$10,Paramètres!$A$1:$I$89,3,0)*0.475*44/12</f>
        <v>0.98293986438195691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9.4284992060795556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79.398641219259446</v>
      </c>
      <c r="T127" s="62">
        <f t="shared" si="88"/>
        <v>363.58761819413922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9.462796656330811</v>
      </c>
      <c r="AA127" s="23">
        <f>EXP(-LN(2)/25)*AA126+(1-EXP(-LN(2)/25))/(LN(2)/25)*Calculateur!V127*Calculateur!X127*VLOOKUP('Données projet'!$B$9,Paramètres!$A$1:$I$89,3,0)*0.475*44/12</f>
        <v>1.092641510971283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10.555438167302094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70.906504965960835</v>
      </c>
      <c r="AO127" s="62">
        <f t="shared" si="90"/>
        <v>321.54403976139344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8.2799470742894616</v>
      </c>
      <c r="AV127" s="23">
        <f>EXP(-LN(2)/25)*AV126+(1-EXP(-LN(2)/25))/(LN(2)/25)*Calculateur!AQ127*Calculateur!AS127*VLOOKUP('Données projet'!$B$10,Paramètres!$A$1:$I$89,3,0)*0.475*44/12</f>
        <v>0.95606132209987138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9.2360083963893338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79.398641219259446</v>
      </c>
      <c r="T128" s="62">
        <f t="shared" si="88"/>
        <v>363.58761819413922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9.2772369856362129</v>
      </c>
      <c r="AA128" s="23">
        <f>EXP(-LN(2)/25)*AA127+(1-EXP(-LN(2)/25))/(LN(2)/25)*Calculateur!V128*Calculateur!X128*VLOOKUP('Données projet'!$B$9,Paramètres!$A$1:$I$89,3,0)*0.475*44/12</f>
        <v>1.0627631713942536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10.340000157030467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70.906504965960835</v>
      </c>
      <c r="AO128" s="62">
        <f t="shared" si="90"/>
        <v>321.54403976139344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8.1175823624316887</v>
      </c>
      <c r="AV128" s="23">
        <f>EXP(-LN(2)/25)*AV127+(1-EXP(-LN(2)/25))/(LN(2)/25)*Calculateur!AQ128*Calculateur!AS128*VLOOKUP('Données projet'!$B$10,Paramètres!$A$1:$I$89,3,0)*0.475*44/12</f>
        <v>0.92991777496997052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9.0475001374016593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79.398641219259446</v>
      </c>
      <c r="T129" s="62">
        <f t="shared" si="88"/>
        <v>363.58761819413922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9.0953160269037117</v>
      </c>
      <c r="AA129" s="23">
        <f>EXP(-LN(2)/25)*AA128+(1-EXP(-LN(2)/25))/(LN(2)/25)*Calculateur!V129*Calculateur!X129*VLOOKUP('Données projet'!$B$9,Paramètres!$A$1:$I$89,3,0)*0.475*44/12</f>
        <v>1.0337018565841916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10.129017883487903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70.906504965960835</v>
      </c>
      <c r="AO129" s="62">
        <f t="shared" si="90"/>
        <v>321.54403976139344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7.9584015235407506</v>
      </c>
      <c r="AV129" s="23">
        <f>EXP(-LN(2)/25)*AV128+(1-EXP(-LN(2)/25))/(LN(2)/25)*Calculateur!AQ129*Calculateur!AS129*VLOOKUP('Données projet'!$B$10,Paramètres!$A$1:$I$89,3,0)*0.475*44/12</f>
        <v>0.90448912451116625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8.8628906480519163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79.398641219259446</v>
      </c>
      <c r="T130" s="62">
        <f t="shared" si="88"/>
        <v>363.58761819413922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8.9169624272111268</v>
      </c>
      <c r="AA130" s="23">
        <f>EXP(-LN(2)/25)*AA129+(1-EXP(-LN(2)/25))/(LN(2)/25)*Calculateur!V130*Calculateur!X130*VLOOKUP('Données projet'!$B$9,Paramètres!$A$1:$I$89,3,0)*0.475*44/12</f>
        <v>1.0054352249558787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9.922397652167005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70.906504965960835</v>
      </c>
      <c r="AO130" s="62">
        <f t="shared" si="90"/>
        <v>321.54403976139344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7.8023421238097388</v>
      </c>
      <c r="AV130" s="23">
        <f>EXP(-LN(2)/25)*AV129+(1-EXP(-LN(2)/25))/(LN(2)/25)*Calculateur!AQ130*Calculateur!AS130*VLOOKUP('Données projet'!$B$10,Paramètres!$A$1:$I$89,3,0)*0.475*44/12</f>
        <v>0.87975582183639256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8.6820979456461309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79.398641219259446</v>
      </c>
      <c r="T131" s="62">
        <f t="shared" si="88"/>
        <v>363.58761819413922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8.7421062328235593</v>
      </c>
      <c r="AA131" s="23">
        <f>EXP(-LN(2)/25)*AA130+(1-EXP(-LN(2)/25))/(LN(2)/25)*Calculateur!V131*Calculateur!X131*VLOOKUP('Données projet'!$B$9,Paramètres!$A$1:$I$89,3,0)*0.475*44/12</f>
        <v>0.97794154585591964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9.7200477786794792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70.906504965960835</v>
      </c>
      <c r="AO131" s="62">
        <f t="shared" si="90"/>
        <v>321.54403976139344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7.649342953720617</v>
      </c>
      <c r="AV131" s="23">
        <f>EXP(-LN(2)/25)*AV130+(1-EXP(-LN(2)/25))/(LN(2)/25)*Calculateur!AQ131*Calculateur!AS131*VLOOKUP('Données projet'!$B$10,Paramètres!$A$1:$I$89,3,0)*0.475*44/12</f>
        <v>0.85569885262392842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8.5050418063445452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79.398641219259446</v>
      </c>
      <c r="T132" s="62">
        <f t="shared" si="88"/>
        <v>363.58761819413922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8.5706788617561838</v>
      </c>
      <c r="AA132" s="23">
        <f>EXP(-LN(2)/25)*AA131+(1-EXP(-LN(2)/25))/(LN(2)/25)*Calculateur!V132*Calculateur!X132*VLOOKUP('Données projet'!$B$9,Paramètres!$A$1:$I$89,3,0)*0.475*44/12</f>
        <v>0.95119968285677869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9.5218785446129619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70.906504965960835</v>
      </c>
      <c r="AO132" s="62">
        <f t="shared" si="90"/>
        <v>321.54403976139344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7.4993440040366641</v>
      </c>
      <c r="AV132" s="23">
        <f>EXP(-LN(2)/25)*AV131+(1-EXP(-LN(2)/25))/(LN(2)/25)*Calculateur!AQ132*Calculateur!AS132*VLOOKUP('Données projet'!$B$10,Paramètres!$A$1:$I$89,3,0)*0.475*44/12</f>
        <v>0.83229972249968021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8.3316437265363437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79.398641219259446</v>
      </c>
      <c r="T133" s="62">
        <f t="shared" ref="T133:T196" si="142">$T$3</f>
        <v>363.58761819413922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8.4026130768750686</v>
      </c>
      <c r="AA133" s="23">
        <f>EXP(-LN(2)/25)*AA132+(1-EXP(-LN(2)/25))/(LN(2)/25)*Calculateur!V133*Calculateur!X133*VLOOKUP('Données projet'!$B$9,Paramètres!$A$1:$I$89,3,0)*0.475*44/12</f>
        <v>0.92518907750764279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9.3278021543827112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70.906504965960835</v>
      </c>
      <c r="AO133" s="62">
        <f t="shared" ref="AO133:AO196" si="144">$AO$3</f>
        <v>321.54403976139344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7.3522864422656884</v>
      </c>
      <c r="AV133" s="23">
        <f>EXP(-LN(2)/25)*AV132+(1-EXP(-LN(2)/25))/(LN(2)/25)*Calculateur!AQ133*Calculateur!AS133*VLOOKUP('Données projet'!$B$10,Paramètres!$A$1:$I$89,3,0)*0.475*44/12</f>
        <v>0.80954044281918625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8.1618268850848743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79.398641219259446</v>
      </c>
      <c r="T134" s="62">
        <f t="shared" si="142"/>
        <v>363.58761819413922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8.2378429595254659</v>
      </c>
      <c r="AA134" s="23">
        <f>EXP(-LN(2)/25)*AA133+(1-EXP(-LN(2)/25))/(LN(2)/25)*Calculateur!V134*Calculateur!X134*VLOOKUP('Données projet'!$B$9,Paramètres!$A$1:$I$89,3,0)*0.475*44/12</f>
        <v>0.89988973352961721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9.1377326930550833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70.906504965960835</v>
      </c>
      <c r="AO134" s="62">
        <f t="shared" si="144"/>
        <v>321.54403976139344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7.2081125895847853</v>
      </c>
      <c r="AV134" s="23">
        <f>EXP(-LN(2)/25)*AV133+(1-EXP(-LN(2)/25))/(LN(2)/25)*Calculateur!AQ134*Calculateur!AS134*VLOOKUP('Données projet'!$B$10,Paramètres!$A$1:$I$89,3,0)*0.475*44/12</f>
        <v>0.78740351683841392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7.9955161064231994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79.398641219259446</v>
      </c>
      <c r="T135" s="62">
        <f t="shared" si="142"/>
        <v>363.58761819413922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8.0763038836772392</v>
      </c>
      <c r="AA135" s="23">
        <f>EXP(-LN(2)/25)*AA134+(1-EXP(-LN(2)/25))/(LN(2)/25)*Calculateur!V135*Calculateur!X135*VLOOKUP('Données projet'!$B$9,Paramètres!$A$1:$I$89,3,0)*0.475*44/12</f>
        <v>0.87528220144310542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8.9515860851203453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70.906504965960835</v>
      </c>
      <c r="AO135" s="62">
        <f t="shared" si="144"/>
        <v>321.54403976139344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7.0667658982175876</v>
      </c>
      <c r="AV135" s="23">
        <f>EXP(-LN(2)/25)*AV134+(1-EXP(-LN(2)/25))/(LN(2)/25)*Calculateur!AQ135*Calculateur!AS135*VLOOKUP('Données projet'!$B$10,Paramètres!$A$1:$I$89,3,0)*0.475*44/12</f>
        <v>0.76587192626271616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7.8326378244803037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79.398641219259446</v>
      </c>
      <c r="T136" s="62">
        <f t="shared" si="142"/>
        <v>363.58761819413922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7.9179324905772894</v>
      </c>
      <c r="AA136" s="23">
        <f>EXP(-LN(2)/25)*AA135+(1-EXP(-LN(2)/25))/(LN(2)/25)*Calculateur!V136*Calculateur!X136*VLOOKUP('Données projet'!$B$9,Paramètres!$A$1:$I$89,3,0)*0.475*44/12</f>
        <v>0.85134756361555319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8.7692800541928424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70.906504965960835</v>
      </c>
      <c r="AO136" s="62">
        <f t="shared" si="144"/>
        <v>321.54403976139344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6.9281909292551314</v>
      </c>
      <c r="AV136" s="23">
        <f>EXP(-LN(2)/25)*AV135+(1-EXP(-LN(2)/25))/(LN(2)/25)*Calculateur!AQ136*Calculateur!AS136*VLOOKUP('Données projet'!$B$10,Paramètres!$A$1:$I$89,3,0)*0.475*44/12</f>
        <v>0.74492911816360796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7.6731200474187391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79.398641219259446</v>
      </c>
      <c r="T137" s="62">
        <f t="shared" si="142"/>
        <v>363.58761819413922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7.7626666638990187</v>
      </c>
      <c r="AA137" s="23">
        <f>EXP(-LN(2)/25)*AA136+(1-EXP(-LN(2)/25))/(LN(2)/25)*Calculateur!V137*Calculateur!X137*VLOOKUP('Données projet'!$B$9,Paramètres!$A$1:$I$89,3,0)*0.475*44/12</f>
        <v>0.8280674197180633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8.5907340836170825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70.906504965960835</v>
      </c>
      <c r="AO137" s="62">
        <f t="shared" si="144"/>
        <v>321.54403976139344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6.792333330911644</v>
      </c>
      <c r="AV137" s="23">
        <f>EXP(-LN(2)/25)*AV136+(1-EXP(-LN(2)/25))/(LN(2)/25)*Calculateur!AQ137*Calculateur!AS137*VLOOKUP('Données projet'!$B$10,Paramètres!$A$1:$I$89,3,0)*0.475*44/12</f>
        <v>0.72455899225330433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7.5168923231649485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79.398641219259446</v>
      </c>
      <c r="T138" s="62">
        <f t="shared" si="142"/>
        <v>363.58761819413922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7.6104455053791051</v>
      </c>
      <c r="AA138" s="23">
        <f>EXP(-LN(2)/25)*AA137+(1-EXP(-LN(2)/25))/(LN(2)/25)*Calculateur!V138*Calculateur!X138*VLOOKUP('Données projet'!$B$9,Paramètres!$A$1:$I$89,3,0)*0.475*44/12</f>
        <v>0.80542387257969983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8.4158693779588045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70.906504965960835</v>
      </c>
      <c r="AO138" s="62">
        <f t="shared" si="144"/>
        <v>321.54403976139344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6.6591398172067198</v>
      </c>
      <c r="AV138" s="23">
        <f>EXP(-LN(2)/25)*AV137+(1-EXP(-LN(2)/25))/(LN(2)/25)*Calculateur!AQ138*Calculateur!AS138*VLOOKUP('Données projet'!$B$10,Paramètres!$A$1:$I$89,3,0)*0.475*44/12</f>
        <v>0.7047458885072363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7.3638857057139564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79.398641219259446</v>
      </c>
      <c r="T139" s="62">
        <f t="shared" si="142"/>
        <v>363.58761819413922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7.4612093109320279</v>
      </c>
      <c r="AA139" s="23">
        <f>EXP(-LN(2)/25)*AA138+(1-EXP(-LN(2)/25))/(LN(2)/25)*Calculateur!V139*Calculateur!X139*VLOOKUP('Données projet'!$B$9,Paramètres!$A$1:$I$89,3,0)*0.475*44/12</f>
        <v>0.78339951442860734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8.2446088253606344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70.906504965960835</v>
      </c>
      <c r="AO139" s="62">
        <f t="shared" si="144"/>
        <v>321.54403976139344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6.5285581470655272</v>
      </c>
      <c r="AV139" s="23">
        <f>EXP(-LN(2)/25)*AV138+(1-EXP(-LN(2)/25))/(LN(2)/25)*Calculateur!AQ139*Calculateur!AS139*VLOOKUP('Données projet'!$B$10,Paramètres!$A$1:$I$89,3,0)*0.475*44/12</f>
        <v>0.68547457512503041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7.2140327221905576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79.398641219259446</v>
      </c>
      <c r="T140" s="62">
        <f t="shared" si="142"/>
        <v>363.58761819413922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7.3148995472329679</v>
      </c>
      <c r="AA140" s="23">
        <f>EXP(-LN(2)/25)*AA139+(1-EXP(-LN(2)/25))/(LN(2)/25)*Calculateur!V140*Calculateur!X140*VLOOKUP('Données projet'!$B$9,Paramètres!$A$1:$I$89,3,0)*0.475*44/12</f>
        <v>0.7619774135093671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8.0768769607423359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70.906504965960835</v>
      </c>
      <c r="AO140" s="62">
        <f t="shared" si="144"/>
        <v>321.54403976139344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6.4005371038288494</v>
      </c>
      <c r="AV140" s="23">
        <f>EXP(-LN(2)/25)*AV139+(1-EXP(-LN(2)/25))/(LN(2)/25)*Calculateur!AQ140*Calculateur!AS140*VLOOKUP('Données projet'!$B$10,Paramètres!$A$1:$I$89,3,0)*0.475*44/12</f>
        <v>0.66673023682069521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7.0672673406495443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79.398641219259446</v>
      </c>
      <c r="T141" s="62">
        <f t="shared" si="142"/>
        <v>363.58761819413922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7.1714588287599019</v>
      </c>
      <c r="AA141" s="23">
        <f>EXP(-LN(2)/25)*AA140+(1-EXP(-LN(2)/25))/(LN(2)/25)*Calculateur!V141*Calculateur!X141*VLOOKUP('Données projet'!$B$9,Paramètres!$A$1:$I$89,3,0)*0.475*44/12</f>
        <v>0.74114110106630282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7.9125999298262046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70.906504965960835</v>
      </c>
      <c r="AO141" s="62">
        <f t="shared" si="144"/>
        <v>321.54403976139344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6.2750264751649167</v>
      </c>
      <c r="AV141" s="23">
        <f>EXP(-LN(2)/25)*AV140+(1-EXP(-LN(2)/25))/(LN(2)/25)*Calculateur!AQ141*Calculateur!AS141*VLOOKUP('Données projet'!$B$10,Paramètres!$A$1:$I$89,3,0)*0.475*44/12</f>
        <v>0.64849846343301398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6.9235249385979305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79.398641219259446</v>
      </c>
      <c r="T142" s="62">
        <f t="shared" si="142"/>
        <v>363.58761819413922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7.0308308952858933</v>
      </c>
      <c r="AA142" s="23">
        <f>EXP(-LN(2)/25)*AA141+(1-EXP(-LN(2)/25))/(LN(2)/25)*Calculateur!V142*Calculateur!X142*VLOOKUP('Données projet'!$B$9,Paramètres!$A$1:$I$89,3,0)*0.475*44/12</f>
        <v>0.72087455868272821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7.7517054539686212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70.906504965960835</v>
      </c>
      <c r="AO142" s="62">
        <f t="shared" si="144"/>
        <v>321.54403976139344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6.1519770333751591</v>
      </c>
      <c r="AV142" s="23">
        <f>EXP(-LN(2)/25)*AV141+(1-EXP(-LN(2)/25))/(LN(2)/25)*Calculateur!AQ142*Calculateur!AS142*VLOOKUP('Données projet'!$B$10,Paramètres!$A$1:$I$89,3,0)*0.475*44/12</f>
        <v>0.63076523884738622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6.7827422722225457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79.398641219259446</v>
      </c>
      <c r="T143" s="62">
        <f t="shared" si="142"/>
        <v>363.58761819413922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6.8929605898127404</v>
      </c>
      <c r="AA143" s="23">
        <f>EXP(-LN(2)/25)*AA142+(1-EXP(-LN(2)/25))/(LN(2)/25)*Calculateur!V143*Calculateur!X143*VLOOKUP('Données projet'!$B$9,Paramètres!$A$1:$I$89,3,0)*0.475*44/12</f>
        <v>0.70116220596640355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7.5941227957791444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70.906504965960835</v>
      </c>
      <c r="AO143" s="62">
        <f t="shared" si="144"/>
        <v>321.54403976139344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6.03134051608615</v>
      </c>
      <c r="AV143" s="23">
        <f>EXP(-LN(2)/25)*AV142+(1-EXP(-LN(2)/25))/(LN(2)/25)*Calculateur!AQ143*Calculateur!AS143*VLOOKUP('Données projet'!$B$10,Paramètres!$A$1:$I$89,3,0)*0.475*44/12</f>
        <v>0.61351693022060216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6.6448574463067525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79.398641219259446</v>
      </c>
      <c r="T144" s="62">
        <f t="shared" si="142"/>
        <v>363.58761819413922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6.7577938369373332</v>
      </c>
      <c r="AA144" s="23">
        <f>EXP(-LN(2)/25)*AA143+(1-EXP(-LN(2)/25))/(LN(2)/25)*Calculateur!V144*Calculateur!X144*VLOOKUP('Données projet'!$B$9,Paramètres!$A$1:$I$89,3,0)*0.475*44/12</f>
        <v>0.68198888857173434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7.4397827255090672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70.906504965960835</v>
      </c>
      <c r="AO144" s="62">
        <f t="shared" si="144"/>
        <v>321.54403976139344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5.9130696073201685</v>
      </c>
      <c r="AV144" s="23">
        <f>EXP(-LN(2)/25)*AV143+(1-EXP(-LN(2)/25))/(LN(2)/25)*Calculateur!AQ144*Calculateur!AS144*VLOOKUP('Données projet'!$B$10,Paramètres!$A$1:$I$89,3,0)*0.475*44/12</f>
        <v>0.5967402775002667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6.5098098848204353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79.398641219259446</v>
      </c>
      <c r="T145" s="62">
        <f t="shared" si="142"/>
        <v>363.58761819413922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6.6252776216422342</v>
      </c>
      <c r="AA145" s="23">
        <f>EXP(-LN(2)/25)*AA144+(1-EXP(-LN(2)/25))/(LN(2)/25)*Calculateur!V145*Calculateur!X145*VLOOKUP('Données projet'!$B$9,Paramètres!$A$1:$I$89,3,0)*0.475*44/12</f>
        <v>0.66333986654950328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7.2886174881917372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70.906504965960835</v>
      </c>
      <c r="AO145" s="62">
        <f t="shared" si="144"/>
        <v>321.54403976139344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5.7971179189369568</v>
      </c>
      <c r="AV145" s="23">
        <f>EXP(-LN(2)/25)*AV144+(1-EXP(-LN(2)/25))/(LN(2)/25)*Calculateur!AQ145*Calculateur!AS145*VLOOKUP('Données projet'!$B$10,Paramètres!$A$1:$I$89,3,0)*0.475*44/12</f>
        <v>0.58042238323081463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6.3775403021677715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79.398641219259446</v>
      </c>
      <c r="T146" s="62">
        <f t="shared" si="142"/>
        <v>363.58761819413922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6.4953599685021617</v>
      </c>
      <c r="AA146" s="23">
        <f>EXP(-LN(2)/25)*AA145+(1-EXP(-LN(2)/25))/(LN(2)/25)*Calculateur!V146*Calculateur!X146*VLOOKUP('Données projet'!$B$9,Paramètres!$A$1:$I$89,3,0)*0.475*44/12</f>
        <v>0.64520080301517957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7.1405607715173414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70.906504965960835</v>
      </c>
      <c r="AO146" s="62">
        <f t="shared" si="144"/>
        <v>321.54403976139344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5.6834399724393929</v>
      </c>
      <c r="AV146" s="23">
        <f>EXP(-LN(2)/25)*AV145+(1-EXP(-LN(2)/25))/(LN(2)/25)*Calculateur!AQ146*Calculateur!AS146*VLOOKUP('Données projet'!$B$10,Paramètres!$A$1:$I$89,3,0)*0.475*44/12</f>
        <v>0.56455070263828144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6.2479906750776744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79.398641219259446</v>
      </c>
      <c r="T147" s="62">
        <f t="shared" si="142"/>
        <v>363.58761819413922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6.3679899212982223</v>
      </c>
      <c r="AA147" s="23">
        <f>EXP(-LN(2)/25)*AA146+(1-EXP(-LN(2)/25))/(LN(2)/25)*Calculateur!V147*Calculateur!X147*VLOOKUP('Données projet'!$B$9,Paramètres!$A$1:$I$89,3,0)*0.475*44/12</f>
        <v>0.62755775312709383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6.9955476744253158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70.906504965960835</v>
      </c>
      <c r="AO147" s="62">
        <f t="shared" si="144"/>
        <v>321.54403976139344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5.5719911811359459</v>
      </c>
      <c r="AV147" s="23">
        <f>EXP(-LN(2)/25)*AV146+(1-EXP(-LN(2)/25))/(LN(2)/25)*Calculateur!AQ147*Calculateur!AS147*VLOOKUP('Données projet'!$B$10,Paramètres!$A$1:$I$89,3,0)*0.475*44/12</f>
        <v>0.54911303398620648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6.121104215122152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79.398641219259446</v>
      </c>
      <c r="T148" s="62">
        <f t="shared" si="142"/>
        <v>363.58761819413922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6.243117523031894</v>
      </c>
      <c r="AA148" s="23">
        <f>EXP(-LN(2)/25)*AA147+(1-EXP(-LN(2)/25))/(LN(2)/25)*Calculateur!V148*Calculateur!X148*VLOOKUP('Données projet'!$B$9,Paramètres!$A$1:$I$89,3,0)*0.475*44/12</f>
        <v>0.61039715336600553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6.8535146763979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70.906504965960835</v>
      </c>
      <c r="AO148" s="62">
        <f t="shared" si="144"/>
        <v>321.54403976139344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5.4627278326529085</v>
      </c>
      <c r="AV148" s="23">
        <f>EXP(-LN(2)/25)*AV147+(1-EXP(-LN(2)/25))/(LN(2)/25)*Calculateur!AQ148*Calculateur!AS148*VLOOKUP('Données projet'!$B$10,Paramètres!$A$1:$I$89,3,0)*0.475*44/12</f>
        <v>0.53409750919525423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5.9968253418481625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79.398641219259446</v>
      </c>
      <c r="T149" s="62">
        <f t="shared" si="142"/>
        <v>363.58761819413922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6.1206937963309258</v>
      </c>
      <c r="AA149" s="23">
        <f>EXP(-LN(2)/25)*AA148+(1-EXP(-LN(2)/25))/(LN(2)/25)*Calculateur!V149*Calculateur!X149*VLOOKUP('Données projet'!$B$9,Paramètres!$A$1:$I$89,3,0)*0.475*44/12</f>
        <v>0.59370581110782095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6.7143996074387466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70.906504965960835</v>
      </c>
      <c r="AO149" s="62">
        <f t="shared" si="144"/>
        <v>321.54403976139344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5.3556070717895619</v>
      </c>
      <c r="AV149" s="23">
        <f>EXP(-LN(2)/25)*AV148+(1-EXP(-LN(2)/25))/(LN(2)/25)*Calculateur!AQ149*Calculateur!AS149*VLOOKUP('Données projet'!$B$10,Paramètres!$A$1:$I$89,3,0)*0.475*44/12</f>
        <v>0.51949258471934268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5.8750996565089046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79.398641219259446</v>
      </c>
      <c r="T150" s="62">
        <f t="shared" si="142"/>
        <v>363.58761819413922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6.0006707242394635</v>
      </c>
      <c r="AA150" s="23">
        <f>EXP(-LN(2)/25)*AA149+(1-EXP(-LN(2)/25))/(LN(2)/25)*Calculateur!V150*Calculateur!X150*VLOOKUP('Données projet'!$B$9,Paramètres!$A$1:$I$89,3,0)*0.475*44/12</f>
        <v>0.57747089448144595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6.5781416187209096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70.906504965960835</v>
      </c>
      <c r="AO150" s="62">
        <f t="shared" si="144"/>
        <v>321.54403976139344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5.2505868837095324</v>
      </c>
      <c r="AV150" s="23">
        <f>EXP(-LN(2)/25)*AV149+(1-EXP(-LN(2)/25))/(LN(2)/25)*Calculateur!AQ150*Calculateur!AS150*VLOOKUP('Données projet'!$B$10,Paramètres!$A$1:$I$89,3,0)*0.475*44/12</f>
        <v>0.50528703267126451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5.7558739163807973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79.398641219259446</v>
      </c>
      <c r="T151" s="62">
        <f t="shared" si="142"/>
        <v>363.58761819413922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5.8830012313848696</v>
      </c>
      <c r="AA151" s="23">
        <f>EXP(-LN(2)/25)*AA150+(1-EXP(-LN(2)/25))/(LN(2)/25)*Calculateur!V151*Calculateur!X151*VLOOKUP('Données projet'!$B$9,Paramètres!$A$1:$I$89,3,0)*0.475*44/12</f>
        <v>0.56167992250397625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6.4446811538888458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70.906504965960835</v>
      </c>
      <c r="AO151" s="62">
        <f t="shared" si="144"/>
        <v>321.54403976139344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5.147626077461763</v>
      </c>
      <c r="AV151" s="23">
        <f>EXP(-LN(2)/25)*AV150+(1-EXP(-LN(2)/25))/(LN(2)/25)*Calculateur!AQ151*Calculateur!AS151*VLOOKUP('Données projet'!$B$10,Paramètres!$A$1:$I$89,3,0)*0.475*44/12</f>
        <v>0.49146993219097856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5.6390960096527412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79.398641219259446</v>
      </c>
      <c r="T152" s="62">
        <f t="shared" si="142"/>
        <v>363.58761819413922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5.7676391655138506</v>
      </c>
      <c r="AA152" s="23">
        <f>EXP(-LN(2)/25)*AA151+(1-EXP(-LN(2)/25))/(LN(2)/25)*Calculateur!V152*Calculateur!X152*VLOOKUP('Données projet'!$B$9,Paramètres!$A$1:$I$89,3,0)*0.475*44/12</f>
        <v>0.54632075548564163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6.3139599209994923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70.906504965960835</v>
      </c>
      <c r="AO152" s="62">
        <f t="shared" si="144"/>
        <v>321.54403976139344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5.0466842698246213</v>
      </c>
      <c r="AV152" s="23">
        <f>EXP(-LN(2)/25)*AV151+(1-EXP(-LN(2)/25))/(LN(2)/25)*Calculateur!AQ152*Calculateur!AS152*VLOOKUP('Données projet'!$B$10,Paramètres!$A$1:$I$89,3,0)*0.475*44/12</f>
        <v>0.4780306610499358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5.5247149308745573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79.398641219259446</v>
      </c>
      <c r="T153" s="62">
        <f t="shared" si="142"/>
        <v>363.58761819413922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5.6545392793906499</v>
      </c>
      <c r="AA153" s="23">
        <f>EXP(-LN(2)/25)*AA152+(1-EXP(-LN(2)/25))/(LN(2)/25)*Calculateur!V153*Calculateur!X153*VLOOKUP('Données projet'!$B$9,Paramètres!$A$1:$I$89,3,0)*0.475*44/12</f>
        <v>0.5313815856971269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6.1859208650877768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70.906504965960835</v>
      </c>
      <c r="AO153" s="62">
        <f t="shared" si="144"/>
        <v>321.54403976139344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4.9477218694668208</v>
      </c>
      <c r="AV153" s="23">
        <f>EXP(-LN(2)/25)*AV152+(1-EXP(-LN(2)/25))/(LN(2)/25)*Calculateur!AQ153*Calculateur!AS153*VLOOKUP('Données projet'!$B$10,Paramètres!$A$1:$I$89,3,0)*0.475*44/12</f>
        <v>0.46495888748498537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5.4126807569518061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79.398641219259446</v>
      </c>
      <c r="T154" s="62">
        <f t="shared" si="142"/>
        <v>363.58761819413922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5.5436572130502064</v>
      </c>
      <c r="AA154" s="23">
        <f>EXP(-LN(2)/25)*AA153+(1-EXP(-LN(2)/25))/(LN(2)/25)*Calculateur!V154*Calculateur!X154*VLOOKUP('Données projet'!$B$9,Paramètres!$A$1:$I$89,3,0)*0.475*44/12</f>
        <v>0.51685092829209589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6.0605081413423019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70.906504965960835</v>
      </c>
      <c r="AO154" s="62">
        <f t="shared" si="144"/>
        <v>321.54403976139344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4.8507000614189328</v>
      </c>
      <c r="AV154" s="23">
        <f>EXP(-LN(2)/25)*AV153+(1-EXP(-LN(2)/25))/(LN(2)/25)*Calculateur!AQ154*Calculateur!AS154*VLOOKUP('Données projet'!$B$10,Paramètres!$A$1:$I$89,3,0)*0.475*44/12</f>
        <v>0.45224456225558324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5.3029446236745157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79.398641219259446</v>
      </c>
      <c r="T155" s="62">
        <f t="shared" si="142"/>
        <v>363.58761819413922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5.4349494763993169</v>
      </c>
      <c r="AA155" s="23">
        <f>EXP(-LN(2)/25)*AA154+(1-EXP(-LN(2)/25))/(LN(2)/25)*Calculateur!V155*Calculateur!X155*VLOOKUP('Données projet'!$B$9,Paramètres!$A$1:$I$89,3,0)*0.475*44/12</f>
        <v>0.50271761247793945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5.937667088877256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70.906504965960835</v>
      </c>
      <c r="AO155" s="62">
        <f t="shared" si="144"/>
        <v>321.54403976139344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4.755580791849404</v>
      </c>
      <c r="AV155" s="23">
        <f>EXP(-LN(2)/25)*AV154+(1-EXP(-LN(2)/25))/(LN(2)/25)*Calculateur!AQ155*Calculateur!AS155*VLOOKUP('Données projet'!$B$10,Paramètres!$A$1:$I$89,3,0)*0.475*44/12</f>
        <v>0.43987791091819639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5.1954587027676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79.398641219259446</v>
      </c>
      <c r="T156" s="62">
        <f t="shared" si="142"/>
        <v>363.58761819413922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5.3283734321589789</v>
      </c>
      <c r="AA156" s="23">
        <f>EXP(-LN(2)/25)*AA155+(1-EXP(-LN(2)/25))/(LN(2)/25)*Calculateur!V156*Calculateur!X156*VLOOKUP('Données projet'!$B$9,Paramètres!$A$1:$I$89,3,0)*0.475*44/12</f>
        <v>0.48897077292795993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5.8173442050869388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70.906504965960835</v>
      </c>
      <c r="AO156" s="62">
        <f t="shared" si="144"/>
        <v>321.54403976139344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4.6623267531391077</v>
      </c>
      <c r="AV156" s="23">
        <f>EXP(-LN(2)/25)*AV155+(1-EXP(-LN(2)/25))/(LN(2)/25)*Calculateur!AQ156*Calculateur!AS156*VLOOKUP('Données projet'!$B$10,Paramètres!$A$1:$I$89,3,0)*0.475*44/12</f>
        <v>0.42784942631196432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5.0901761794510723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79.398641219259446</v>
      </c>
      <c r="T157" s="62">
        <f t="shared" si="142"/>
        <v>363.58761819413922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5.2238872791412252</v>
      </c>
      <c r="AA157" s="23">
        <f>EXP(-LN(2)/25)*AA156+(1-EXP(-LN(2)/25))/(LN(2)/25)*Calculateur!V157*Calculateur!X157*VLOOKUP('Données projet'!$B$9,Paramètres!$A$1:$I$89,3,0)*0.475*44/12</f>
        <v>0.47559984142838946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5.6994871205696143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70.906504965960835</v>
      </c>
      <c r="AO157" s="62">
        <f t="shared" si="144"/>
        <v>321.54403976139344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4.5709013692485732</v>
      </c>
      <c r="AV157" s="23">
        <f>EXP(-LN(2)/25)*AV156+(1-EXP(-LN(2)/25))/(LN(2)/25)*Calculateur!AQ157*Calculateur!AS157*VLOOKUP('Données projet'!$B$10,Paramètres!$A$1:$I$89,3,0)*0.475*44/12</f>
        <v>0.41614986124984021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4.9870512304984134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79.398641219259446</v>
      </c>
      <c r="T158" s="62">
        <f t="shared" si="142"/>
        <v>363.58761819413922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5.121450035853889</v>
      </c>
      <c r="AA158" s="23">
        <f>EXP(-LN(2)/25)*AA157+(1-EXP(-LN(2)/25))/(LN(2)/25)*Calculateur!V158*Calculateur!X158*VLOOKUP('Données projet'!$B$9,Paramètres!$A$1:$I$89,3,0)*0.475*44/12</f>
        <v>0.4625945387538215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5.5840445746077103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70.906504965960835</v>
      </c>
      <c r="AO158" s="62">
        <f t="shared" si="144"/>
        <v>321.54403976139344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4.4812687813721546</v>
      </c>
      <c r="AV158" s="23">
        <f>EXP(-LN(2)/25)*AV157+(1-EXP(-LN(2)/25))/(LN(2)/25)*Calculateur!AQ158*Calculateur!AS158*VLOOKUP('Données projet'!$B$10,Paramètres!$A$1:$I$89,3,0)*0.475*44/12</f>
        <v>0.40477022140959323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4.8860390027817475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79.398641219259446</v>
      </c>
      <c r="T159" s="62">
        <f t="shared" si="142"/>
        <v>363.58761819413922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5.0210215244268692</v>
      </c>
      <c r="AA159" s="23">
        <f>EXP(-LN(2)/25)*AA158+(1-EXP(-LN(2)/25))/(LN(2)/25)*Calculateur!V159*Calculateur!X159*VLOOKUP('Données projet'!$B$9,Paramètres!$A$1:$I$89,3,0)*0.475*44/12</f>
        <v>0.44994486676480872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5.4709663911916779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70.906504965960835</v>
      </c>
      <c r="AO159" s="62">
        <f t="shared" si="144"/>
        <v>321.54403976139344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4.3933938338735121</v>
      </c>
      <c r="AV159" s="23">
        <f>EXP(-LN(2)/25)*AV158+(1-EXP(-LN(2)/25))/(LN(2)/25)*Calculateur!AQ159*Calculateur!AS159*VLOOKUP('Données projet'!$B$10,Paramètres!$A$1:$I$89,3,0)*0.475*44/12</f>
        <v>0.39370175841920707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4.7870955922927187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79.398641219259446</v>
      </c>
      <c r="T160" s="62">
        <f t="shared" si="142"/>
        <v>363.58761819413922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4.9225623548535893</v>
      </c>
      <c r="AA160" s="23">
        <f>EXP(-LN(2)/25)*AA159+(1-EXP(-LN(2)/25))/(LN(2)/25)*Calculateur!V160*Calculateur!X160*VLOOKUP('Données projet'!$B$9,Paramètres!$A$1:$I$89,3,0)*0.475*44/12</f>
        <v>0.43764110072155282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5.3602034555751423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70.906504965960835</v>
      </c>
      <c r="AO160" s="62">
        <f t="shared" si="144"/>
        <v>321.54403976139344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4.3072420604968924</v>
      </c>
      <c r="AV160" s="23">
        <f>EXP(-LN(2)/25)*AV159+(1-EXP(-LN(2)/25))/(LN(2)/25)*Calculateur!AQ160*Calculateur!AS160*VLOOKUP('Données projet'!$B$10,Paramètres!$A$1:$I$89,3,0)*0.475*44/12</f>
        <v>0.38293596313135819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4.6901780236282509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79.398641219259446</v>
      </c>
      <c r="T161" s="62">
        <f t="shared" si="142"/>
        <v>363.58761819413922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4.8260339095414775</v>
      </c>
      <c r="AA161" s="23">
        <f>EXP(-LN(2)/25)*AA160+(1-EXP(-LN(2)/25))/(LN(2)/25)*Calculateur!V161*Calculateur!X161*VLOOKUP('Données projet'!$B$9,Paramètres!$A$1:$I$89,3,0)*0.475*44/12</f>
        <v>0.42567378180777671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5.251707691349254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70.906504965960835</v>
      </c>
      <c r="AO161" s="62">
        <f t="shared" si="144"/>
        <v>321.54403976139344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4.2227796708487952</v>
      </c>
      <c r="AV161" s="23">
        <f>EXP(-LN(2)/25)*AV160+(1-EXP(-LN(2)/25))/(LN(2)/25)*Calculateur!AQ161*Calculateur!AS161*VLOOKUP('Données projet'!$B$10,Paramètres!$A$1:$I$89,3,0)*0.475*44/12</f>
        <v>0.37246455908180409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4.5952442299305991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79.398641219259446</v>
      </c>
      <c r="T162" s="62">
        <f t="shared" si="142"/>
        <v>363.58761819413922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4.7313983281653984</v>
      </c>
      <c r="AA162" s="23">
        <f>EXP(-LN(2)/25)*AA161+(1-EXP(-LN(2)/25))/(LN(2)/25)*Calculateur!V162*Calculateur!X162*VLOOKUP('Données projet'!$B$9,Paramètres!$A$1:$I$89,3,0)*0.475*44/12</f>
        <v>0.41403370985903176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5.1454320380244303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70.906504965960835</v>
      </c>
      <c r="AO162" s="62">
        <f t="shared" si="144"/>
        <v>321.54403976139344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4.1399735371447264</v>
      </c>
      <c r="AV162" s="23">
        <f>EXP(-LN(2)/25)*AV161+(1-EXP(-LN(2)/25))/(LN(2)/25)*Calculateur!AQ162*Calculateur!AS162*VLOOKUP('Données projet'!$B$10,Paramètres!$A$1:$I$89,3,0)*0.475*44/12</f>
        <v>0.36227949612665228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4.502253033271379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79.398641219259446</v>
      </c>
      <c r="T163" s="62">
        <f t="shared" si="142"/>
        <v>363.58761819413922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4.6386184928180993</v>
      </c>
      <c r="AA163" s="23">
        <f>EXP(-LN(2)/25)*AA162+(1-EXP(-LN(2)/25))/(LN(2)/25)*Calculateur!V163*Calculateur!X163*VLOOKUP('Données projet'!$B$9,Paramètres!$A$1:$I$89,3,0)*0.475*44/12</f>
        <v>0.40271193628985003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5.0413304291079495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70.906504965960835</v>
      </c>
      <c r="AO163" s="62">
        <f t="shared" si="144"/>
        <v>321.54403976139344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4.0587911812158399</v>
      </c>
      <c r="AV163" s="23">
        <f>EXP(-LN(2)/25)*AV162+(1-EXP(-LN(2)/25))/(LN(2)/25)*Calculateur!AQ163*Calculateur!AS163*VLOOKUP('Données projet'!$B$10,Paramètres!$A$1:$I$89,3,0)*0.475*44/12</f>
        <v>0.35237294425361826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4.4111641254694582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79.398641219259446</v>
      </c>
      <c r="T164" s="62">
        <f t="shared" si="142"/>
        <v>363.58761819413922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4.5476580134518487</v>
      </c>
      <c r="AA164" s="23">
        <f>EXP(-LN(2)/25)*AA163+(1-EXP(-LN(2)/25))/(LN(2)/25)*Calculateur!V164*Calculateur!X164*VLOOKUP('Données projet'!$B$9,Paramètres!$A$1:$I$89,3,0)*0.475*44/12</f>
        <v>0.39169975721430378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4.9393577706661524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70.906504965960835</v>
      </c>
      <c r="AO164" s="62">
        <f t="shared" si="144"/>
        <v>321.54403976139344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3.9792007617703709</v>
      </c>
      <c r="AV164" s="23">
        <f>EXP(-LN(2)/25)*AV163+(1-EXP(-LN(2)/25))/(LN(2)/25)*Calculateur!AQ164*Calculateur!AS164*VLOOKUP('Données projet'!$B$10,Paramètres!$A$1:$I$89,3,0)*0.475*44/12</f>
        <v>0.34273728756251531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4.3219380493328865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79.398641219259446</v>
      </c>
      <c r="T165" s="62">
        <f t="shared" si="142"/>
        <v>363.58761819413922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4.4584812136055563</v>
      </c>
      <c r="AA165" s="23">
        <f>EXP(-LN(2)/25)*AA164+(1-EXP(-LN(2)/25))/(LN(2)/25)*Calculateur!V165*Calculateur!X165*VLOOKUP('Données projet'!$B$9,Paramètres!$A$1:$I$89,3,0)*0.475*44/12</f>
        <v>0.38098870675468366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4.8394699203602398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70.906504965960835</v>
      </c>
      <c r="AO165" s="62">
        <f t="shared" si="144"/>
        <v>321.54403976139344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3.901171061904865</v>
      </c>
      <c r="AV165" s="23">
        <f>EXP(-LN(2)/25)*AV164+(1-EXP(-LN(2)/25))/(LN(2)/25)*Calculateur!AQ165*Calculateur!AS165*VLOOKUP('Données projet'!$B$10,Paramètres!$A$1:$I$89,3,0)*0.475*44/12</f>
        <v>0.33336511841034772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4.2345361803152128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79.398641219259446</v>
      </c>
      <c r="T166" s="62">
        <f t="shared" si="142"/>
        <v>363.58761819413922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4.3710531164117725</v>
      </c>
      <c r="AA166" s="23">
        <f>EXP(-LN(2)/25)*AA165+(1-EXP(-LN(2)/25))/(LN(2)/25)*Calculateur!V166*Calculateur!X166*VLOOKUP('Données projet'!$B$9,Paramètres!$A$1:$I$89,3,0)*0.475*44/12</f>
        <v>0.37057055053315152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4.7416236669449239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70.906504965960835</v>
      </c>
      <c r="AO166" s="62">
        <f t="shared" si="144"/>
        <v>321.54403976139344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3.8246714768603041</v>
      </c>
      <c r="AV166" s="23">
        <f>EXP(-LN(2)/25)*AV165+(1-EXP(-LN(2)/25))/(LN(2)/25)*Calculateur!AQ166*Calculateur!AS166*VLOOKUP('Données projet'!$B$10,Paramètres!$A$1:$I$89,3,0)*0.475*44/12</f>
        <v>0.3242492317165071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4.1489207085768109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79.398641219259446</v>
      </c>
      <c r="T167" s="62">
        <f t="shared" si="142"/>
        <v>363.58761819413922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4.2853394308780857</v>
      </c>
      <c r="AA167" s="23">
        <f>EXP(-LN(2)/25)*AA166+(1-EXP(-LN(2)/25))/(LN(2)/25)*Calculateur!V167*Calculateur!X167*VLOOKUP('Données projet'!$B$9,Paramètres!$A$1:$I$89,3,0)*0.475*44/12</f>
        <v>0.36043727934136421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4.64577671021945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70.906504965960835</v>
      </c>
      <c r="AO167" s="62">
        <f t="shared" si="144"/>
        <v>321.54403976139344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3.7496720020183276</v>
      </c>
      <c r="AV167" s="23">
        <f>EXP(-LN(2)/25)*AV166+(1-EXP(-LN(2)/25))/(LN(2)/25)*Calculateur!AQ167*Calculateur!AS167*VLOOKUP('Données projet'!$B$10,Paramètres!$A$1:$I$89,3,0)*0.475*44/12</f>
        <v>0.31538261942369322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4.0650546214420205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79.398641219259446</v>
      </c>
      <c r="T168" s="62">
        <f t="shared" si="142"/>
        <v>363.58761819413922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4.2013065384375281</v>
      </c>
      <c r="AA168" s="23">
        <f>EXP(-LN(2)/25)*AA167+(1-EXP(-LN(2)/25))/(LN(2)/25)*Calculateur!V168*Calculateur!X168*VLOOKUP('Données projet'!$B$9,Paramètres!$A$1:$I$89,3,0)*0.475*44/12</f>
        <v>0.35058110298320189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4.5518876414207297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70.906504965960835</v>
      </c>
      <c r="AO168" s="62">
        <f t="shared" si="144"/>
        <v>321.54403976139344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3.6761432211328398</v>
      </c>
      <c r="AV168" s="23">
        <f>EXP(-LN(2)/25)*AV167+(1-EXP(-LN(2)/25))/(LN(2)/25)*Calculateur!AQ168*Calculateur!AS168*VLOOKUP('Données projet'!$B$10,Paramètres!$A$1:$I$89,3,0)*0.475*44/12</f>
        <v>0.30675846511030119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3.982901686243141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79.398641219259446</v>
      </c>
      <c r="T169" s="62">
        <f t="shared" si="142"/>
        <v>363.58761819413922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4.1189214797627267</v>
      </c>
      <c r="AA169" s="23">
        <f>EXP(-LN(2)/25)*AA168+(1-EXP(-LN(2)/25))/(LN(2)/25)*Calculateur!V169*Calculateur!X169*VLOOKUP('Données projet'!$B$9,Paramètres!$A$1:$I$89,3,0)*0.475*44/12</f>
        <v>0.34099444428586728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4.4599159240485937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70.906504965960835</v>
      </c>
      <c r="AO169" s="62">
        <f t="shared" si="144"/>
        <v>321.54403976139344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3.6040562947923882</v>
      </c>
      <c r="AV169" s="23">
        <f>EXP(-LN(2)/25)*AV168+(1-EXP(-LN(2)/25))/(LN(2)/25)*Calculateur!AQ169*Calculateur!AS169*VLOOKUP('Données projet'!$B$10,Paramètres!$A$1:$I$89,3,0)*0.475*44/12</f>
        <v>0.29837013875013341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3.9024264335425216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79.398641219259446</v>
      </c>
      <c r="T170" s="62">
        <f t="shared" si="142"/>
        <v>363.58761819413922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4.0381519418386143</v>
      </c>
      <c r="AA170" s="23">
        <f>EXP(-LN(2)/25)*AA169+(1-EXP(-LN(2)/25))/(LN(2)/25)*Calculateur!V170*Calculateur!X170*VLOOKUP('Données projet'!$B$9,Paramètres!$A$1:$I$89,3,0)*0.475*44/12</f>
        <v>0.33166993327475175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4.3698218751133657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70.906504965960835</v>
      </c>
      <c r="AO170" s="62">
        <f t="shared" si="144"/>
        <v>321.54403976139344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3.5333829491087894</v>
      </c>
      <c r="AV170" s="23">
        <f>EXP(-LN(2)/25)*AV169+(1-EXP(-LN(2)/25))/(LN(2)/25)*Calculateur!AQ170*Calculateur!AS170*VLOOKUP('Données projet'!$B$10,Paramètres!$A$1:$I$89,3,0)*0.475*44/12</f>
        <v>0.29021119161540737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3.8235941407241967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79.398641219259446</v>
      </c>
      <c r="T171" s="62">
        <f t="shared" si="142"/>
        <v>363.58761819413922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3.9589662452886394</v>
      </c>
      <c r="AA171" s="23">
        <f>EXP(-LN(2)/25)*AA170+(1-EXP(-LN(2)/25))/(LN(2)/25)*Calculateur!V171*Calculateur!X171*VLOOKUP('Données projet'!$B$9,Paramètres!$A$1:$I$89,3,0)*0.475*44/12</f>
        <v>0.3226004015075899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4.2815666467962297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70.906504965960835</v>
      </c>
      <c r="AO171" s="62">
        <f t="shared" si="144"/>
        <v>321.54403976139344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3.4640954646275617</v>
      </c>
      <c r="AV171" s="23">
        <f>EXP(-LN(2)/25)*AV170+(1-EXP(-LN(2)/25))/(LN(2)/25)*Calculateur!AQ171*Calculateur!AS171*VLOOKUP('Données projet'!$B$10,Paramètres!$A$1:$I$89,3,0)*0.475*44/12</f>
        <v>0.28227535131914078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3.7463708159467024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79.398641219259446</v>
      </c>
      <c r="T172" s="62">
        <f t="shared" si="142"/>
        <v>363.58761819413922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3.881333331949504</v>
      </c>
      <c r="AA172" s="23">
        <f>EXP(-LN(2)/25)*AA171+(1-EXP(-LN(2)/25))/(LN(2)/25)*Calculateur!V172*Calculateur!X172*VLOOKUP('Données projet'!$B$9,Paramètres!$A$1:$I$89,3,0)*0.475*44/12</f>
        <v>0.31377887656354703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4.1951122085130512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70.906504965960835</v>
      </c>
      <c r="AO172" s="62">
        <f t="shared" si="144"/>
        <v>321.54403976139344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3.396166665455818</v>
      </c>
      <c r="AV172" s="23">
        <f>EXP(-LN(2)/25)*AV171+(1-EXP(-LN(2)/25))/(LN(2)/25)*Calculateur!AQ172*Calculateur!AS172*VLOOKUP('Données projet'!$B$10,Paramètres!$A$1:$I$89,3,0)*0.475*44/12</f>
        <v>0.27455651699310329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3.6707231824489215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79.398641219259446</v>
      </c>
      <c r="T173" s="62">
        <f t="shared" si="142"/>
        <v>363.58761819413922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3.8052227526895472</v>
      </c>
      <c r="AA173" s="23">
        <f>EXP(-LN(2)/25)*AA172+(1-EXP(-LN(2)/25))/(LN(2)/25)*Calculateur!V173*Calculateur!X173*VLOOKUP('Données projet'!$B$9,Paramètres!$A$1:$I$89,3,0)*0.475*44/12</f>
        <v>0.30519857668300288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4.1104213293725502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70.906504965960835</v>
      </c>
      <c r="AO173" s="62">
        <f t="shared" si="144"/>
        <v>321.54403976139344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3.3295699086033559</v>
      </c>
      <c r="AV173" s="23">
        <f>EXP(-LN(2)/25)*AV172+(1-EXP(-LN(2)/25))/(LN(2)/25)*Calculateur!AQ173*Calculateur!AS173*VLOOKUP('Données projet'!$B$10,Paramètres!$A$1:$I$89,3,0)*0.475*44/12</f>
        <v>0.26704875459762717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3.5966186632009829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79.398641219259446</v>
      </c>
      <c r="T174" s="62">
        <f t="shared" si="142"/>
        <v>363.58761819413922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3.7306046554660091</v>
      </c>
      <c r="AA174" s="23">
        <f>EXP(-LN(2)/25)*AA173+(1-EXP(-LN(2)/25))/(LN(2)/25)*Calculateur!V174*Calculateur!X174*VLOOKUP('Données projet'!$B$9,Paramètres!$A$1:$I$89,3,0)*0.475*44/12</f>
        <v>0.29685290555391053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4.0274575610199195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70.906504965960835</v>
      </c>
      <c r="AO174" s="62">
        <f t="shared" si="144"/>
        <v>321.54403976139344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3.26427907353276</v>
      </c>
      <c r="AV174" s="23">
        <f>EXP(-LN(2)/25)*AV173+(1-EXP(-LN(2)/25))/(LN(2)/25)*Calculateur!AQ174*Calculateur!AS174*VLOOKUP('Données projet'!$B$10,Paramètres!$A$1:$I$89,3,0)*0.475*44/12</f>
        <v>0.25974629235967139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3.5240253658924314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79.398641219259446</v>
      </c>
      <c r="T175" s="62">
        <f t="shared" si="142"/>
        <v>363.58761819413922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3.657449773616479</v>
      </c>
      <c r="AA175" s="23">
        <f>EXP(-LN(2)/25)*AA174+(1-EXP(-LN(2)/25))/(LN(2)/25)*Calculateur!V175*Calculateur!X175*VLOOKUP('Données projet'!$B$9,Paramètres!$A$1:$I$89,3,0)*0.475*44/12</f>
        <v>0.28873544724072303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3.9461852208572021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70.906504965960835</v>
      </c>
      <c r="AO175" s="62">
        <f t="shared" si="144"/>
        <v>321.54403976139344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3.2002685519144212</v>
      </c>
      <c r="AV175" s="23">
        <f>EXP(-LN(2)/25)*AV174+(1-EXP(-LN(2)/25))/(LN(2)/25)*Calculateur!AQ175*Calculateur!AS175*VLOOKUP('Données projet'!$B$10,Paramètres!$A$1:$I$89,3,0)*0.475*44/12</f>
        <v>0.25264351633563231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3.4529120682500536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79.398641219259446</v>
      </c>
      <c r="T176" s="62">
        <f t="shared" si="142"/>
        <v>363.58761819413922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3.5857294143799461</v>
      </c>
      <c r="AA176" s="23">
        <f>EXP(-LN(2)/25)*AA175+(1-EXP(-LN(2)/25))/(LN(2)/25)*Calculateur!V176*Calculateur!X176*VLOOKUP('Données projet'!$B$9,Paramètres!$A$1:$I$89,3,0)*0.475*44/12</f>
        <v>0.28083996125198818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3.8665693756319341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70.906504965960835</v>
      </c>
      <c r="AO176" s="62">
        <f t="shared" si="144"/>
        <v>321.54403976139344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3.1375132375824548</v>
      </c>
      <c r="AV176" s="23">
        <f>EXP(-LN(2)/25)*AV175+(1-EXP(-LN(2)/25))/(LN(2)/25)*Calculateur!AQ176*Calculateur!AS176*VLOOKUP('Données projet'!$B$10,Paramètres!$A$1:$I$89,3,0)*0.475*44/12</f>
        <v>0.24573496609548934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3.3832482036779443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79.398641219259446</v>
      </c>
      <c r="T177" s="62">
        <f t="shared" si="142"/>
        <v>363.58761819413922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3.5154154476429418</v>
      </c>
      <c r="AA177" s="23">
        <f>EXP(-LN(2)/25)*AA176+(1-EXP(-LN(2)/25))/(LN(2)/25)*Calculateur!V177*Calculateur!X177*VLOOKUP('Données projet'!$B$9,Paramètres!$A$1:$I$89,3,0)*0.475*44/12</f>
        <v>0.27316037774282087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3.7885758253857627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70.906504965960835</v>
      </c>
      <c r="AO177" s="62">
        <f t="shared" si="144"/>
        <v>321.54403976139344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3.075988516687576</v>
      </c>
      <c r="AV177" s="23">
        <f>EXP(-LN(2)/25)*AV176+(1-EXP(-LN(2)/25))/(LN(2)/25)*Calculateur!AQ177*Calculateur!AS177*VLOOKUP('Données projet'!$B$10,Paramètres!$A$1:$I$89,3,0)*0.475*44/12</f>
        <v>0.23901533052496796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3.315003847212544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79.398641219259446</v>
      </c>
      <c r="T178" s="62">
        <f t="shared" si="142"/>
        <v>363.58761819413922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3.4464802949063653</v>
      </c>
      <c r="AA178" s="23">
        <f>EXP(-LN(2)/25)*AA177+(1-EXP(-LN(2)/25))/(LN(2)/25)*Calculateur!V178*Calculateur!X178*VLOOKUP('Données projet'!$B$9,Paramètres!$A$1:$I$89,3,0)*0.475*44/12</f>
        <v>0.26569079284856351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3.7121710877549288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70.906504965960835</v>
      </c>
      <c r="AO178" s="62">
        <f t="shared" si="144"/>
        <v>321.54403976139344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3.0156702580430714</v>
      </c>
      <c r="AV178" s="23">
        <f>EXP(-LN(2)/25)*AV177+(1-EXP(-LN(2)/25))/(LN(2)/25)*Calculateur!AQ178*Calculateur!AS178*VLOOKUP('Données projet'!$B$10,Paramètres!$A$1:$I$89,3,0)*0.475*44/12</f>
        <v>0.23247944374249274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3.2481497017855641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79.398641219259446</v>
      </c>
      <c r="T179" s="62">
        <f t="shared" si="142"/>
        <v>363.58761819413922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3.3788969184686617</v>
      </c>
      <c r="AA179" s="23">
        <f>EXP(-LN(2)/25)*AA178+(1-EXP(-LN(2)/25))/(LN(2)/25)*Calculateur!V179*Calculateur!X179*VLOOKUP('Données projet'!$B$9,Paramètres!$A$1:$I$89,3,0)*0.475*44/12</f>
        <v>0.258425464146048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3.6373223826147099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70.906504965960835</v>
      </c>
      <c r="AO179" s="62">
        <f t="shared" si="144"/>
        <v>321.54403976139344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2.9565348036600807</v>
      </c>
      <c r="AV179" s="23">
        <f>EXP(-LN(2)/25)*AV178+(1-EXP(-LN(2)/25))/(LN(2)/25)*Calculateur!AQ179*Calculateur!AS179*VLOOKUP('Données projet'!$B$10,Paramètres!$A$1:$I$89,3,0)*0.475*44/12</f>
        <v>0.22612228112779167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3.1826570847878726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79.398641219259446</v>
      </c>
      <c r="T180" s="62">
        <f t="shared" si="142"/>
        <v>363.58761819413922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3.3126388108211122</v>
      </c>
      <c r="AA180" s="23">
        <f>EXP(-LN(2)/25)*AA179+(1-EXP(-LN(2)/25))/(LN(2)/25)*Calculateur!V180*Calculateur!X180*VLOOKUP('Données projet'!$B$9,Paramètres!$A$1:$I$89,3,0)*0.475*44/12</f>
        <v>0.25135880623896978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3.5639976170600818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70.906504965960835</v>
      </c>
      <c r="AO180" s="62">
        <f t="shared" si="144"/>
        <v>321.54403976139344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2.8985589594684749</v>
      </c>
      <c r="AV180" s="23">
        <f>EXP(-LN(2)/25)*AV179+(1-EXP(-LN(2)/25))/(LN(2)/25)*Calculateur!AQ180*Calculateur!AS180*VLOOKUP('Données projet'!$B$10,Paramètres!$A$1:$I$89,3,0)*0.475*44/12</f>
        <v>0.21993895545909825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3.1184979149275733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79.398641219259446</v>
      </c>
      <c r="T181" s="62">
        <f t="shared" si="142"/>
        <v>363.58761819413922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3.247679984251076</v>
      </c>
      <c r="AA181" s="23">
        <f>EXP(-LN(2)/25)*AA180+(1-EXP(-LN(2)/25))/(LN(2)/25)*Calculateur!V181*Calculateur!X181*VLOOKUP('Données projet'!$B$9,Paramètres!$A$1:$I$89,3,0)*0.475*44/12</f>
        <v>0.24448538646398002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3.4921653707150559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70.906504965960835</v>
      </c>
      <c r="AO181" s="62">
        <f t="shared" si="144"/>
        <v>321.54403976139344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2.8417199862196934</v>
      </c>
      <c r="AV181" s="23">
        <f>EXP(-LN(2)/25)*AV180+(1-EXP(-LN(2)/25))/(LN(2)/25)*Calculateur!AQ181*Calculateur!AS181*VLOOKUP('Données projet'!$B$10,Paramètres!$A$1:$I$89,3,0)*0.475*44/12</f>
        <v>0.21392471315598222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3.0556446993756756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79.398641219259446</v>
      </c>
      <c r="T182" s="62">
        <f t="shared" si="142"/>
        <v>363.58761819413922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3.1839949606491063</v>
      </c>
      <c r="AA182" s="23">
        <f>EXP(-LN(2)/25)*AA181+(1-EXP(-LN(2)/25))/(LN(2)/25)*Calculateur!V182*Calculateur!X182*VLOOKUP('Données projet'!$B$9,Paramètres!$A$1:$I$89,3,0)*0.475*44/12</f>
        <v>0.23779992071419478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3.4217948813633012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70.906504965960835</v>
      </c>
      <c r="AO182" s="62">
        <f t="shared" si="144"/>
        <v>321.54403976139344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2.7859955905679699</v>
      </c>
      <c r="AV182" s="23">
        <f>EXP(-LN(2)/25)*AV181+(1-EXP(-LN(2)/25))/(LN(2)/25)*Calculateur!AQ182*Calculateur!AS182*VLOOKUP('Données projet'!$B$10,Paramètres!$A$1:$I$89,3,0)*0.475*44/12</f>
        <v>0.20807493062492016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2.99407052119289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79.398641219259446</v>
      </c>
      <c r="T183" s="62">
        <f t="shared" si="142"/>
        <v>363.58761819413922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3.1215587615159421</v>
      </c>
      <c r="AA183" s="23">
        <f>EXP(-LN(2)/25)*AA182+(1-EXP(-LN(2)/25))/(LN(2)/25)*Calculateur!V183*Calculateur!X183*VLOOKUP('Données projet'!$B$9,Paramètres!$A$1:$I$89,3,0)*0.475*44/12</f>
        <v>0.23129726937691081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3.3528560308928528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70.906504965960835</v>
      </c>
      <c r="AO183" s="62">
        <f t="shared" si="144"/>
        <v>321.54403976139344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2.7313639163264511</v>
      </c>
      <c r="AV183" s="23">
        <f>EXP(-LN(2)/25)*AV182+(1-EXP(-LN(2)/25))/(LN(2)/25)*Calculateur!AQ183*Calculateur!AS183*VLOOKUP('Données projet'!$B$10,Paramètres!$A$1:$I$89,3,0)*0.475*44/12</f>
        <v>0.20238511070479667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2.9337490270312476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79.398641219259446</v>
      </c>
      <c r="T184" s="62">
        <f t="shared" si="142"/>
        <v>363.58761819413922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3.0603468981654585</v>
      </c>
      <c r="AA184" s="23">
        <f>EXP(-LN(2)/25)*AA183+(1-EXP(-LN(2)/25))/(LN(2)/25)*Calculateur!V184*Calculateur!X184*VLOOKUP('Données projet'!$B$9,Paramètres!$A$1:$I$89,3,0)*0.475*44/12</f>
        <v>0.22497243338240441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3.2853193315478628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70.906504965960835</v>
      </c>
      <c r="AO184" s="62">
        <f t="shared" si="144"/>
        <v>321.54403976139344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2.6778035358947778</v>
      </c>
      <c r="AV184" s="23">
        <f>EXP(-LN(2)/25)*AV183+(1-EXP(-LN(2)/25))/(LN(2)/25)*Calculateur!AQ184*Calculateur!AS184*VLOOKUP('Données projet'!$B$10,Paramètres!$A$1:$I$89,3,0)*0.475*44/12</f>
        <v>0.19685087920960359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2.8746544151043816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79.398641219259446</v>
      </c>
      <c r="T185" s="62">
        <f t="shared" si="142"/>
        <v>363.58761819413922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3.0003353621197277</v>
      </c>
      <c r="AA185" s="23">
        <f>EXP(-LN(2)/25)*AA184+(1-EXP(-LN(2)/25))/(LN(2)/25)*Calculateur!V185*Calculateur!X185*VLOOKUP('Données projet'!$B$9,Paramètres!$A$1:$I$89,3,0)*0.475*44/12</f>
        <v>0.21882055036077647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3.2191559124805043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70.906504965960835</v>
      </c>
      <c r="AO185" s="62">
        <f t="shared" si="144"/>
        <v>321.54403976139344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2.6252934418547631</v>
      </c>
      <c r="AV185" s="23">
        <f>EXP(-LN(2)/25)*AV184+(1-EXP(-LN(2)/25))/(LN(2)/25)*Calculateur!AQ185*Calculateur!AS185*VLOOKUP('Données projet'!$B$10,Paramètres!$A$1:$I$89,3,0)*0.475*44/12</f>
        <v>0.19146798156567915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2.8167614234204423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79.398641219259446</v>
      </c>
      <c r="T186" s="62">
        <f t="shared" si="142"/>
        <v>363.58761819413922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2.9415006156924308</v>
      </c>
      <c r="AA186" s="23">
        <f>EXP(-LN(2)/25)*AA185+(1-EXP(-LN(2)/25))/(LN(2)/25)*Calculateur!V186*Calculateur!X186*VLOOKUP('Données projet'!$B$9,Paramètres!$A$1:$I$89,3,0)*0.475*44/12</f>
        <v>0.21283689090388841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3.1543375065963191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70.906504965960835</v>
      </c>
      <c r="AO186" s="62">
        <f t="shared" si="144"/>
        <v>321.54403976139344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2.5738130387308784</v>
      </c>
      <c r="AV186" s="23">
        <f>EXP(-LN(2)/25)*AV185+(1-EXP(-LN(2)/25))/(LN(2)/25)*Calculateur!AQ186*Calculateur!AS186*VLOOKUP('Données projet'!$B$10,Paramètres!$A$1:$I$89,3,0)*0.475*44/12</f>
        <v>0.1862322795409021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2.7600453182717803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79.398641219259446</v>
      </c>
      <c r="T187" s="62">
        <f t="shared" si="142"/>
        <v>363.58761819413922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2.8838195827569213</v>
      </c>
      <c r="AA187" s="23">
        <f>EXP(-LN(2)/25)*AA186+(1-EXP(-LN(2)/25))/(LN(2)/25)*Calculateur!V187*Calculateur!X187*VLOOKUP('Données projet'!$B$9,Paramètres!$A$1:$I$89,3,0)*0.475*44/12</f>
        <v>0.20701685492951594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3.0908364376864372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70.906504965960835</v>
      </c>
      <c r="AO187" s="62">
        <f t="shared" si="144"/>
        <v>321.54403976139344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2.5233421349123075</v>
      </c>
      <c r="AV187" s="23">
        <f>EXP(-LN(2)/25)*AV186+(1-EXP(-LN(2)/25))/(LN(2)/25)*Calculateur!AQ187*Calculateur!AS187*VLOOKUP('Données projet'!$B$10,Paramètres!$A$1:$I$89,3,0)*0.475*44/12</f>
        <v>0.18113974806332619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2.7044818829756339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79.398641219259446</v>
      </c>
      <c r="T188" s="62">
        <f t="shared" si="142"/>
        <v>363.58761819413922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2.827269639695321</v>
      </c>
      <c r="AA188" s="23">
        <f>EXP(-LN(2)/25)*AA187+(1-EXP(-LN(2)/25))/(LN(2)/25)*Calculateur!V188*Calculateur!X188*VLOOKUP('Données projet'!$B$9,Paramètres!$A$1:$I$89,3,0)*0.475*44/12</f>
        <v>0.20135596814492507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3.028625607840246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70.906504965960835</v>
      </c>
      <c r="AO188" s="62">
        <f t="shared" si="144"/>
        <v>321.54403976139344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2.4738609347334073</v>
      </c>
      <c r="AV188" s="23">
        <f>EXP(-LN(2)/25)*AV187+(1-EXP(-LN(2)/25))/(LN(2)/25)*Calculateur!AQ188*Calculateur!AS188*VLOOKUP('Données projet'!$B$10,Paramètres!$A$1:$I$89,3,0)*0.475*44/12</f>
        <v>0.17618647212680918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2.6500474068602164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79.398641219259446</v>
      </c>
      <c r="T189" s="62">
        <f t="shared" si="142"/>
        <v>363.58761819413922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2.7718286065250992</v>
      </c>
      <c r="AA189" s="23">
        <f>EXP(-LN(2)/25)*AA188+(1-EXP(-LN(2)/25))/(LN(2)/25)*Calculateur!V189*Calculateur!X189*VLOOKUP('Données projet'!$B$9,Paramètres!$A$1:$I$89,3,0)*0.475*44/12</f>
        <v>0.19584987860715194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2.9676784851322511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70.906504965960835</v>
      </c>
      <c r="AO189" s="62">
        <f t="shared" si="144"/>
        <v>321.54403976139344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2.4253500307094633</v>
      </c>
      <c r="AV189" s="23">
        <f>EXP(-LN(2)/25)*AV188+(1-EXP(-LN(2)/25))/(LN(2)/25)*Calculateur!AQ189*Calculateur!AS189*VLOOKUP('Données projet'!$B$10,Paramètres!$A$1:$I$89,3,0)*0.475*44/12</f>
        <v>0.17136864378125768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2.5967186744907211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79.398641219259446</v>
      </c>
      <c r="T190" s="62">
        <f t="shared" si="142"/>
        <v>363.58761819413922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2.7174747381996545</v>
      </c>
      <c r="AA190" s="23">
        <f>EXP(-LN(2)/25)*AA189+(1-EXP(-LN(2)/25))/(LN(2)/25)*Calculateur!V190*Calculateur!X190*VLOOKUP('Données projet'!$B$9,Paramètres!$A$1:$I$89,3,0)*0.475*44/12</f>
        <v>0.19049435337734189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2.9079690915769962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70.906504965960835</v>
      </c>
      <c r="AO190" s="62">
        <f t="shared" si="144"/>
        <v>321.54403976139344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2.3777903959246989</v>
      </c>
      <c r="AV190" s="23">
        <f>EXP(-LN(2)/25)*AV189+(1-EXP(-LN(2)/25))/(LN(2)/25)*Calculateur!AQ190*Calculateur!AS190*VLOOKUP('Données projet'!$B$10,Paramètres!$A$1:$I$89,3,0)*0.475*44/12</f>
        <v>0.16668255920517389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2.5444729551298728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79.398641219259446</v>
      </c>
      <c r="T191" s="62">
        <f t="shared" si="142"/>
        <v>363.58761819413922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2.6641867160794854</v>
      </c>
      <c r="AA191" s="23">
        <f>EXP(-LN(2)/25)*AA190+(1-EXP(-LN(2)/25))/(LN(2)/25)*Calculateur!V191*Calculateur!X191*VLOOKUP('Données projet'!$B$9,Paramètres!$A$1:$I$89,3,0)*0.475*44/12</f>
        <v>0.18528527526657582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2.8494719913460611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70.906504965960835</v>
      </c>
      <c r="AO191" s="62">
        <f t="shared" si="144"/>
        <v>321.54403976139344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2.3311633765695507</v>
      </c>
      <c r="AV191" s="23">
        <f>EXP(-LN(2)/25)*AV190+(1-EXP(-LN(2)/25))/(LN(2)/25)*Calculateur!AQ191*Calculateur!AS191*VLOOKUP('Données projet'!$B$10,Paramètres!$A$1:$I$89,3,0)*0.475*44/12</f>
        <v>0.16212461585825358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2.4932879924278044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79.398641219259446</v>
      </c>
      <c r="T192" s="62">
        <f t="shared" si="142"/>
        <v>363.58761819413922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2.6119436395706086</v>
      </c>
      <c r="AA192" s="23">
        <f>EXP(-LN(2)/25)*AA191+(1-EXP(-LN(2)/25))/(LN(2)/25)*Calculateur!V192*Calculateur!X192*VLOOKUP('Données projet'!$B$9,Paramètres!$A$1:$I$89,3,0)*0.475*44/12</f>
        <v>0.18021863967068216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2.7921622792412908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70.906504965960835</v>
      </c>
      <c r="AO192" s="62">
        <f t="shared" si="144"/>
        <v>321.54403976139344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2.2854506846242835</v>
      </c>
      <c r="AV192" s="23">
        <f>EXP(-LN(2)/25)*AV191+(1-EXP(-LN(2)/25))/(LN(2)/25)*Calculateur!AQ192*Calculateur!AS192*VLOOKUP('Données projet'!$B$10,Paramètres!$A$1:$I$89,3,0)*0.475*44/12</f>
        <v>0.15769130971184664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2.4431419943361301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79.398641219259446</v>
      </c>
      <c r="T193" s="62">
        <f t="shared" si="142"/>
        <v>363.58761819413922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2.560725017926941</v>
      </c>
      <c r="AA193" s="23">
        <f>EXP(-LN(2)/25)*AA192+(1-EXP(-LN(2)/25))/(LN(2)/25)*Calculateur!V193*Calculateur!X193*VLOOKUP('Données projet'!$B$9,Paramètres!$A$1:$I$89,3,0)*0.475*44/12</f>
        <v>0.175290551491601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2.7360155694185417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70.906504965960835</v>
      </c>
      <c r="AO193" s="62">
        <f t="shared" si="144"/>
        <v>321.54403976139344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2.2406343906860742</v>
      </c>
      <c r="AV193" s="23">
        <f>EXP(-LN(2)/25)*AV192+(1-EXP(-LN(2)/25))/(LN(2)/25)*Calculateur!AQ193*Calculateur!AS193*VLOOKUP('Données projet'!$B$10,Paramètres!$A$1:$I$89,3,0)*0.475*44/12</f>
        <v>0.15337923255515062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2.394013623241225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79.398641219259446</v>
      </c>
      <c r="T194" s="62">
        <f t="shared" si="142"/>
        <v>363.58761819413922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2.5105107622134311</v>
      </c>
      <c r="AA194" s="23">
        <f>EXP(-LN(2)/25)*AA193+(1-EXP(-LN(2)/25))/(LN(2)/25)*Calculateur!V194*Calculateur!X194*VLOOKUP('Données projet'!$B$9,Paramètres!$A$1:$I$89,3,0)*0.475*44/12</f>
        <v>0.1704972221429337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2.6810079843563646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70.906504965960835</v>
      </c>
      <c r="AO194" s="62">
        <f t="shared" si="144"/>
        <v>321.54403976139344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2.196696916936753</v>
      </c>
      <c r="AV194" s="23">
        <f>EXP(-LN(2)/25)*AV193+(1-EXP(-LN(2)/25))/(LN(2)/25)*Calculateur!AQ194*Calculateur!AS194*VLOOKUP('Données projet'!$B$10,Paramètres!$A$1:$I$89,3,0)*0.475*44/12</f>
        <v>0.14918506937506673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2.3458819863118197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79.398641219259446</v>
      </c>
      <c r="T195" s="62">
        <f t="shared" si="142"/>
        <v>363.58761819413922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2.4612811774267911</v>
      </c>
      <c r="AA195" s="23">
        <f>EXP(-LN(2)/25)*AA194+(1-EXP(-LN(2)/25))/(LN(2)/25)*Calculateur!V195*Calculateur!X195*VLOOKUP('Données projet'!$B$9,Paramètres!$A$1:$I$89,3,0)*0.475*44/12</f>
        <v>0.16583496663737593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2.6271161440641668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70.906504965960835</v>
      </c>
      <c r="AO195" s="62">
        <f t="shared" si="144"/>
        <v>321.54403976139344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2.1536210302484431</v>
      </c>
      <c r="AV195" s="23">
        <f>EXP(-LN(2)/25)*AV194+(1-EXP(-LN(2)/25))/(LN(2)/25)*Calculateur!AQ195*Calculateur!AS195*VLOOKUP('Données projet'!$B$10,Paramètres!$A$1:$I$89,3,0)*0.475*44/12</f>
        <v>0.14510559580770371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2.2987266260561467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79.398641219259446</v>
      </c>
      <c r="T196" s="62">
        <f t="shared" si="142"/>
        <v>363.58761819413922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2.4130169547707356</v>
      </c>
      <c r="AA196" s="23">
        <f>EXP(-LN(2)/25)*AA195+(1-EXP(-LN(2)/25))/(LN(2)/25)*Calculateur!V196*Calculateur!X196*VLOOKUP('Données projet'!$B$9,Paramètres!$A$1:$I$89,3,0)*0.475*44/12</f>
        <v>0.161300200753795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2.5743171555245308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70.906504965960835</v>
      </c>
      <c r="AO196" s="62">
        <f t="shared" si="144"/>
        <v>321.54403976139344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2.1113898354243945</v>
      </c>
      <c r="AV196" s="23">
        <f>EXP(-LN(2)/25)*AV195+(1-EXP(-LN(2)/25))/(LN(2)/25)*Calculateur!AQ196*Calculateur!AS196*VLOOKUP('Données projet'!$B$10,Paramètres!$A$1:$I$89,3,0)*0.475*44/12</f>
        <v>0.14113767565957042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2.2525275110839651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79.398641219259446</v>
      </c>
      <c r="T197" s="62">
        <f t="shared" ref="T197:T203" si="204">$T$3</f>
        <v>363.58761819413922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2.3656991640826961</v>
      </c>
      <c r="AA197" s="23">
        <f>EXP(-LN(2)/25)*AA196+(1-EXP(-LN(2)/25))/(LN(2)/25)*Calculateur!V197*Calculateur!X197*VLOOKUP('Données projet'!$B$9,Paramètres!$A$1:$I$89,3,0)*0.475*44/12</f>
        <v>0.15688943828177357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2.5225886023644697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70.906504965960835</v>
      </c>
      <c r="AO197" s="62">
        <f t="shared" ref="AO197:AO203" si="205">$AO$3</f>
        <v>321.54403976139344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2.0699867685723601</v>
      </c>
      <c r="AV197" s="23">
        <f>EXP(-LN(2)/25)*AV196+(1-EXP(-LN(2)/25))/(LN(2)/25)*Calculateur!AQ197*Calculateur!AS197*VLOOKUP('Données projet'!$B$10,Paramètres!$A$1:$I$89,3,0)*0.475*44/12</f>
        <v>0.13727825849655168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2.2072650270689116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79.398641219259446</v>
      </c>
      <c r="T198" s="62">
        <f t="shared" si="204"/>
        <v>363.58761819413922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2.3193092464090466</v>
      </c>
      <c r="AA198" s="23">
        <f>EXP(-LN(2)/25)*AA197+(1-EXP(-LN(2)/25))/(LN(2)/25)*Calculateur!V198*Calculateur!X198*VLOOKUP('Données projet'!$B$9,Paramètres!$A$1:$I$89,3,0)*0.475*44/12</f>
        <v>0.15259928834150149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2.4719085347505478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70.906504965960835</v>
      </c>
      <c r="AO198" s="62">
        <f t="shared" si="205"/>
        <v>321.54403976139344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2.0293955906079169</v>
      </c>
      <c r="AV198" s="23">
        <f>EXP(-LN(2)/25)*AV197+(1-EXP(-LN(2)/25))/(LN(2)/25)*Calculateur!AQ198*Calculateur!AS198*VLOOKUP('Données projet'!$B$10,Paramètres!$A$1:$I$89,3,0)*0.475*44/12</f>
        <v>0.13352437729881361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2.1629199679067304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79.398641219259446</v>
      </c>
      <c r="T199" s="62">
        <f t="shared" si="204"/>
        <v>363.58761819413922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2.2738290067259217</v>
      </c>
      <c r="AA199" s="23">
        <f>EXP(-LN(2)/25)*AA198+(1-EXP(-LN(2)/25))/(LN(2)/25)*Calculateur!V199*Calculateur!X199*VLOOKUP('Données projet'!$B$9,Paramètres!$A$1:$I$89,3,0)*0.475*44/12</f>
        <v>0.14842645277695532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2.4222554595028769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70.906504965960835</v>
      </c>
      <c r="AO199" s="62">
        <f t="shared" si="205"/>
        <v>321.54403976139344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1.9896003808851823</v>
      </c>
      <c r="AV199" s="23">
        <f>EXP(-LN(2)/25)*AV198+(1-EXP(-LN(2)/25))/(LN(2)/25)*Calculateur!AQ199*Calculateur!AS199*VLOOKUP('Données projet'!$B$10,Paramètres!$A$1:$I$89,3,0)*0.475*44/12</f>
        <v>0.12987314617983572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2.119473527065018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79.398641219259446</v>
      </c>
      <c r="T200" s="62">
        <f t="shared" si="204"/>
        <v>363.58761819413922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2.2292406068027755</v>
      </c>
      <c r="AA200" s="23">
        <f>EXP(-LN(2)/25)*AA199+(1-EXP(-LN(2)/25))/(LN(2)/25)*Calculateur!V200*Calculateur!X200*VLOOKUP('Données projet'!$B$9,Paramètres!$A$1:$I$89,3,0)*0.475*44/12</f>
        <v>0.14436772362036157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2.3736083304231372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70.906504965960835</v>
      </c>
      <c r="AO200" s="62">
        <f t="shared" si="205"/>
        <v>321.54403976139344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1.9505855309524294</v>
      </c>
      <c r="AV200" s="23">
        <f>EXP(-LN(2)/25)*AV199+(1-EXP(-LN(2)/25))/(LN(2)/25)*Calculateur!AQ200*Calculateur!AS200*VLOOKUP('Données projet'!$B$10,Paramètres!$A$1:$I$89,3,0)*0.475*44/12</f>
        <v>0.12632175816781618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2.0769072891202454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79.398641219259446</v>
      </c>
      <c r="T201" s="62">
        <f t="shared" si="204"/>
        <v>363.58761819413922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2.1855265582058836</v>
      </c>
      <c r="AA201" s="23">
        <f>EXP(-LN(2)/25)*AA200+(1-EXP(-LN(2)/25))/(LN(2)/25)*Calculateur!V201*Calculateur!X201*VLOOKUP('Données projet'!$B$9,Paramètres!$A$1:$I$89,3,0)*0.475*44/12</f>
        <v>0.14041998062599415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2.3259465388318779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70.906504965960835</v>
      </c>
      <c r="AO201" s="62">
        <f t="shared" si="205"/>
        <v>321.54403976139344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1.9123357384301491</v>
      </c>
      <c r="AV201" s="23">
        <f>EXP(-LN(2)/25)*AV200+(1-EXP(-LN(2)/25))/(LN(2)/25)*Calculateur!AQ201*Calculateur!AS201*VLOOKUP('Données projet'!$B$10,Paramètres!$A$1:$I$89,3,0)*0.475*44/12</f>
        <v>0.1228674830477447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2.0352032214778939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79.398641219259446</v>
      </c>
      <c r="T202" s="62">
        <f t="shared" si="204"/>
        <v>363.58761819413922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2.1426697154390402</v>
      </c>
      <c r="AA202" s="23">
        <f>EXP(-LN(2)/25)*AA201+(1-EXP(-LN(2)/25))/(LN(2)/25)*Calculateur!V202*Calculateur!X202*VLOOKUP('Données projet'!$B$9,Paramètres!$A$1:$I$89,3,0)*0.475*44/12</f>
        <v>0.13658018887141049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2.2792499043104506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70.906504965960835</v>
      </c>
      <c r="AO202" s="62">
        <f t="shared" si="205"/>
        <v>321.54403976139344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1.8748360010091609</v>
      </c>
      <c r="AV202" s="23">
        <f>EXP(-LN(2)/25)*AV201+(1-EXP(-LN(2)/25))/(LN(2)/25)*Calculateur!AQ202*Calculateur!AS202*VLOOKUP('Données projet'!$B$10,Paramètres!$A$1:$I$89,3,0)*0.475*44/12</f>
        <v>0.11950766526248401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1.9943436662716449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79.398641219259446</v>
      </c>
      <c r="T203" s="62">
        <f t="shared" si="204"/>
        <v>363.58761819413922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2.1006532692187614</v>
      </c>
      <c r="AA203" s="23">
        <f>EXP(-LN(2)/25)*AA202+(1-EXP(-LN(2)/25))/(LN(2)/25)*Calculateur!V203*Calculateur!X203*VLOOKUP('Données projet'!$B$9,Paramètres!$A$1:$I$89,3,0)*0.475*44/12</f>
        <v>0.13284539642428181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2.2334986656430433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70.906504965960835</v>
      </c>
      <c r="AO203" s="62">
        <f t="shared" si="205"/>
        <v>321.54403976139344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1.838071610566417</v>
      </c>
      <c r="AV203" s="23">
        <f>EXP(-LN(2)/25)*AV202+(1-EXP(-LN(2)/25))/(LN(2)/25)*Calculateur!AQ203*Calculateur!AS203*VLOOKUP('Données projet'!$B$10,Paramètres!$A$1:$I$89,3,0)*0.475*44/12</f>
        <v>0.1162397218712464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1.9543113324376633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1.4202323807635395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1.4202323807635395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26" workbookViewId="0">
      <selection activeCell="C41" sqref="C41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J31" sqref="J31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Peuplier Taro</v>
      </c>
      <c r="B6" s="155">
        <f>'Données projet'!D9</f>
        <v>2.4909999999999997</v>
      </c>
      <c r="C6" s="156">
        <f ca="1">IF(OR('Données projet'!B9="",'Données projet'!C9="",'Données projet'!C9=0%),0,Calculateur!S3)</f>
        <v>79.398641219259446</v>
      </c>
      <c r="D6" s="156">
        <f>IF(OR('Données projet'!B9="",'Données projet'!C9="",'Données projet'!C9=0%),0,Calculateur!T3)</f>
        <v>363.58761819413922</v>
      </c>
      <c r="E6" s="156">
        <f ca="1">MIN(C6,D6)</f>
        <v>79.398641219259446</v>
      </c>
      <c r="F6" s="156">
        <f ca="1">E6*B6</f>
        <v>197.78201527717525</v>
      </c>
      <c r="G6" s="156">
        <f ca="1">F6*(100%-'Données projet'!$C$24)*(100%-'Données projet'!$C$25)*(100%-'Données projet'!$C$26)*(100%-'Données projet'!$C$27)</f>
        <v>135.28289844958789</v>
      </c>
      <c r="H6" s="157">
        <f>IF(OR('Données projet'!B9="",'Données projet'!C9="",'Données projet'!C9=0%),0,AVERAGE(Calculateur!$AC$3:$AC$33)*B6)</f>
        <v>106.42532062857312</v>
      </c>
      <c r="I6" s="158">
        <f>H6*(100%-'Données projet'!$C$24)*(100%-'Données projet'!$C$25)*(100%-'Données projet'!$C$26)*(100%-'Données projet'!$C$27)</f>
        <v>72.794919309944021</v>
      </c>
      <c r="J6" s="159">
        <f>IF(OR('Données projet'!B9="",'Données projet'!C9="",'Données projet'!C9=0%),0,SUM(Calculateur!$V$3:$V$33)*VLOOKUP('Données projet'!$B$9,Paramètres!$A$1:$I$89,9,0)*B6)</f>
        <v>703.01001999999994</v>
      </c>
      <c r="K6" s="160">
        <f>J6*(100%-'Données projet'!$C$24)*(100%-'Données projet'!$C$25)*(100%-'Données projet'!$C$26)*(100%-'Données projet'!$C$27)</f>
        <v>480.85885367999998</v>
      </c>
      <c r="L6" s="161">
        <f ca="1">G6+I6+K6</f>
        <v>688.93667143953189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Peuplier Beaupré</v>
      </c>
      <c r="B7" s="163">
        <f>'Données projet'!D10</f>
        <v>0.159</v>
      </c>
      <c r="C7" s="156">
        <f ca="1">IF(OR('Données projet'!B10="",'Données projet'!C10="",'Données projet'!C10=0%),0,Calculateur!AN3)</f>
        <v>70.906504965960835</v>
      </c>
      <c r="D7" s="156">
        <f>IF(OR('Données projet'!B10="",'Données projet'!C10="",'Données projet'!C10=0%),0,Calculateur!AO3)</f>
        <v>321.54403976139344</v>
      </c>
      <c r="E7" s="156">
        <f t="shared" ref="E7:E15" ca="1" si="0">MIN(C7,D7)</f>
        <v>70.906504965960835</v>
      </c>
      <c r="F7" s="156">
        <f t="shared" ref="F7:F15" ca="1" si="1">E7*B7</f>
        <v>11.274134289587773</v>
      </c>
      <c r="G7" s="156">
        <f ca="1">F7*(100%-'Données projet'!$C$24)*(100%-'Données projet'!$C$25)*(100%-'Données projet'!$C$26)*(100%-'Données projet'!$C$27)</f>
        <v>7.7115078540780377</v>
      </c>
      <c r="H7" s="164">
        <f>IF(OR('Données projet'!B10="",'Données projet'!C10="",'Données projet'!C10=0%),0,AVERAGE(Calculateur!$AX$3:$AX$33)*B7)</f>
        <v>5.9439673755320079</v>
      </c>
      <c r="I7" s="158">
        <f>H7*(100%-'Données projet'!$C$24)*(100%-'Données projet'!$C$25)*(100%-'Données projet'!$C$26)*(100%-'Données projet'!$C$27)</f>
        <v>4.065673684863893</v>
      </c>
      <c r="J7" s="159">
        <f>IF(OR('Données projet'!B10="",'Données projet'!C10="",'Données projet'!C10=0%),0,SUM(Calculateur!$AQ$3:$AQ$33)*VLOOKUP('Données projet'!$B$10,Paramètres!$A$1:$I$89,9,0)*B7)</f>
        <v>44.872980000000005</v>
      </c>
      <c r="K7" s="160">
        <f>J7*(100%-'Données projet'!$C$24)*(100%-'Données projet'!$C$25)*(100%-'Données projet'!$C$26)*(100%-'Données projet'!$C$27)</f>
        <v>30.693118320000007</v>
      </c>
      <c r="L7" s="161">
        <f t="shared" ref="L7:L15" ca="1" si="2">G7+I7+K7</f>
        <v>42.470299858941942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209.05614956676303</v>
      </c>
      <c r="G16" s="175">
        <f t="shared" ca="1" si="3"/>
        <v>142.99440630366593</v>
      </c>
      <c r="H16" s="176">
        <f t="shared" si="3"/>
        <v>112.36928800410513</v>
      </c>
      <c r="I16" s="176">
        <f t="shared" si="3"/>
        <v>76.860592994807917</v>
      </c>
      <c r="J16" s="177">
        <f t="shared" si="3"/>
        <v>747.88299999999992</v>
      </c>
      <c r="K16" s="177">
        <f t="shared" si="3"/>
        <v>511.55197199999998</v>
      </c>
      <c r="L16" s="178">
        <f t="shared" ca="1" si="3"/>
        <v>731.40697129847388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Peuplier Taro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Peuplier Beaupré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H15" sqref="H15:I1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Taro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2.4909999999999997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Beaupré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0.159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Peuplier Taro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16</v>
      </c>
      <c r="B23" s="193">
        <f>'Données projet'!D36</f>
        <v>274</v>
      </c>
      <c r="C23" s="292"/>
      <c r="D23" s="194">
        <f>B23*C23</f>
        <v>0</v>
      </c>
      <c r="E23" s="206"/>
      <c r="F23" s="261"/>
      <c r="H23" s="203"/>
      <c r="I23" s="204"/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0</v>
      </c>
      <c r="B24" s="193">
        <f>'Données projet'!D37</f>
        <v>0</v>
      </c>
      <c r="C24" s="292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0</v>
      </c>
      <c r="B25" s="193">
        <f>'Données projet'!D38</f>
        <v>0</v>
      </c>
      <c r="C25" s="292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2">
        <f ca="1">T23-T24</f>
        <v>0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0</v>
      </c>
      <c r="B26" s="193">
        <f>'Données projet'!D39</f>
        <v>0</v>
      </c>
      <c r="C26" s="292"/>
      <c r="D26" s="194">
        <f t="shared" si="2"/>
        <v>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n'est pas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0</v>
      </c>
      <c r="B27" s="193">
        <f>'Données projet'!D40</f>
        <v>0</v>
      </c>
      <c r="C27" s="292"/>
      <c r="D27" s="194">
        <f t="shared" si="2"/>
        <v>0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0</v>
      </c>
      <c r="B28" s="193">
        <f>'Données projet'!D41</f>
        <v>0</v>
      </c>
      <c r="C28" s="292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0</v>
      </c>
      <c r="B29" s="193">
        <f>'Données projet'!D42</f>
        <v>0</v>
      </c>
      <c r="C29" s="292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92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92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92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92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92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92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92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92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92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92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92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92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92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Peuplier Beaupré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 t="str">
        <f>IF(O49+1&lt;=MIN('Données projet'!$E$9:$E$18),O49+1,"STOP")</f>
        <v>STOP</v>
      </c>
      <c r="P50" s="197" t="e">
        <f t="shared" si="3"/>
        <v>#VALUE!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 t="e">
        <f>IF(O50+1&lt;=MIN('Données projet'!$E$9:$E$18),O50+1,"STOP")</f>
        <v>#VALUE!</v>
      </c>
      <c r="P51" s="197" t="e">
        <f t="shared" si="3"/>
        <v>#VALUE!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e">
        <f>IF(O51+1&lt;=MIN('Données projet'!$E$9:$E$18),O51+1,"STOP")</f>
        <v>#VALUE!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16</v>
      </c>
      <c r="B54" s="193">
        <f>'Données projet'!D62</f>
        <v>274</v>
      </c>
      <c r="C54" s="292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0</v>
      </c>
      <c r="B55" s="193">
        <f>'Données projet'!D63</f>
        <v>0</v>
      </c>
      <c r="C55" s="292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0</v>
      </c>
      <c r="B56" s="193">
        <f>'Données projet'!D64</f>
        <v>0</v>
      </c>
      <c r="C56" s="292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0</v>
      </c>
      <c r="B57" s="193">
        <f>'Données projet'!D65</f>
        <v>0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92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92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92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92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92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92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92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92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92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92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92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92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92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92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92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92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92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92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92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92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92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92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92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92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92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92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92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92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92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92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92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92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92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92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NEVEU Tancrede</cp:lastModifiedBy>
  <dcterms:created xsi:type="dcterms:W3CDTF">2021-02-01T08:22:39Z</dcterms:created>
  <dcterms:modified xsi:type="dcterms:W3CDTF">2025-05-12T12:05:34Z</dcterms:modified>
</cp:coreProperties>
</file>