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40-001 SALIS/h. Carbone/2025 LBC/Dépôt/V3/"/>
    </mc:Choice>
  </mc:AlternateContent>
  <xr:revisionPtr revIDLastSave="6" documentId="13_ncr:1_{15FBDD67-AB24-4C75-9C3B-6AF5CE4B915B}" xr6:coauthVersionLast="47" xr6:coauthVersionMax="47" xr10:uidLastSave="{F9BEE957-0DF2-994A-A14D-7EEE7DAEB870}"/>
  <bookViews>
    <workbookView xWindow="18800" yWindow="620" windowWidth="10000" windowHeight="154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HI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FS156" i="2" l="1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DG160" i="2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A161" i="2"/>
  <c r="ED160" i="2"/>
  <c r="EB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D162" i="2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FS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A185" i="2"/>
  <c r="EB185" i="2"/>
  <c r="ED184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D185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D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HI193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FS201" i="2" l="1"/>
  <c r="ED200" i="2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HG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84" i="2" a="1"/>
  <c r="BC84" i="2" s="1"/>
  <c r="BC31" i="2" a="1"/>
  <c r="BC31" i="2" s="1"/>
  <c r="BC7" i="2" a="1"/>
  <c r="BC7" i="2" s="1"/>
  <c r="BC151" i="2" a="1"/>
  <c r="BC151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143" i="2" l="1" a="1"/>
  <c r="BC143" i="2" s="1"/>
  <c r="BC47" i="2" a="1"/>
  <c r="BC47" i="2" s="1"/>
  <c r="BC32" i="2" a="1"/>
  <c r="BC32" i="2" s="1"/>
  <c r="BC181" i="2" a="1"/>
  <c r="BC181" i="2" s="1"/>
  <c r="BC38" i="2" a="1"/>
  <c r="BC38" i="2" s="1"/>
  <c r="BC164" i="2" a="1"/>
  <c r="BC164" i="2" s="1"/>
  <c r="BC65" i="2" a="1"/>
  <c r="BC65" i="2" s="1"/>
  <c r="HG203" i="2"/>
  <c r="BC114" i="2" a="1"/>
  <c r="BC114" i="2" s="1"/>
  <c r="CS114" i="2" a="1"/>
  <c r="CS114" i="2" s="1"/>
  <c r="CS134" i="2" a="1"/>
  <c r="CS134" i="2" s="1"/>
  <c r="CS24" i="2" a="1"/>
  <c r="CS24" i="2" s="1"/>
  <c r="CS185" i="2" a="1"/>
  <c r="CS185" i="2" s="1"/>
  <c r="CS38" i="2" a="1"/>
  <c r="CS38" i="2" s="1"/>
  <c r="CS105" i="2" a="1"/>
  <c r="CS105" i="2" s="1"/>
  <c r="CS161" i="2" a="1"/>
  <c r="CS161" i="2" s="1"/>
  <c r="CS77" i="2" a="1"/>
  <c r="CS77" i="2" s="1"/>
  <c r="CS56" i="2" a="1"/>
  <c r="CS56" i="2" s="1"/>
  <c r="CS72" i="2" a="1"/>
  <c r="CS72" i="2" s="1"/>
  <c r="CS137" i="2" a="1"/>
  <c r="CS137" i="2" s="1"/>
  <c r="CS129" i="2" a="1"/>
  <c r="CS129" i="2" s="1"/>
  <c r="CS52" i="2" a="1"/>
  <c r="CS52" i="2" s="1"/>
  <c r="BX107" i="2" a="1"/>
  <c r="BX107" i="2" s="1"/>
  <c r="BC68" i="2" a="1"/>
  <c r="BC68" i="2" s="1"/>
  <c r="BC58" i="2" a="1"/>
  <c r="BC58" i="2" s="1"/>
  <c r="BC185" i="2" a="1"/>
  <c r="BC185" i="2" s="1"/>
  <c r="BC34" i="2" a="1"/>
  <c r="BC34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<sst xmlns="http://schemas.openxmlformats.org/spreadsheetml/2006/main" count="1176" uniqueCount="329">
  <si>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</si>
  <si>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</si>
  <si>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</si>
  <si>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</si>
  <si>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</si>
  <si>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</si>
  <si>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</si>
  <si>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</si>
  <si>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</si>
  <si>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</si>
  <si>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</si>
  <si>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</si>
  <si>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</si>
  <si>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</si>
  <si>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</si>
  <si>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</si>
  <si>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</si>
  <si>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</si>
  <si>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</si>
  <si>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</si>
  <si>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</si>
  <si>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</si>
  <si>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</si>
  <si>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</si>
  <si>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</si>
  <si>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</si>
  <si>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</si>
  <si>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</si>
  <si>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</si>
  <si>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</si>
  <si>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</si>
  <si>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</si>
  <si>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</si>
  <si>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</si>
  <si>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</si>
  <si>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</si>
  <si>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</si>
  <si>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</si>
  <si>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</si>
  <si>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</si>
  <si>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</si>
  <si>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</si>
  <si>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</si>
  <si>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</si>
  <si>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</si>
  <si>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</si>
  <si>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</si>
  <si>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</si>
  <si>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</si>
  <si>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</si>
  <si>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</si>
  <si>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</si>
  <si>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</si>
  <si>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</si>
  <si>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</si>
  <si>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</si>
  <si>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</si>
  <si>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</si>
  <si>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</si>
  <si>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</si>
  <si>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</si>
  <si>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</si>
  <si>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</si>
  <si>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</si>
  <si>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</si>
  <si>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</si>
  <si>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</si>
  <si>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</si>
  <si>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</si>
  <si>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</si>
  <si>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</si>
  <si>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</si>
  <si>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</si>
  <si>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</si>
  <si>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</si>
  <si>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</si>
  <si>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</si>
  <si>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</si>
  <si>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</si>
  <si>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</si>
  <si>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</si>
  <si>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</si>
  <si>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</si>
  <si>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</si>
  <si>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</si>
  <si>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</si>
  <si>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</si>
  <si>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</si>
  <si>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</si>
  <si>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</si>
  <si>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</si>
  <si>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</si>
  <si>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</si>
  <si>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</si>
  <si>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</si>
  <si>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</si>
  <si>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</si>
  <si>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</si>
  <si>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</si>
  <si>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</si>
  <si>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</si>
  <si>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</si>
  <si>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</si>
  <si>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</si>
  <si>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</si>
  <si>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</si>
  <si>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</si>
  <si>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</si>
  <si>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</si>
  <si>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</si>
  <si>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</si>
  <si>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</si>
  <si>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</si>
  <si>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</si>
  <si>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</si>
  <si>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</si>
  <si>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</si>
  <si>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</si>
  <si>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</si>
  <si>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</si>
  <si>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</si>
  <si>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</si>
  <si>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</si>
  <si>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</si>
  <si>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</si>
  <si>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</si>
  <si>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</si>
  <si>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</si>
  <si>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</si>
  <si>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</si>
  <si>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</si>
  <si>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</si>
  <si>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</si>
  <si>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</si>
  <si>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</si>
  <si>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</si>
  <si>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</si>
  <si>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</si>
  <si>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</si>
  <si>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</si>
  <si>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</si>
  <si>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</si>
  <si>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</si>
  <si>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</si>
  <si>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</si>
  <si>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</si>
  <si>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</si>
  <si>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</si>
  <si>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</si>
  <si>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</si>
  <si>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</si>
  <si>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</si>
  <si>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</si>
  <si>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</si>
  <si>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</si>
  <si>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</si>
  <si>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</si>
  <si>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</si>
  <si>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</si>
  <si>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</si>
  <si>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</si>
  <si>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</si>
  <si>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</si>
  <si>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</si>
  <si>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</si>
  <si>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</si>
  <si>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</si>
  <si>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</si>
  <si>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</si>
  <si>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</si>
  <si>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</si>
  <si>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</si>
  <si>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</si>
  <si>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</si>
  <si>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</si>
  <si>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</si>
  <si>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</si>
  <si>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</si>
  <si>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</si>
  <si>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</si>
  <si>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</si>
  <si>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</si>
  <si>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</si>
  <si>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</si>
  <si>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</si>
  <si>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</si>
  <si>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</si>
  <si>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</si>
  <si>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</si>
  <si>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</si>
  <si>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</si>
  <si>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</si>
  <si>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</si>
  <si>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</si>
  <si>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</si>
  <si>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</si>
  <si>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</si>
  <si>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</si>
  <si>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</si>
  <si>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</si>
  <si>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</si>
  <si>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</si>
  <si>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</si>
  <si>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</si>
  <si>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</si>
  <si>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</si>
  <si>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</si>
  <si>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</si>
  <si>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</si>
  <si>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</si>
  <si>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</si>
  <si>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</si>
  <si>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</si>
  <si>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</si>
  <si>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</si>
  <si>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</si>
  <si>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</si>
  <si>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</si>
  <si>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</si>
  <si>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</si>
  <si>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</si>
  <si>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</si>
  <si>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</si>
  <si>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</si>
  <si>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</si>
  <si>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</si>
  <si>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</si>
  <si>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</si>
  <si>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</si>
  <si>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</si>
  <si>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</si>
  <si>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</si>
  <si>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</si>
  <si>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</si>
  <si>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</si>
  <si>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</si>
  <si>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</si>
  <si>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</si>
  <si>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</si>
  <si>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</si>
  <si>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</si>
  <si>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</si>
  <si>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</si>
  <si>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</si>
  <si>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</si>
  <si>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</si>
  <si>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</si>
  <si>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</si>
  <si>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</si>
  <si>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</si>
  <si>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</si>
  <si>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</si>
  <si>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</si>
  <si>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</si>
  <si>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</si>
  <si>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</si>
  <si>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</si>
  <si>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</si>
  <si>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</si>
  <si>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</si>
  <si>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</si>
  <si>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</si>
  <si>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</si>
  <si>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</si>
  <si>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</si>
  <si>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</si>
  <si>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</si>
  <si>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</si>
  <si>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</si>
  <si>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</si>
  <si>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</si>
  <si>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</si>
  <si>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</si>
  <si>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</si>
  <si>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</si>
  <si>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</si>
  <si>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</si>
  <si>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</si>
  <si>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</si>
  <si>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</si>
  <si>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</si>
  <si>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</si>
  <si>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</si>
  <si>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</si>
  <si>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</si>
  <si>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</si>
  <si>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</si>
  <si>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</si>
  <si>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</si>
  <si>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</si>
  <si>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</si>
  <si>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</si>
  <si>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</si>
  <si>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</si>
  <si>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</si>
  <si>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</si>
  <si>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</si>
  <si>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</si>
  <si>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</si>
  <si>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</si>
  <si>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</si>
  <si>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</si>
  <si>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</si>
  <si>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</si>
  <si>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</si>
  <si>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</si>
  <si>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</si>
  <si>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</si>
  <si>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</si>
  <si>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</si>
  <si>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</si>
  <si>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</si>
  <si>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</si>
  <si>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</si>
  <si>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</si>
  <si>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</si>
  <si>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</si>
  <si>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</si>
  <si>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</si>
  <si>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</si>
  <si>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</si>
  <si>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</si>
  <si>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</si>
  <si>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</si>
  <si>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pubescent</t>
  </si>
  <si>
    <t>chêne chevelu</t>
  </si>
  <si>
    <t>pin maritime</t>
  </si>
  <si>
    <t>Peuplier Dano et Rona</t>
  </si>
  <si>
    <t>Infradensité non connu, par défaut I214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</si>
</sst>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7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3.5848171351889988</c:v>
                </c:pt>
                <c:pt idx="2">
                  <c:v>4.8416286626927247</c:v>
                </c:pt>
                <c:pt idx="3">
                  <c:v>6.5408715372244179</c:v>
                </c:pt>
                <c:pt idx="4">
                  <c:v>8.8388887797983759</c:v>
                </c:pt>
                <c:pt idx="5">
                  <c:v>11.947466582584214</c:v>
                </c:pt>
                <c:pt idx="6">
                  <c:v>16.153560047933912</c:v>
                </c:pt>
                <c:pt idx="7">
                  <c:v>21.846057976010275</c:v>
                </c:pt>
                <c:pt idx="8">
                  <c:v>29.552105381384489</c:v>
                </c:pt>
                <c:pt idx="9">
                  <c:v>39.986405856823303</c:v>
                </c:pt>
                <c:pt idx="10">
                  <c:v>54.118154115891912</c:v>
                </c:pt>
                <c:pt idx="11">
                  <c:v>73.261919019549453</c:v>
                </c:pt>
                <c:pt idx="12">
                  <c:v>99.201068322796701</c:v>
                </c:pt>
                <c:pt idx="13">
                  <c:v>134.35541493135989</c:v>
                </c:pt>
                <c:pt idx="14">
                  <c:v>182.00896554681501</c:v>
                </c:pt>
                <c:pt idx="15">
                  <c:v>246.61936765788826</c:v>
                </c:pt>
                <c:pt idx="16">
                  <c:v>206.51794973434934</c:v>
                </c:pt>
                <c:pt idx="17">
                  <c:v>243.02122855783492</c:v>
                </c:pt>
                <c:pt idx="18">
                  <c:v>279.39963766111288</c:v>
                </c:pt>
                <c:pt idx="19">
                  <c:v>315.67172376772402</c:v>
                </c:pt>
                <c:pt idx="20">
                  <c:v>351.85141458646626</c:v>
                </c:pt>
                <c:pt idx="21">
                  <c:v>274.91455293818166</c:v>
                </c:pt>
                <c:pt idx="22">
                  <c:v>309.85682211726339</c:v>
                </c:pt>
                <c:pt idx="23">
                  <c:v>344.711580692376</c:v>
                </c:pt>
                <c:pt idx="24">
                  <c:v>379.48891258338023</c:v>
                </c:pt>
                <c:pt idx="25">
                  <c:v>414.19690225230153</c:v>
                </c:pt>
                <c:pt idx="26">
                  <c:v>331.31556691700854</c:v>
                </c:pt>
                <c:pt idx="27">
                  <c:v>364.33852516457887</c:v>
                </c:pt>
                <c:pt idx="28">
                  <c:v>397.29609733045731</c:v>
                </c:pt>
                <c:pt idx="29">
                  <c:v>430.19446310321763</c:v>
                </c:pt>
                <c:pt idx="30">
                  <c:v>463.03878041146328</c:v>
                </c:pt>
                <c:pt idx="31">
                  <c:v>379.93431009929628</c:v>
                </c:pt>
                <c:pt idx="32">
                  <c:v>410.19544990407513</c:v>
                </c:pt>
                <c:pt idx="33">
                  <c:v>440.40840252576203</c:v>
                </c:pt>
                <c:pt idx="34">
                  <c:v>470.57693415697889</c:v>
                </c:pt>
                <c:pt idx="35">
                  <c:v>500.70428912785314</c:v>
                </c:pt>
                <c:pt idx="36">
                  <c:v>419.08643473326879</c:v>
                </c:pt>
                <c:pt idx="37">
                  <c:v>446.17924414056756</c:v>
                </c:pt>
                <c:pt idx="38">
                  <c:v>473.23684263623528</c:v>
                </c:pt>
                <c:pt idx="39">
                  <c:v>500.26152412217448</c:v>
                </c:pt>
                <c:pt idx="40">
                  <c:v>527.25531469060434</c:v>
                </c:pt>
                <c:pt idx="41">
                  <c:v>452.39221015864678</c:v>
                </c:pt>
                <c:pt idx="42">
                  <c:v>477.22610926559105</c:v>
                </c:pt>
                <c:pt idx="43">
                  <c:v>502.03253444791227</c:v>
                </c:pt>
                <c:pt idx="44">
                  <c:v>526.81303270774799</c:v>
                </c:pt>
                <c:pt idx="45">
                  <c:v>551.56899378437413</c:v>
                </c:pt>
                <c:pt idx="46">
                  <c:v>482.54402933920204</c:v>
                </c:pt>
                <c:pt idx="47">
                  <c:v>504.24611149146443</c:v>
                </c:pt>
                <c:pt idx="48">
                  <c:v>525.92844527215686</c:v>
                </c:pt>
                <c:pt idx="49">
                  <c:v>547.59195866062225</c:v>
                </c:pt>
                <c:pt idx="50">
                  <c:v>569.2375002894953</c:v>
                </c:pt>
                <c:pt idx="51">
                  <c:v>506.45948298618129</c:v>
                </c:pt>
                <c:pt idx="52">
                  <c:v>525.48613980439268</c:v>
                </c:pt>
                <c:pt idx="53">
                  <c:v>544.49829034246511</c:v>
                </c:pt>
                <c:pt idx="54">
                  <c:v>563.49651203558233</c:v>
                </c:pt>
                <c:pt idx="55">
                  <c:v>582.48134023717648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1.7548565404694336</c:v>
                </c:pt>
                <c:pt idx="2">
                  <c:v>2.4743200294741476</c:v>
                </c:pt>
                <c:pt idx="3">
                  <c:v>3.4900542238481225</c:v>
                </c:pt>
                <c:pt idx="4">
                  <c:v>4.9245665990138034</c:v>
                </c:pt>
                <c:pt idx="5">
                  <c:v>6.9512162828994368</c:v>
                </c:pt>
                <c:pt idx="6">
                  <c:v>9.8153970677259839</c:v>
                </c:pt>
                <c:pt idx="7">
                  <c:v>13.864573247168991</c:v>
                </c:pt>
                <c:pt idx="8">
                  <c:v>19.590879026266894</c:v>
                </c:pt>
                <c:pt idx="9">
                  <c:v>27.691551819420742</c:v>
                </c:pt>
                <c:pt idx="10">
                  <c:v>39.154686364185331</c:v>
                </c:pt>
                <c:pt idx="11">
                  <c:v>55.380947646265277</c:v>
                </c:pt>
                <c:pt idx="12">
                  <c:v>78.356360917009269</c:v>
                </c:pt>
                <c:pt idx="13">
                  <c:v>110.89766843128827</c:v>
                </c:pt>
                <c:pt idx="14">
                  <c:v>157.0008046953707</c:v>
                </c:pt>
                <c:pt idx="15">
                  <c:v>222.33593356245274</c:v>
                </c:pt>
                <c:pt idx="16">
                  <c:v>314.9508325977385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1.6273612022120316</c:v>
                </c:pt>
                <c:pt idx="2">
                  <c:v>2.2943637971408082</c:v>
                </c:pt>
                <c:pt idx="3">
                  <c:v>3.235960398126251</c:v>
                </c:pt>
                <c:pt idx="4">
                  <c:v>4.5656667706162208</c:v>
                </c:pt>
                <c:pt idx="5">
                  <c:v>6.4441070295101497</c:v>
                </c:pt>
                <c:pt idx="6">
                  <c:v>9.0986331344339284</c:v>
                </c:pt>
                <c:pt idx="7">
                  <c:v>12.851142185357121</c:v>
                </c:pt>
                <c:pt idx="8">
                  <c:v>18.157527097580704</c:v>
                </c:pt>
                <c:pt idx="9">
                  <c:v>25.663639923475355</c:v>
                </c:pt>
                <c:pt idx="10">
                  <c:v>36.284698913813834</c:v>
                </c:pt>
                <c:pt idx="11">
                  <c:v>51.317987102982926</c:v>
                </c:pt>
                <c:pt idx="12">
                  <c:v>72.602837079013767</c:v>
                </c:pt>
                <c:pt idx="13">
                  <c:v>102.74779358140296</c:v>
                </c:pt>
                <c:pt idx="14">
                  <c:v>145.45323271364018</c:v>
                </c:pt>
                <c:pt idx="15">
                  <c:v>205.96964741308508</c:v>
                </c:pt>
                <c:pt idx="16">
                  <c:v>291.7487834364785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6" sqref="C2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9" t="s">
        <v>231</v>
      </c>
      <c r="B5" s="269"/>
      <c r="C5" s="24">
        <v>7.6026999999999996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2.2100000000000002E-2</v>
      </c>
      <c r="D9" s="33">
        <f t="shared" ref="D9:D18" si="0">C9*$C$5</f>
        <v>0.16801967000000001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324</v>
      </c>
      <c r="C10" s="32">
        <v>2.2100000000000002E-2</v>
      </c>
      <c r="D10" s="33">
        <f t="shared" si="0"/>
        <v>0.16801967000000001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325</v>
      </c>
      <c r="C11" s="32">
        <v>2.2100000000000002E-2</v>
      </c>
      <c r="D11" s="33">
        <f t="shared" si="0"/>
        <v>0.16801967000000001</v>
      </c>
      <c r="E11" s="34">
        <v>55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326</v>
      </c>
      <c r="C12" s="32">
        <v>0.31369999999999998</v>
      </c>
      <c r="D12" s="33">
        <f t="shared" si="0"/>
        <v>2.3849669899999997</v>
      </c>
      <c r="E12" s="34">
        <v>34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116</v>
      </c>
      <c r="C13" s="32">
        <v>0.24249999999999999</v>
      </c>
      <c r="D13" s="33">
        <f t="shared" si="0"/>
        <v>1.8436547499999998</v>
      </c>
      <c r="E13" s="34">
        <v>16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111</v>
      </c>
      <c r="C14" s="32">
        <v>0.377</v>
      </c>
      <c r="D14" s="33">
        <f t="shared" si="0"/>
        <v>2.8662178999999997</v>
      </c>
      <c r="E14" s="34">
        <v>16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327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G15" s="23" t="s">
        <v>328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0.99950000000000006</v>
      </c>
      <c r="D19" s="38">
        <f>SUM(D9:D18)</f>
        <v>7.5988986499999989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/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/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/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/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/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/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/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/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/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60">
        <v>326</v>
      </c>
      <c r="C49" s="60">
        <v>14</v>
      </c>
      <c r="D49" s="60">
        <v>28</v>
      </c>
      <c r="E49" s="51"/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330</v>
      </c>
      <c r="C50" s="50">
        <v>15</v>
      </c>
      <c r="D50" s="50">
        <v>28</v>
      </c>
      <c r="E50" s="51"/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95</v>
      </c>
      <c r="B51" s="50">
        <v>332</v>
      </c>
      <c r="C51" s="50">
        <v>16</v>
      </c>
      <c r="D51" s="50">
        <v>28</v>
      </c>
      <c r="E51" s="51"/>
      <c r="F51" s="51"/>
      <c r="G51" s="51"/>
      <c r="H51" s="51"/>
      <c r="I51" s="49">
        <f t="shared" si="1"/>
        <v>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100</v>
      </c>
      <c r="B52" s="50">
        <v>333</v>
      </c>
      <c r="C52" s="50">
        <v>17</v>
      </c>
      <c r="D52" s="50">
        <v>27</v>
      </c>
      <c r="E52" s="51"/>
      <c r="F52" s="51"/>
      <c r="G52" s="51"/>
      <c r="H52" s="51"/>
      <c r="I52" s="49">
        <f t="shared" si="1"/>
        <v>5.8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105</v>
      </c>
      <c r="B53" s="50">
        <v>333</v>
      </c>
      <c r="C53" s="50">
        <v>18</v>
      </c>
      <c r="D53" s="50">
        <v>26</v>
      </c>
      <c r="E53" s="51"/>
      <c r="F53" s="51"/>
      <c r="G53" s="51"/>
      <c r="H53" s="51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110</v>
      </c>
      <c r="B54" s="50">
        <v>332</v>
      </c>
      <c r="C54" s="50">
        <v>19</v>
      </c>
      <c r="D54" s="50">
        <v>25</v>
      </c>
      <c r="E54" s="51"/>
      <c r="F54" s="51"/>
      <c r="G54" s="51"/>
      <c r="H54" s="51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115</v>
      </c>
      <c r="B55" s="50">
        <v>330</v>
      </c>
      <c r="C55" s="50">
        <v>20</v>
      </c>
      <c r="D55" s="50">
        <v>330</v>
      </c>
      <c r="E55" s="51"/>
      <c r="F55" s="51"/>
      <c r="G55" s="51"/>
      <c r="H55" s="51"/>
      <c r="I55" s="49">
        <f t="shared" si="1"/>
        <v>4.5999999999999996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147</v>
      </c>
      <c r="C65" s="60">
        <v>4</v>
      </c>
      <c r="D65" s="60">
        <v>28</v>
      </c>
      <c r="E65" s="51"/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175</v>
      </c>
      <c r="C66" s="60">
        <v>5</v>
      </c>
      <c r="D66" s="60">
        <v>28</v>
      </c>
      <c r="E66" s="51"/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204</v>
      </c>
      <c r="C67" s="60">
        <v>6</v>
      </c>
      <c r="D67" s="60">
        <v>28</v>
      </c>
      <c r="E67" s="51"/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231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60">
        <v>254</v>
      </c>
      <c r="C69" s="60">
        <v>8</v>
      </c>
      <c r="D69" s="60">
        <v>28</v>
      </c>
      <c r="E69" s="51"/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60">
        <v>273</v>
      </c>
      <c r="C70" s="60">
        <v>9</v>
      </c>
      <c r="D70" s="60">
        <v>28</v>
      </c>
      <c r="E70" s="51"/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60">
        <v>289</v>
      </c>
      <c r="C71" s="60">
        <v>10</v>
      </c>
      <c r="D71" s="60">
        <v>28</v>
      </c>
      <c r="E71" s="51"/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60">
        <v>302</v>
      </c>
      <c r="C72" s="60">
        <v>11</v>
      </c>
      <c r="D72" s="60">
        <v>28</v>
      </c>
      <c r="E72" s="51"/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60">
        <v>312</v>
      </c>
      <c r="C73" s="60">
        <v>12</v>
      </c>
      <c r="D73" s="60">
        <v>28</v>
      </c>
      <c r="E73" s="51"/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60">
        <v>320</v>
      </c>
      <c r="C74" s="60">
        <v>13</v>
      </c>
      <c r="D74" s="60">
        <v>28</v>
      </c>
      <c r="E74" s="51"/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60">
        <v>326</v>
      </c>
      <c r="C75" s="60">
        <v>14</v>
      </c>
      <c r="D75" s="60">
        <v>28</v>
      </c>
      <c r="E75" s="51"/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330</v>
      </c>
      <c r="C76" s="50">
        <v>15</v>
      </c>
      <c r="D76" s="50">
        <v>28</v>
      </c>
      <c r="E76" s="51"/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95</v>
      </c>
      <c r="B77" s="50">
        <v>332</v>
      </c>
      <c r="C77" s="50">
        <v>16</v>
      </c>
      <c r="D77" s="50">
        <v>28</v>
      </c>
      <c r="E77" s="51"/>
      <c r="F77" s="51"/>
      <c r="G77" s="51"/>
      <c r="H77" s="51"/>
      <c r="I77" s="49">
        <f t="shared" si="2"/>
        <v>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100</v>
      </c>
      <c r="B78" s="50">
        <v>333</v>
      </c>
      <c r="C78" s="50">
        <v>17</v>
      </c>
      <c r="D78" s="50">
        <v>27</v>
      </c>
      <c r="E78" s="51"/>
      <c r="F78" s="51"/>
      <c r="G78" s="51"/>
      <c r="H78" s="51"/>
      <c r="I78" s="49">
        <f t="shared" si="2"/>
        <v>5.8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105</v>
      </c>
      <c r="B79" s="50">
        <v>333</v>
      </c>
      <c r="C79" s="50">
        <v>18</v>
      </c>
      <c r="D79" s="50">
        <v>26</v>
      </c>
      <c r="E79" s="51"/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110</v>
      </c>
      <c r="B80" s="50">
        <v>332</v>
      </c>
      <c r="C80" s="50">
        <v>19</v>
      </c>
      <c r="D80" s="50">
        <v>25</v>
      </c>
      <c r="E80" s="51"/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115</v>
      </c>
      <c r="B81" s="50">
        <v>330</v>
      </c>
      <c r="C81" s="50">
        <v>20</v>
      </c>
      <c r="D81" s="50">
        <v>330</v>
      </c>
      <c r="E81" s="51"/>
      <c r="F81" s="51"/>
      <c r="G81" s="51"/>
      <c r="H81" s="51"/>
      <c r="I81" s="49">
        <f t="shared" si="2"/>
        <v>4.5999999999999996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chevelu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107</v>
      </c>
      <c r="C88" s="60">
        <v>1</v>
      </c>
      <c r="D88" s="60">
        <v>34</v>
      </c>
      <c r="E88" s="51"/>
      <c r="F88" s="51"/>
      <c r="G88" s="51"/>
      <c r="H88" s="87">
        <v>1</v>
      </c>
      <c r="I88" s="53">
        <f>IFERROR(B88/A88,"")</f>
        <v>7.1333333333333337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154</v>
      </c>
      <c r="C89" s="60">
        <v>2</v>
      </c>
      <c r="D89" s="60">
        <v>50</v>
      </c>
      <c r="E89" s="51"/>
      <c r="F89" s="51"/>
      <c r="G89" s="51"/>
      <c r="H89" s="87">
        <v>1</v>
      </c>
      <c r="I89" s="53">
        <f t="shared" ref="I89:I107" si="3">IF(A89&lt;&gt;0,(B89-(B88-D88))/(A89-A88),"")</f>
        <v>16.2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182</v>
      </c>
      <c r="C90" s="60">
        <v>3</v>
      </c>
      <c r="D90" s="60">
        <v>52</v>
      </c>
      <c r="E90" s="87">
        <v>0.1</v>
      </c>
      <c r="F90" s="87">
        <v>0.2</v>
      </c>
      <c r="G90" s="87"/>
      <c r="H90" s="87">
        <v>0.7</v>
      </c>
      <c r="I90" s="53">
        <f t="shared" si="3"/>
        <v>15.6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204</v>
      </c>
      <c r="C91" s="60">
        <v>4</v>
      </c>
      <c r="D91" s="60">
        <v>51</v>
      </c>
      <c r="E91" s="87">
        <v>0.2</v>
      </c>
      <c r="F91" s="87">
        <v>0.2</v>
      </c>
      <c r="G91" s="87"/>
      <c r="H91" s="87">
        <v>0.6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35</v>
      </c>
      <c r="B92" s="60">
        <v>221</v>
      </c>
      <c r="C92" s="60">
        <v>5</v>
      </c>
      <c r="D92" s="60">
        <v>49</v>
      </c>
      <c r="E92" s="87"/>
      <c r="F92" s="87"/>
      <c r="G92" s="87"/>
      <c r="H92" s="87"/>
      <c r="I92" s="53">
        <f t="shared" si="3"/>
        <v>13.6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40</v>
      </c>
      <c r="B93" s="60">
        <v>233</v>
      </c>
      <c r="C93" s="60">
        <v>6</v>
      </c>
      <c r="D93" s="60">
        <v>45</v>
      </c>
      <c r="E93" s="87"/>
      <c r="F93" s="87"/>
      <c r="G93" s="87"/>
      <c r="H93" s="87"/>
      <c r="I93" s="53">
        <f t="shared" si="3"/>
        <v>12.2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45</v>
      </c>
      <c r="B94" s="60">
        <v>244</v>
      </c>
      <c r="C94" s="60">
        <v>7</v>
      </c>
      <c r="D94" s="60">
        <v>41</v>
      </c>
      <c r="E94" s="87"/>
      <c r="F94" s="87"/>
      <c r="G94" s="87"/>
      <c r="H94" s="87"/>
      <c r="I94" s="53">
        <f t="shared" si="3"/>
        <v>11.2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50</v>
      </c>
      <c r="B95" s="60">
        <v>252</v>
      </c>
      <c r="C95" s="60">
        <v>8</v>
      </c>
      <c r="D95" s="60">
        <v>37</v>
      </c>
      <c r="E95" s="87"/>
      <c r="F95" s="87"/>
      <c r="G95" s="87"/>
      <c r="H95" s="87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55</v>
      </c>
      <c r="B96" s="60">
        <v>258</v>
      </c>
      <c r="C96" s="60">
        <v>9</v>
      </c>
      <c r="D96" s="60">
        <v>258</v>
      </c>
      <c r="E96" s="87"/>
      <c r="F96" s="87"/>
      <c r="G96" s="87"/>
      <c r="H96" s="87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pin maritime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13</v>
      </c>
      <c r="B114" s="60">
        <v>101</v>
      </c>
      <c r="C114" s="50">
        <v>1</v>
      </c>
      <c r="D114" s="60">
        <v>28</v>
      </c>
      <c r="E114" s="51"/>
      <c r="F114" s="51"/>
      <c r="G114" s="51">
        <v>1</v>
      </c>
      <c r="H114" s="51"/>
      <c r="I114" s="53">
        <f>IFERROR(B114/A114,"")</f>
        <v>7.7692307692307692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18</v>
      </c>
      <c r="B115" s="60">
        <v>166</v>
      </c>
      <c r="C115" s="50">
        <v>2</v>
      </c>
      <c r="D115" s="60">
        <v>40</v>
      </c>
      <c r="E115" s="51">
        <v>0.2</v>
      </c>
      <c r="F115" s="51"/>
      <c r="G115" s="51">
        <v>0.8</v>
      </c>
      <c r="H115" s="51"/>
      <c r="I115" s="53">
        <f t="shared" ref="I115:I133" si="4">IF(A115&lt;&gt;0,(B115-(B114-D114))/(A115-A114),"")</f>
        <v>18.600000000000001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23</v>
      </c>
      <c r="B116" s="60">
        <v>215</v>
      </c>
      <c r="C116" s="50">
        <v>3</v>
      </c>
      <c r="D116" s="60">
        <v>52</v>
      </c>
      <c r="E116" s="51">
        <v>0.4</v>
      </c>
      <c r="F116" s="51"/>
      <c r="G116" s="51">
        <v>0.6</v>
      </c>
      <c r="H116" s="51"/>
      <c r="I116" s="53">
        <f t="shared" si="4"/>
        <v>17.8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269</v>
      </c>
      <c r="C117" s="50">
        <v>4</v>
      </c>
      <c r="D117" s="60">
        <v>0</v>
      </c>
      <c r="E117" s="51"/>
      <c r="F117" s="51"/>
      <c r="G117" s="51"/>
      <c r="H117" s="51"/>
      <c r="I117" s="53">
        <f t="shared" si="4"/>
        <v>15.142857142857142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34</v>
      </c>
      <c r="B118" s="60">
        <v>325</v>
      </c>
      <c r="C118" s="50">
        <v>5</v>
      </c>
      <c r="D118" s="60">
        <v>325</v>
      </c>
      <c r="E118" s="51">
        <v>0.4</v>
      </c>
      <c r="F118" s="51">
        <v>0.4</v>
      </c>
      <c r="G118" s="51">
        <v>0.2</v>
      </c>
      <c r="H118" s="51"/>
      <c r="I118" s="53">
        <f t="shared" si="4"/>
        <v>14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Peuplier Polargo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16</v>
      </c>
      <c r="B140" s="60">
        <v>302</v>
      </c>
      <c r="C140" s="50">
        <v>1</v>
      </c>
      <c r="D140" s="60">
        <v>302</v>
      </c>
      <c r="E140" s="51">
        <v>0.5</v>
      </c>
      <c r="F140" s="51">
        <v>0.5</v>
      </c>
      <c r="G140" s="51"/>
      <c r="H140" s="51"/>
      <c r="I140" s="57">
        <f>IFERROR(B140/A140,"")</f>
        <v>18.875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Peuplier I-214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16</v>
      </c>
      <c r="B166" s="60">
        <v>302</v>
      </c>
      <c r="C166" s="50">
        <v>1</v>
      </c>
      <c r="D166" s="60">
        <v>302</v>
      </c>
      <c r="E166" s="51">
        <v>0.5</v>
      </c>
      <c r="F166" s="51">
        <v>0.5</v>
      </c>
      <c r="G166" s="51"/>
      <c r="H166" s="51"/>
      <c r="I166" s="49">
        <f>IFERROR(B166/A166,"")</f>
        <v>18.875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10" sqref="A10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pubescent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chevelu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pin maritime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Peuplier Polargo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Peuplier I-214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439.06700232017681</v>
      </c>
      <c r="T3" s="59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487.04124684635974</v>
      </c>
      <c r="AO3" s="59">
        <f>IF('Données projet'!E10&gt;30,$AM$33-$H$33,LOOKUP('Données projet'!$E$10,$A$3:$A$203,AM3:AM203)-LOOKUP('Données projet'!$E$10,$A$3:$A$203,$H$3:$H$203))</f>
        <v>306.61893266146666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356.31271939877655</v>
      </c>
      <c r="BJ3" s="59">
        <f>IF('Données projet'!E11&gt;30,$BH$33-$H$33,LOOKUP('Données projet'!$E$11,$A$3:$A$203,BH3:BH203)-LOOKUP('Données projet'!$E$11,$A$3:$A$203,$H$3:$H$203))</f>
        <v>499.70544707812991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195.80903373714432</v>
      </c>
      <c r="CE3" s="59">
        <f>IF('Données projet'!E12&gt;30,$CC$33-$H$33,LOOKUP('Données projet'!$E$12,$A$3:$A$203,CC3:CC203)-LOOKUP('Données projet'!$E$12,$A$3:$A$203,$H$3:$H$203))</f>
        <v>388.30721786668977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72.638639486636521</v>
      </c>
      <c r="CZ3" s="59">
        <f>IF('Données projet'!E13&gt;30,$CX$33-$H$33,LOOKUP('Données projet'!$E$13,$A$3:$A$203,CX3:CX203)-LOOKUP('Données projet'!$E$13,$A$3:$A$203,$H$3:$H$203))</f>
        <v>334.50638815329404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68.016800235358346</v>
      </c>
      <c r="DU3" s="59">
        <f>IF('Données projet'!E14&gt;30,$DS$33-$H$33,LOOKUP('Données projet'!$E$14,$A$3:$A$203,DS3:DS203)-LOOKUP('Données projet'!$E$14,$A$3:$A$203,$H$3:$H$203))</f>
        <v>311.30433899203405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439.06700232017681</v>
      </c>
      <c r="T4" s="59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261.05964372354305</v>
      </c>
      <c r="AN4" s="59">
        <f ca="1">AVERAGE(OFFSET($AM$3,0,0,'Données projet'!$E$10+1,1))-AVERAGE(OFFSET($H$3,0,0,'Données projet'!$E$10+1,1))</f>
        <v>487.04124684635974</v>
      </c>
      <c r="AO4" s="59">
        <f>$AO$3</f>
        <v>306.61893266146666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7.1333333333333337</v>
      </c>
      <c r="BD4" s="12">
        <f>IF('Données projet'!$A$88&gt;35,BD3+BC4-BL3,IF(A4&lt;'Données projet'!$A$88,$BA$205^A4,IF(A4='Données projet'!$A$88,'Données projet'!$B$88,BD3+BC4-BL3)))</f>
        <v>1.3655017210306359</v>
      </c>
      <c r="BE4" s="13">
        <f>BD4*VLOOKUP('Données projet'!$B$11,Paramètres!$A$1:$I$89,3,0)*VLOOKUP('Données projet'!$B$11,Paramètres!$A$1:$I$89,5,0)</f>
        <v>1.4272223988212207</v>
      </c>
      <c r="BF4" s="13">
        <f>EXP(-1.0587+0.8836*LN(BE4)+0.284)</f>
        <v>0.63104581277054894</v>
      </c>
      <c r="BG4" s="20">
        <f t="shared" ref="BG4:BG67" si="7">(BE4+BF4)*0.475*44/12</f>
        <v>3.5848171351889988</v>
      </c>
      <c r="BH4" s="59">
        <f t="shared" ref="BH4:BH67" si="8">BG4+(AY4+AZ4)*44/12</f>
        <v>261.47370602407784</v>
      </c>
      <c r="BI4" s="59">
        <f ca="1">AVERAGE(OFFSET($BH$3,0,0,'Données projet'!$E$11+1,1))-AVERAGE(OFFSET($H$3,0,0,'Données projet'!$E$11+1,1))</f>
        <v>356.31271939877655</v>
      </c>
      <c r="BJ4" s="59">
        <f>$BJ$3</f>
        <v>499.70544707812991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7.7692307692307692</v>
      </c>
      <c r="BY4" s="12">
        <f>IF('Données projet'!$A$114&gt;35,BY3+BX4-CG3,IF(A4&lt;'Données projet'!$A$114,$BV$205^A4,IF(A4='Données projet'!$A$114,'Données projet'!$B$114,BY3+BX4-CG3)))</f>
        <v>1.4261938757879591</v>
      </c>
      <c r="BZ4" s="13">
        <f>BY4*VLOOKUP('Données projet'!$B$12,Paramètres!$A$1:$I$89,3,0)*VLOOKUP('Données projet'!$B$12,Paramètres!$A$1:$I$89,5,0)</f>
        <v>0.85286393772119951</v>
      </c>
      <c r="CA4" s="13">
        <f>EXP(-1.0587+0.8836*LN(BZ4)+0.284)</f>
        <v>0.40038464441801103</v>
      </c>
      <c r="CB4" s="20">
        <f t="shared" ref="CB4:CB67" si="10">(BZ4+CA4)*0.475*44/12</f>
        <v>2.1827412805591249</v>
      </c>
      <c r="CC4" s="59">
        <f t="shared" ref="CC4:CC67" si="11">CB4+(BT4+BU4)*44/12</f>
        <v>260.07163016944799</v>
      </c>
      <c r="CD4" s="59">
        <f ca="1">AVERAGE(OFFSET($CC$3,0,0,'Données projet'!$E$12+1,1))-AVERAGE(OFFSET($H$3,0,0,'Données projet'!$E$12+1,1))</f>
        <v>195.80903373714432</v>
      </c>
      <c r="CE4" s="59">
        <f>$CE$3</f>
        <v>388.30721786668977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18.875</v>
      </c>
      <c r="CT4" s="12">
        <f>IF('Données projet'!$A$140&gt;35,CT3+CS4-DB3,IF(A4&lt;'Données projet'!$A$140,$CQ$205^A4,IF(A4='Données projet'!$A$140,'Données projet'!$B$140,CT3+CS4-DB3)))</f>
        <v>1.4288953862224394</v>
      </c>
      <c r="CU4" s="17">
        <f>CT4*VLOOKUP('Données projet'!$B$13,Paramètres!$A$1:$I$89,3,0)*VLOOKUP('Données projet'!$B$13,Paramètres!$A$1:$I$89,5,0)</f>
        <v>0.67986842476463671</v>
      </c>
      <c r="CV4" s="13">
        <f>EXP(-1.0587+0.8836*LN(CU4)+0.284)</f>
        <v>0.32770470851924854</v>
      </c>
      <c r="CW4" s="20">
        <f t="shared" ref="CW4:CW67" si="13">(CU4+CV4)*0.475*44/12</f>
        <v>1.7548565404694336</v>
      </c>
      <c r="CX4" s="59">
        <f t="shared" ref="CX4:CX67" si="14">CW4+(CO4+CP4)*44/12</f>
        <v>259.64374542935832</v>
      </c>
      <c r="CY4" s="59">
        <f ca="1">AVERAGE(OFFSET($CX$3,0,0,'Données projet'!$E$13+1,1))-AVERAGE(OFFSET($H$3,0,0,'Données projet'!$E$13+1,1))</f>
        <v>72.638639486636521</v>
      </c>
      <c r="CZ4" s="59">
        <f>$CZ$3</f>
        <v>334.50638815329404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18.875</v>
      </c>
      <c r="DO4" s="12">
        <f>IF('Données projet'!$A$166&gt;35,DO3+DN4-DW3,IF(A4&lt;'Données projet'!$A$166,$DL$205^A4,IF(A4='Données projet'!$A$166,'Données projet'!$B$166,DO3+DN4-DW3)))</f>
        <v>1.4288953862224394</v>
      </c>
      <c r="DP4" s="17">
        <f>DO4*VLOOKUP('Données projet'!$B$14,Paramètres!$A$1:$I$89,3,0)*VLOOKUP('Données projet'!$B$14,Paramètres!$A$1:$I$89,5,0)</f>
        <v>0.62859965830697551</v>
      </c>
      <c r="DQ4" s="13">
        <f>EXP(-1.0587+0.8836*LN(DP4)+0.284)</f>
        <v>0.30577040994873639</v>
      </c>
      <c r="DR4" s="20">
        <f t="shared" ref="DR4:DR67" si="16">(DP4+DQ4)*0.475*44/12</f>
        <v>1.6273612022120316</v>
      </c>
      <c r="DS4" s="59">
        <f t="shared" ref="DS4:DS67" si="17">DR4+(DJ4+DK4)*44/12</f>
        <v>259.51625009110091</v>
      </c>
      <c r="DT4" s="59">
        <f ca="1">AVERAGE(OFFSET($DS$3,0,0,'Données projet'!$E$14+1,1))-AVERAGE(OFFSET($H$3,0,0,'Données projet'!$E$14+1,1))</f>
        <v>68.016800235358346</v>
      </c>
      <c r="DU4" s="59">
        <f>$DU$3</f>
        <v>311.30433899203405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439.06700232017681</v>
      </c>
      <c r="T5" s="59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263.01051811804473</v>
      </c>
      <c r="AN5" s="59">
        <f ca="1">AVERAGE(OFFSET($AM$3,0,0,'Données projet'!$E$10+1,1))-AVERAGE(OFFSET($H$3,0,0,'Données projet'!$E$10+1,1))</f>
        <v>487.04124684635974</v>
      </c>
      <c r="AO5" s="59">
        <f t="shared" ref="AO5:AO68" si="36">$AO$3</f>
        <v>306.61893266146666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7.1333333333333337</v>
      </c>
      <c r="BD5" s="12">
        <f>IF('Données projet'!$A$88&gt;35,BD4+BC5-BL4,IF(A5&lt;'Données projet'!$A$88,$BA$205^A5,IF(A5='Données projet'!$A$88,'Données projet'!$B$88,BD4+BC5-BL4)))</f>
        <v>1.8645949501376287</v>
      </c>
      <c r="BE5" s="13">
        <f>BD5*VLOOKUP('Données projet'!$B$11,Paramètres!$A$1:$I$89,3,0)*VLOOKUP('Données projet'!$B$11,Paramètres!$A$1:$I$89,5,0)</f>
        <v>1.9488746418838494</v>
      </c>
      <c r="BF5" s="13">
        <f t="shared" ref="BF5:BF68" si="37">EXP(-1.0587+0.8836*LN(BE5)+0.284)</f>
        <v>0.8310078438727394</v>
      </c>
      <c r="BG5" s="20">
        <f t="shared" si="7"/>
        <v>4.8416286626927247</v>
      </c>
      <c r="BH5" s="59">
        <f t="shared" si="8"/>
        <v>263.95273977380384</v>
      </c>
      <c r="BI5" s="59">
        <f ca="1">AVERAGE(OFFSET($BH$3,0,0,'Données projet'!$E$11+1,1))-AVERAGE(OFFSET($H$3,0,0,'Données projet'!$E$11+1,1))</f>
        <v>356.31271939877655</v>
      </c>
      <c r="BJ5" s="59">
        <f t="shared" ref="BJ5:BJ68" si="38">$BJ$3</f>
        <v>499.70544707812991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7.7692307692307692</v>
      </c>
      <c r="BY5" s="12">
        <f>IF('Données projet'!$A$114&gt;35,BY4+BX5-CG4,IF(A5&lt;'Données projet'!$A$114,$BV$205^A5,IF(A5='Données projet'!$A$114,'Données projet'!$B$114,BY4+BX5-CG4)))</f>
        <v>2.0340289713350805</v>
      </c>
      <c r="BZ5" s="13">
        <f>BY5*VLOOKUP('Données projet'!$B$12,Paramètres!$A$1:$I$89,3,0)*VLOOKUP('Données projet'!$B$12,Paramètres!$A$1:$I$89,5,0)</f>
        <v>1.2163493248583781</v>
      </c>
      <c r="CA5" s="13">
        <f t="shared" ref="CA5:CA68" si="39">EXP(-1.0587+0.8836*LN(BZ5)+0.284)</f>
        <v>0.54791046443869817</v>
      </c>
      <c r="CB5" s="20">
        <f t="shared" si="10"/>
        <v>3.072752466359074</v>
      </c>
      <c r="CC5" s="59">
        <f t="shared" si="11"/>
        <v>262.18386357747022</v>
      </c>
      <c r="CD5" s="59">
        <f ca="1">AVERAGE(OFFSET($CC$3,0,0,'Données projet'!$E$12+1,1))-AVERAGE(OFFSET($H$3,0,0,'Données projet'!$E$12+1,1))</f>
        <v>195.80903373714432</v>
      </c>
      <c r="CE5" s="59">
        <f t="shared" ref="CE5:CE68" si="40">$CE$3</f>
        <v>388.30721786668977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18.875</v>
      </c>
      <c r="CT5" s="12">
        <f>IF('Données projet'!$A$140&gt;35,CT4+CS5-DB4,IF(A5&lt;'Données projet'!$A$140,$CQ$205^A5,IF(A5='Données projet'!$A$140,'Données projet'!$B$140,CT4+CS5-DB4)))</f>
        <v>2.0417420247677742</v>
      </c>
      <c r="CU5" s="17">
        <f>CT5*VLOOKUP('Données projet'!$B$13,Paramètres!$A$1:$I$89,3,0)*VLOOKUP('Données projet'!$B$13,Paramètres!$A$1:$I$89,5,0)</f>
        <v>0.97146085538450699</v>
      </c>
      <c r="CV5" s="13">
        <f t="shared" ref="CV5:CV68" si="41">EXP(-1.0587+0.8836*LN(CU5)+0.284)</f>
        <v>0.44920136249538639</v>
      </c>
      <c r="CW5" s="20">
        <f t="shared" si="13"/>
        <v>2.4743200294741476</v>
      </c>
      <c r="CX5" s="59">
        <f t="shared" si="14"/>
        <v>261.58543114058529</v>
      </c>
      <c r="CY5" s="59">
        <f ca="1">AVERAGE(OFFSET($CX$3,0,0,'Données projet'!$E$13+1,1))-AVERAGE(OFFSET($H$3,0,0,'Données projet'!$E$13+1,1))</f>
        <v>72.638639486636521</v>
      </c>
      <c r="CZ5" s="59">
        <f t="shared" ref="CZ5:CZ68" si="42">$CZ$3</f>
        <v>334.50638815329404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18.875</v>
      </c>
      <c r="DO5" s="12">
        <f>IF('Données projet'!$A$166&gt;35,DO4+DN5-DW4,IF(A5&lt;'Données projet'!$A$166,$DL$205^A5,IF(A5='Données projet'!$A$166,'Données projet'!$B$166,DO4+DN5-DW4)))</f>
        <v>2.0417420247677742</v>
      </c>
      <c r="DP5" s="17">
        <f>DO5*VLOOKUP('Données projet'!$B$14,Paramètres!$A$1:$I$89,3,0)*VLOOKUP('Données projet'!$B$14,Paramètres!$A$1:$I$89,5,0)</f>
        <v>0.89820315153583929</v>
      </c>
      <c r="DQ5" s="13">
        <f t="shared" ref="DQ5:DQ68" si="43">EXP(-1.0587+0.8836*LN(DP5)+0.284)</f>
        <v>0.41913491380816553</v>
      </c>
      <c r="DR5" s="20">
        <f t="shared" si="16"/>
        <v>2.2943637971408082</v>
      </c>
      <c r="DS5" s="59">
        <f t="shared" si="17"/>
        <v>261.40547490825196</v>
      </c>
      <c r="DT5" s="59">
        <f ca="1">AVERAGE(OFFSET($DS$3,0,0,'Données projet'!$E$14+1,1))-AVERAGE(OFFSET($H$3,0,0,'Données projet'!$E$14+1,1))</f>
        <v>68.016800235358346</v>
      </c>
      <c r="DU5" s="59">
        <f t="shared" ref="DU5:DU68" si="44">$DU$3</f>
        <v>311.30433899203405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439.06700232017681</v>
      </c>
      <c r="T6" s="59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265.12947290764731</v>
      </c>
      <c r="AN6" s="59">
        <f ca="1">AVERAGE(OFFSET($AM$3,0,0,'Données projet'!$E$10+1,1))-AVERAGE(OFFSET($H$3,0,0,'Données projet'!$E$10+1,1))</f>
        <v>487.04124684635974</v>
      </c>
      <c r="AO6" s="59">
        <f t="shared" si="36"/>
        <v>306.61893266146666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7.1333333333333337</v>
      </c>
      <c r="BD6" s="12">
        <f>IF('Données projet'!$A$88&gt;35,BD5+BC6-BL5,IF(A6&lt;'Données projet'!$A$88,$BA$205^A6,IF(A6='Données projet'!$A$88,'Données projet'!$B$88,BD5+BC6-BL5)))</f>
        <v>2.5461076134379645</v>
      </c>
      <c r="BE6" s="13">
        <f>BD6*VLOOKUP('Données projet'!$B$11,Paramètres!$A$1:$I$89,3,0)*VLOOKUP('Données projet'!$B$11,Paramètres!$A$1:$I$89,5,0)</f>
        <v>2.6611916775653608</v>
      </c>
      <c r="BF6" s="13">
        <f t="shared" si="37"/>
        <v>1.094332650027606</v>
      </c>
      <c r="BG6" s="20">
        <f t="shared" si="7"/>
        <v>6.5408715372244179</v>
      </c>
      <c r="BH6" s="59">
        <f t="shared" si="8"/>
        <v>266.87420487055772</v>
      </c>
      <c r="BI6" s="59">
        <f ca="1">AVERAGE(OFFSET($BH$3,0,0,'Données projet'!$E$11+1,1))-AVERAGE(OFFSET($H$3,0,0,'Données projet'!$E$11+1,1))</f>
        <v>356.31271939877655</v>
      </c>
      <c r="BJ6" s="59">
        <f t="shared" si="38"/>
        <v>499.70544707812991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7.7692307692307692</v>
      </c>
      <c r="BY6" s="12">
        <f>IF('Données projet'!$A$114&gt;35,BY5+BX6-CG5,IF(A6&lt;'Données projet'!$A$114,$BV$205^A6,IF(A6='Données projet'!$A$114,'Données projet'!$B$114,BY5+BX6-CG5)))</f>
        <v>2.9009196620933739</v>
      </c>
      <c r="BZ6" s="13">
        <f>BY6*VLOOKUP('Données projet'!$B$12,Paramètres!$A$1:$I$89,3,0)*VLOOKUP('Données projet'!$B$12,Paramètres!$A$1:$I$89,5,0)</f>
        <v>1.7347499579318377</v>
      </c>
      <c r="CA6" s="13">
        <f t="shared" si="39"/>
        <v>0.74979368271678282</v>
      </c>
      <c r="CB6" s="20">
        <f t="shared" si="10"/>
        <v>4.3272468407963478</v>
      </c>
      <c r="CC6" s="59">
        <f t="shared" si="11"/>
        <v>264.66058017412968</v>
      </c>
      <c r="CD6" s="59">
        <f ca="1">AVERAGE(OFFSET($CC$3,0,0,'Données projet'!$E$12+1,1))-AVERAGE(OFFSET($H$3,0,0,'Données projet'!$E$12+1,1))</f>
        <v>195.80903373714432</v>
      </c>
      <c r="CE6" s="59">
        <f t="shared" si="40"/>
        <v>388.30721786668977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18.875</v>
      </c>
      <c r="CT6" s="12">
        <f>IF('Données projet'!$A$140&gt;35,CT5+CS6-DB5,IF(A6&lt;'Données projet'!$A$140,$CQ$205^A6,IF(A6='Données projet'!$A$140,'Données projet'!$B$140,CT5+CS6-DB5)))</f>
        <v>2.9174357590471343</v>
      </c>
      <c r="CU6" s="17">
        <f>CT6*VLOOKUP('Données projet'!$B$13,Paramètres!$A$1:$I$89,3,0)*VLOOKUP('Données projet'!$B$13,Paramètres!$A$1:$I$89,5,0)</f>
        <v>1.3881159341546265</v>
      </c>
      <c r="CV6" s="13">
        <f t="shared" si="41"/>
        <v>0.61574295035147275</v>
      </c>
      <c r="CW6" s="20">
        <f t="shared" si="13"/>
        <v>3.4900542238481225</v>
      </c>
      <c r="CX6" s="59">
        <f t="shared" si="14"/>
        <v>263.82338755718143</v>
      </c>
      <c r="CY6" s="59">
        <f ca="1">AVERAGE(OFFSET($CX$3,0,0,'Données projet'!$E$13+1,1))-AVERAGE(OFFSET($H$3,0,0,'Données projet'!$E$13+1,1))</f>
        <v>72.638639486636521</v>
      </c>
      <c r="CZ6" s="59">
        <f t="shared" si="42"/>
        <v>334.50638815329404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18.875</v>
      </c>
      <c r="DO6" s="12">
        <f>IF('Données projet'!$A$166&gt;35,DO5+DN6-DW5,IF(A6&lt;'Données projet'!$A$166,$DL$205^A6,IF(A6='Données projet'!$A$166,'Données projet'!$B$166,DO5+DN6-DW5)))</f>
        <v>2.9174357590471343</v>
      </c>
      <c r="DP6" s="17">
        <f>DO6*VLOOKUP('Données projet'!$B$14,Paramètres!$A$1:$I$89,3,0)*VLOOKUP('Données projet'!$B$14,Paramètres!$A$1:$I$89,5,0)</f>
        <v>1.283438339120015</v>
      </c>
      <c r="DQ6" s="13">
        <f t="shared" si="43"/>
        <v>0.57452935358405255</v>
      </c>
      <c r="DR6" s="20">
        <f t="shared" si="16"/>
        <v>3.235960398126251</v>
      </c>
      <c r="DS6" s="59">
        <f t="shared" si="17"/>
        <v>263.56929373145954</v>
      </c>
      <c r="DT6" s="59">
        <f ca="1">AVERAGE(OFFSET($DS$3,0,0,'Données projet'!$E$14+1,1))-AVERAGE(OFFSET($H$3,0,0,'Données projet'!$E$14+1,1))</f>
        <v>68.016800235358346</v>
      </c>
      <c r="DU6" s="59">
        <f t="shared" si="44"/>
        <v>311.30433899203405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439.06700232017681</v>
      </c>
      <c r="T7" s="59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267.45541730352721</v>
      </c>
      <c r="AN7" s="59">
        <f ca="1">AVERAGE(OFFSET($AM$3,0,0,'Données projet'!$E$10+1,1))-AVERAGE(OFFSET($H$3,0,0,'Données projet'!$E$10+1,1))</f>
        <v>487.04124684635974</v>
      </c>
      <c r="AO7" s="59">
        <f t="shared" si="36"/>
        <v>306.61893266146666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7.1333333333333337</v>
      </c>
      <c r="BD7" s="12">
        <f>IF('Données projet'!$A$88&gt;35,BD6+BC7-BL6,IF(A7&lt;'Données projet'!$A$88,$BA$205^A7,IF(A7='Données projet'!$A$88,'Données projet'!$B$88,BD6+BC7-BL6)))</f>
        <v>3.4767143280787458</v>
      </c>
      <c r="BE7" s="13">
        <f>BD7*VLOOKUP('Données projet'!$B$11,Paramètres!$A$1:$I$89,3,0)*VLOOKUP('Données projet'!$B$11,Paramètres!$A$1:$I$89,5,0)</f>
        <v>3.6338618157079052</v>
      </c>
      <c r="BF7" s="13">
        <f t="shared" si="37"/>
        <v>1.4410982492480999</v>
      </c>
      <c r="BG7" s="20">
        <f t="shared" si="7"/>
        <v>8.8388887797983759</v>
      </c>
      <c r="BH7" s="59">
        <f t="shared" si="8"/>
        <v>270.39444433535391</v>
      </c>
      <c r="BI7" s="59">
        <f ca="1">AVERAGE(OFFSET($BH$3,0,0,'Données projet'!$E$11+1,1))-AVERAGE(OFFSET($H$3,0,0,'Données projet'!$E$11+1,1))</f>
        <v>356.31271939877655</v>
      </c>
      <c r="BJ7" s="59">
        <f t="shared" si="38"/>
        <v>499.70544707812991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7.7692307692307692</v>
      </c>
      <c r="BY7" s="12">
        <f>IF('Données projet'!$A$114&gt;35,BY6+BX7-CG6,IF(A7&lt;'Données projet'!$A$114,$BV$205^A7,IF(A7='Données projet'!$A$114,'Données projet'!$B$114,BY6+BX7-CG6)))</f>
        <v>4.1372738562304461</v>
      </c>
      <c r="BZ7" s="13">
        <f>BY7*VLOOKUP('Données projet'!$B$12,Paramètres!$A$1:$I$89,3,0)*VLOOKUP('Données projet'!$B$12,Paramètres!$A$1:$I$89,5,0)</f>
        <v>2.474089766025807</v>
      </c>
      <c r="CA7" s="13">
        <f t="shared" si="39"/>
        <v>1.0260628389675426</v>
      </c>
      <c r="CB7" s="20">
        <f t="shared" si="10"/>
        <v>6.0960991203634167</v>
      </c>
      <c r="CC7" s="59">
        <f t="shared" si="11"/>
        <v>267.65165467591896</v>
      </c>
      <c r="CD7" s="59">
        <f ca="1">AVERAGE(OFFSET($CC$3,0,0,'Données projet'!$E$12+1,1))-AVERAGE(OFFSET($H$3,0,0,'Données projet'!$E$12+1,1))</f>
        <v>195.80903373714432</v>
      </c>
      <c r="CE7" s="59">
        <f t="shared" si="40"/>
        <v>388.30721786668977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18.875</v>
      </c>
      <c r="CT7" s="12">
        <f>IF('Données projet'!$A$140&gt;35,CT6+CS7-DB6,IF(A7&lt;'Données projet'!$A$140,$CQ$205^A7,IF(A7='Données projet'!$A$140,'Données projet'!$B$140,CT6+CS7-DB6)))</f>
        <v>4.1687104957028103</v>
      </c>
      <c r="CU7" s="17">
        <f>CT7*VLOOKUP('Données projet'!$B$13,Paramètres!$A$1:$I$89,3,0)*VLOOKUP('Données projet'!$B$13,Paramètres!$A$1:$I$89,5,0)</f>
        <v>1.9834724538553972</v>
      </c>
      <c r="CV7" s="13">
        <f t="shared" si="41"/>
        <v>0.84402989964535169</v>
      </c>
      <c r="CW7" s="20">
        <f t="shared" si="13"/>
        <v>4.9245665990138034</v>
      </c>
      <c r="CX7" s="59">
        <f t="shared" si="14"/>
        <v>266.48012215456936</v>
      </c>
      <c r="CY7" s="59">
        <f ca="1">AVERAGE(OFFSET($CX$3,0,0,'Données projet'!$E$13+1,1))-AVERAGE(OFFSET($H$3,0,0,'Données projet'!$E$13+1,1))</f>
        <v>72.638639486636521</v>
      </c>
      <c r="CZ7" s="59">
        <f t="shared" si="42"/>
        <v>334.50638815329404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18.875</v>
      </c>
      <c r="DO7" s="12">
        <f>IF('Données projet'!$A$166&gt;35,DO6+DN7-DW6,IF(A7&lt;'Données projet'!$A$166,$DL$205^A7,IF(A7='Données projet'!$A$166,'Données projet'!$B$166,DO6+DN7-DW6)))</f>
        <v>4.1687104957028103</v>
      </c>
      <c r="DP7" s="17">
        <f>DO7*VLOOKUP('Données projet'!$B$14,Paramètres!$A$1:$I$89,3,0)*VLOOKUP('Données projet'!$B$14,Paramètres!$A$1:$I$89,5,0)</f>
        <v>1.8338991212695801</v>
      </c>
      <c r="DQ7" s="13">
        <f t="shared" si="43"/>
        <v>0.78753634511293891</v>
      </c>
      <c r="DR7" s="20">
        <f t="shared" si="16"/>
        <v>4.5656667706162208</v>
      </c>
      <c r="DS7" s="59">
        <f t="shared" si="17"/>
        <v>266.12122232617179</v>
      </c>
      <c r="DT7" s="59">
        <f ca="1">AVERAGE(OFFSET($DS$3,0,0,'Données projet'!$E$14+1,1))-AVERAGE(OFFSET($H$3,0,0,'Données projet'!$E$14+1,1))</f>
        <v>68.016800235358346</v>
      </c>
      <c r="DU7" s="59">
        <f t="shared" si="44"/>
        <v>311.30433899203405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439.06700232017681</v>
      </c>
      <c r="T8" s="59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270.03629746362031</v>
      </c>
      <c r="AN8" s="59">
        <f ca="1">AVERAGE(OFFSET($AM$3,0,0,'Données projet'!$E$10+1,1))-AVERAGE(OFFSET($H$3,0,0,'Données projet'!$E$10+1,1))</f>
        <v>487.04124684635974</v>
      </c>
      <c r="AO8" s="59">
        <f t="shared" si="36"/>
        <v>306.61893266146666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7.1333333333333337</v>
      </c>
      <c r="BD8" s="12">
        <f>IF('Données projet'!$A$88&gt;35,BD7+BC8-BL7,IF(A8&lt;'Données projet'!$A$88,$BA$205^A8,IF(A8='Données projet'!$A$88,'Données projet'!$B$88,BD7+BC8-BL7)))</f>
        <v>4.7474593985233984</v>
      </c>
      <c r="BE8" s="13">
        <f>BD8*VLOOKUP('Données projet'!$B$11,Paramètres!$A$1:$I$89,3,0)*VLOOKUP('Données projet'!$B$11,Paramètres!$A$1:$I$89,5,0)</f>
        <v>4.9620445633366561</v>
      </c>
      <c r="BF8" s="13">
        <f t="shared" si="37"/>
        <v>1.8977448620705497</v>
      </c>
      <c r="BG8" s="20">
        <f t="shared" si="7"/>
        <v>11.947466582584214</v>
      </c>
      <c r="BH8" s="59">
        <f t="shared" si="8"/>
        <v>274.72524436036201</v>
      </c>
      <c r="BI8" s="59">
        <f ca="1">AVERAGE(OFFSET($BH$3,0,0,'Données projet'!$E$11+1,1))-AVERAGE(OFFSET($H$3,0,0,'Données projet'!$E$11+1,1))</f>
        <v>356.31271939877655</v>
      </c>
      <c r="BJ8" s="59">
        <f t="shared" si="38"/>
        <v>499.70544707812991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7.7692307692307692</v>
      </c>
      <c r="BY8" s="12">
        <f>IF('Données projet'!$A$114&gt;35,BY7+BX8-CG7,IF(A8&lt;'Données projet'!$A$114,$BV$205^A8,IF(A8='Données projet'!$A$114,'Données projet'!$B$114,BY7+BX8-CG7)))</f>
        <v>5.9005546362134957</v>
      </c>
      <c r="BZ8" s="13">
        <f>BY8*VLOOKUP('Données projet'!$B$12,Paramètres!$A$1:$I$89,3,0)*VLOOKUP('Données projet'!$B$12,Paramètres!$A$1:$I$89,5,0)</f>
        <v>3.5285316724556708</v>
      </c>
      <c r="CA8" s="13">
        <f t="shared" si="39"/>
        <v>1.404126193348852</v>
      </c>
      <c r="CB8" s="20">
        <f t="shared" si="10"/>
        <v>8.5910457829428761</v>
      </c>
      <c r="CC8" s="59">
        <f t="shared" si="11"/>
        <v>271.36882356072067</v>
      </c>
      <c r="CD8" s="59">
        <f ca="1">AVERAGE(OFFSET($CC$3,0,0,'Données projet'!$E$12+1,1))-AVERAGE(OFFSET($H$3,0,0,'Données projet'!$E$12+1,1))</f>
        <v>195.80903373714432</v>
      </c>
      <c r="CE8" s="59">
        <f t="shared" si="40"/>
        <v>388.30721786668977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18.875</v>
      </c>
      <c r="CT8" s="12">
        <f>IF('Données projet'!$A$140&gt;35,CT7+CS8-DB7,IF(A8&lt;'Données projet'!$A$140,$CQ$205^A8,IF(A8='Données projet'!$A$140,'Données projet'!$B$140,CT7+CS8-DB7)))</f>
        <v>5.9566511938068034</v>
      </c>
      <c r="CU8" s="17">
        <f>CT8*VLOOKUP('Données projet'!$B$13,Paramètres!$A$1:$I$89,3,0)*VLOOKUP('Données projet'!$B$13,Paramètres!$A$1:$I$89,5,0)</f>
        <v>2.8341746380132773</v>
      </c>
      <c r="CV8" s="13">
        <f t="shared" si="41"/>
        <v>1.1569543282447725</v>
      </c>
      <c r="CW8" s="20">
        <f t="shared" si="13"/>
        <v>6.9512162828994368</v>
      </c>
      <c r="CX8" s="59">
        <f t="shared" si="14"/>
        <v>269.72899406067722</v>
      </c>
      <c r="CY8" s="59">
        <f ca="1">AVERAGE(OFFSET($CX$3,0,0,'Données projet'!$E$13+1,1))-AVERAGE(OFFSET($H$3,0,0,'Données projet'!$E$13+1,1))</f>
        <v>72.638639486636521</v>
      </c>
      <c r="CZ8" s="59">
        <f t="shared" si="42"/>
        <v>334.50638815329404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18.875</v>
      </c>
      <c r="DO8" s="12">
        <f>IF('Données projet'!$A$166&gt;35,DO7+DN8-DW7,IF(A8&lt;'Données projet'!$A$166,$DL$205^A8,IF(A8='Données projet'!$A$166,'Données projet'!$B$166,DO7+DN8-DW7)))</f>
        <v>5.9566511938068034</v>
      </c>
      <c r="DP8" s="17">
        <f>DO8*VLOOKUP('Données projet'!$B$14,Paramètres!$A$1:$I$89,3,0)*VLOOKUP('Données projet'!$B$14,Paramètres!$A$1:$I$89,5,0)</f>
        <v>2.6204499931794887</v>
      </c>
      <c r="DQ8" s="13">
        <f t="shared" si="43"/>
        <v>1.0795157653909322</v>
      </c>
      <c r="DR8" s="20">
        <f t="shared" si="16"/>
        <v>6.4441070295101497</v>
      </c>
      <c r="DS8" s="59">
        <f t="shared" si="17"/>
        <v>269.22188480728789</v>
      </c>
      <c r="DT8" s="59">
        <f ca="1">AVERAGE(OFFSET($DS$3,0,0,'Données projet'!$E$14+1,1))-AVERAGE(OFFSET($H$3,0,0,'Données projet'!$E$14+1,1))</f>
        <v>68.016800235358346</v>
      </c>
      <c r="DU8" s="59">
        <f t="shared" si="44"/>
        <v>311.30433899203405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439.06700232017681</v>
      </c>
      <c r="T9" s="59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272.93120181514973</v>
      </c>
      <c r="AN9" s="59">
        <f ca="1">AVERAGE(OFFSET($AM$3,0,0,'Données projet'!$E$10+1,1))-AVERAGE(OFFSET($H$3,0,0,'Données projet'!$E$10+1,1))</f>
        <v>487.04124684635974</v>
      </c>
      <c r="AO9" s="59">
        <f t="shared" si="36"/>
        <v>306.61893266146666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7.1333333333333337</v>
      </c>
      <c r="BD9" s="12">
        <f>IF('Données projet'!$A$88&gt;35,BD8+BC9-BL8,IF(A9&lt;'Données projet'!$A$88,$BA$205^A9,IF(A9='Données projet'!$A$88,'Données projet'!$B$88,BD8+BC9-BL8)))</f>
        <v>6.4826639792067677</v>
      </c>
      <c r="BE9" s="13">
        <f>BD9*VLOOKUP('Données projet'!$B$11,Paramètres!$A$1:$I$89,3,0)*VLOOKUP('Données projet'!$B$11,Paramètres!$A$1:$I$89,5,0)</f>
        <v>6.7756803910669143</v>
      </c>
      <c r="BF9" s="13">
        <f t="shared" si="37"/>
        <v>2.4990909283209772</v>
      </c>
      <c r="BG9" s="20">
        <f t="shared" si="7"/>
        <v>16.153560047933912</v>
      </c>
      <c r="BH9" s="59">
        <f t="shared" si="8"/>
        <v>280.15356004793392</v>
      </c>
      <c r="BI9" s="59">
        <f ca="1">AVERAGE(OFFSET($BH$3,0,0,'Données projet'!$E$11+1,1))-AVERAGE(OFFSET($H$3,0,0,'Données projet'!$E$11+1,1))</f>
        <v>356.31271939877655</v>
      </c>
      <c r="BJ9" s="59">
        <f t="shared" si="38"/>
        <v>499.70544707812991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7.7692307692307692</v>
      </c>
      <c r="BY9" s="12">
        <f>IF('Données projet'!$A$114&gt;35,BY8+BX9-CG8,IF(A9&lt;'Données projet'!$A$114,$BV$205^A9,IF(A9='Données projet'!$A$114,'Données projet'!$B$114,BY8+BX9-CG8)))</f>
        <v>8.4153348859199362</v>
      </c>
      <c r="BZ9" s="13">
        <f>BY9*VLOOKUP('Données projet'!$B$12,Paramètres!$A$1:$I$89,3,0)*VLOOKUP('Données projet'!$B$12,Paramètres!$A$1:$I$89,5,0)</f>
        <v>5.0323702617801223</v>
      </c>
      <c r="CA9" s="13">
        <f t="shared" si="39"/>
        <v>1.9214908599868947</v>
      </c>
      <c r="CB9" s="20">
        <f t="shared" si="10"/>
        <v>12.111308120410888</v>
      </c>
      <c r="CC9" s="59">
        <f t="shared" si="11"/>
        <v>276.11130812041091</v>
      </c>
      <c r="CD9" s="59">
        <f ca="1">AVERAGE(OFFSET($CC$3,0,0,'Données projet'!$E$12+1,1))-AVERAGE(OFFSET($H$3,0,0,'Données projet'!$E$12+1,1))</f>
        <v>195.80903373714432</v>
      </c>
      <c r="CE9" s="59">
        <f t="shared" si="40"/>
        <v>388.30721786668977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18.875</v>
      </c>
      <c r="CT9" s="12">
        <f>IF('Données projet'!$A$140&gt;35,CT8+CS9-DB8,IF(A9&lt;'Données projet'!$A$140,$CQ$205^A9,IF(A9='Données projet'!$A$140,'Données projet'!$B$140,CT8+CS9-DB8)))</f>
        <v>8.5114314081669278</v>
      </c>
      <c r="CU9" s="17">
        <f>CT9*VLOOKUP('Données projet'!$B$13,Paramètres!$A$1:$I$89,3,0)*VLOOKUP('Données projet'!$B$13,Paramètres!$A$1:$I$89,5,0)</f>
        <v>4.0497390640058244</v>
      </c>
      <c r="CV9" s="13">
        <f t="shared" si="41"/>
        <v>1.5858956160282334</v>
      </c>
      <c r="CW9" s="20">
        <f t="shared" si="13"/>
        <v>9.8153970677259839</v>
      </c>
      <c r="CX9" s="59">
        <f t="shared" si="14"/>
        <v>273.815397067726</v>
      </c>
      <c r="CY9" s="59">
        <f ca="1">AVERAGE(OFFSET($CX$3,0,0,'Données projet'!$E$13+1,1))-AVERAGE(OFFSET($H$3,0,0,'Données projet'!$E$13+1,1))</f>
        <v>72.638639486636521</v>
      </c>
      <c r="CZ9" s="59">
        <f t="shared" si="42"/>
        <v>334.50638815329404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18.875</v>
      </c>
      <c r="DO9" s="12">
        <f>IF('Données projet'!$A$166&gt;35,DO8+DN9-DW8,IF(A9&lt;'Données projet'!$A$166,$DL$205^A9,IF(A9='Données projet'!$A$166,'Données projet'!$B$166,DO8+DN9-DW8)))</f>
        <v>8.5114314081669278</v>
      </c>
      <c r="DP9" s="17">
        <f>DO9*VLOOKUP('Données projet'!$B$14,Paramètres!$A$1:$I$89,3,0)*VLOOKUP('Données projet'!$B$14,Paramètres!$A$1:$I$89,5,0)</f>
        <v>3.7443489050807943</v>
      </c>
      <c r="DQ9" s="13">
        <f t="shared" si="43"/>
        <v>1.4797466744984951</v>
      </c>
      <c r="DR9" s="20">
        <f t="shared" si="16"/>
        <v>9.0986331344339284</v>
      </c>
      <c r="DS9" s="59">
        <f t="shared" si="17"/>
        <v>273.09863313443395</v>
      </c>
      <c r="DT9" s="59">
        <f ca="1">AVERAGE(OFFSET($DS$3,0,0,'Données projet'!$E$14+1,1))-AVERAGE(OFFSET($H$3,0,0,'Données projet'!$E$14+1,1))</f>
        <v>68.016800235358346</v>
      </c>
      <c r="DU9" s="59">
        <f t="shared" si="44"/>
        <v>311.30433899203405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439.06700232017681</v>
      </c>
      <c r="T10" s="59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276.21295823232487</v>
      </c>
      <c r="AN10" s="59">
        <f ca="1">AVERAGE(OFFSET($AM$3,0,0,'Données projet'!$E$10+1,1))-AVERAGE(OFFSET($H$3,0,0,'Données projet'!$E$10+1,1))</f>
        <v>487.04124684635974</v>
      </c>
      <c r="AO10" s="59">
        <f t="shared" si="36"/>
        <v>306.61893266146666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7.1333333333333337</v>
      </c>
      <c r="BD10" s="12">
        <f>IF('Données projet'!$A$88&gt;35,BD9+BC10-BL9,IF(A10&lt;'Données projet'!$A$88,$BA$205^A10,IF(A10='Données projet'!$A$88,'Données projet'!$B$88,BD9+BC10-BL9)))</f>
        <v>8.8520888204701524</v>
      </c>
      <c r="BE10" s="13">
        <f>BD10*VLOOKUP('Données projet'!$B$11,Paramètres!$A$1:$I$89,3,0)*VLOOKUP('Données projet'!$B$11,Paramètres!$A$1:$I$89,5,0)</f>
        <v>9.2522032351554042</v>
      </c>
      <c r="BF10" s="13">
        <f t="shared" si="37"/>
        <v>3.2909879472428405</v>
      </c>
      <c r="BG10" s="20">
        <f t="shared" si="7"/>
        <v>21.846057976010275</v>
      </c>
      <c r="BH10" s="59">
        <f t="shared" si="8"/>
        <v>287.06828019823251</v>
      </c>
      <c r="BI10" s="59">
        <f ca="1">AVERAGE(OFFSET($BH$3,0,0,'Données projet'!$E$11+1,1))-AVERAGE(OFFSET($H$3,0,0,'Données projet'!$E$11+1,1))</f>
        <v>356.31271939877655</v>
      </c>
      <c r="BJ10" s="59">
        <f t="shared" si="38"/>
        <v>499.70544707812991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7.7692307692307692</v>
      </c>
      <c r="BY10" s="12">
        <f>IF('Données projet'!$A$114&gt;35,BY9+BX10-CG9,IF(A10&lt;'Données projet'!$A$114,$BV$205^A10,IF(A10='Données projet'!$A$114,'Données projet'!$B$114,BY9+BX10-CG9)))</f>
        <v>12.001899077003776</v>
      </c>
      <c r="BZ10" s="13">
        <f>BY10*VLOOKUP('Données projet'!$B$12,Paramètres!$A$1:$I$89,3,0)*VLOOKUP('Données projet'!$B$12,Paramètres!$A$1:$I$89,5,0)</f>
        <v>7.1771356480482584</v>
      </c>
      <c r="CA10" s="13">
        <f t="shared" si="39"/>
        <v>2.6294838330787229</v>
      </c>
      <c r="CB10" s="20">
        <f t="shared" si="10"/>
        <v>17.079862262962827</v>
      </c>
      <c r="CC10" s="59">
        <f t="shared" si="11"/>
        <v>282.30208448518505</v>
      </c>
      <c r="CD10" s="59">
        <f ca="1">AVERAGE(OFFSET($CC$3,0,0,'Données projet'!$E$12+1,1))-AVERAGE(OFFSET($H$3,0,0,'Données projet'!$E$12+1,1))</f>
        <v>195.80903373714432</v>
      </c>
      <c r="CE10" s="59">
        <f t="shared" si="40"/>
        <v>388.30721786668977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18.875</v>
      </c>
      <c r="CT10" s="12">
        <f>IF('Données projet'!$A$140&gt;35,CT9+CS10-DB9,IF(A10&lt;'Données projet'!$A$140,$CQ$205^A10,IF(A10='Données projet'!$A$140,'Données projet'!$B$140,CT9+CS10-DB9)))</f>
        <v>12.161945069278483</v>
      </c>
      <c r="CU10" s="17">
        <f>CT10*VLOOKUP('Données projet'!$B$13,Paramètres!$A$1:$I$89,3,0)*VLOOKUP('Données projet'!$B$13,Paramètres!$A$1:$I$89,5,0)</f>
        <v>5.7866534639627023</v>
      </c>
      <c r="CV10" s="13">
        <f t="shared" si="41"/>
        <v>2.1738670607276269</v>
      </c>
      <c r="CW10" s="20">
        <f t="shared" si="13"/>
        <v>13.864573247168991</v>
      </c>
      <c r="CX10" s="59">
        <f t="shared" si="14"/>
        <v>279.08679546939123</v>
      </c>
      <c r="CY10" s="59">
        <f ca="1">AVERAGE(OFFSET($CX$3,0,0,'Données projet'!$E$13+1,1))-AVERAGE(OFFSET($H$3,0,0,'Données projet'!$E$13+1,1))</f>
        <v>72.638639486636521</v>
      </c>
      <c r="CZ10" s="59">
        <f t="shared" si="42"/>
        <v>334.50638815329404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18.875</v>
      </c>
      <c r="DO10" s="12">
        <f>IF('Données projet'!$A$166&gt;35,DO9+DN10-DW9,IF(A10&lt;'Données projet'!$A$166,$DL$205^A10,IF(A10='Données projet'!$A$166,'Données projet'!$B$166,DO9+DN10-DW9)))</f>
        <v>12.161945069278483</v>
      </c>
      <c r="DP10" s="17">
        <f>DO10*VLOOKUP('Données projet'!$B$14,Paramètres!$A$1:$I$89,3,0)*VLOOKUP('Données projet'!$B$14,Paramètres!$A$1:$I$89,5,0)</f>
        <v>5.3502828748769904</v>
      </c>
      <c r="DQ10" s="13">
        <f t="shared" si="43"/>
        <v>2.0283633559500656</v>
      </c>
      <c r="DR10" s="20">
        <f t="shared" si="16"/>
        <v>12.851142185357121</v>
      </c>
      <c r="DS10" s="59">
        <f t="shared" si="17"/>
        <v>278.07336440757933</v>
      </c>
      <c r="DT10" s="59">
        <f ca="1">AVERAGE(OFFSET($DS$3,0,0,'Données projet'!$E$14+1,1))-AVERAGE(OFFSET($H$3,0,0,'Données projet'!$E$14+1,1))</f>
        <v>68.016800235358346</v>
      </c>
      <c r="DU10" s="59">
        <f t="shared" si="44"/>
        <v>311.30433899203405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439.06700232017681</v>
      </c>
      <c r="T11" s="59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279.97133827485578</v>
      </c>
      <c r="AN11" s="59">
        <f ca="1">AVERAGE(OFFSET($AM$3,0,0,'Données projet'!$E$10+1,1))-AVERAGE(OFFSET($H$3,0,0,'Données projet'!$E$10+1,1))</f>
        <v>487.04124684635974</v>
      </c>
      <c r="AO11" s="59">
        <f t="shared" si="36"/>
        <v>306.61893266146666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7.1333333333333337</v>
      </c>
      <c r="BD11" s="12">
        <f>IF('Données projet'!$A$88&gt;35,BD10+BC11-BL10,IF(A11&lt;'Données projet'!$A$88,$BA$205^A11,IF(A11='Données projet'!$A$88,'Données projet'!$B$88,BD10+BC11-BL10)))</f>
        <v>12.087542519068045</v>
      </c>
      <c r="BE11" s="13">
        <f>BD11*VLOOKUP('Données projet'!$B$11,Paramètres!$A$1:$I$89,3,0)*VLOOKUP('Données projet'!$B$11,Paramètres!$A$1:$I$89,5,0)</f>
        <v>12.633899440929923</v>
      </c>
      <c r="BF11" s="13">
        <f t="shared" si="37"/>
        <v>4.3338165675205031</v>
      </c>
      <c r="BG11" s="20">
        <f t="shared" si="7"/>
        <v>29.552105381384489</v>
      </c>
      <c r="BH11" s="59">
        <f t="shared" si="8"/>
        <v>295.99654982582894</v>
      </c>
      <c r="BI11" s="59">
        <f ca="1">AVERAGE(OFFSET($BH$3,0,0,'Données projet'!$E$11+1,1))-AVERAGE(OFFSET($H$3,0,0,'Données projet'!$E$11+1,1))</f>
        <v>356.31271939877655</v>
      </c>
      <c r="BJ11" s="59">
        <f t="shared" si="38"/>
        <v>499.70544707812991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7.7692307692307692</v>
      </c>
      <c r="BY11" s="12">
        <f>IF('Données projet'!$A$114&gt;35,BY10+BX11-CG10,IF(A11&lt;'Données projet'!$A$114,$BV$205^A11,IF(A11='Données projet'!$A$114,'Données projet'!$B$114,BY10+BX11-CG10)))</f>
        <v>17.117034961447946</v>
      </c>
      <c r="BZ11" s="13">
        <f>BY11*VLOOKUP('Données projet'!$B$12,Paramètres!$A$1:$I$89,3,0)*VLOOKUP('Données projet'!$B$12,Paramètres!$A$1:$I$89,5,0)</f>
        <v>10.235986906945872</v>
      </c>
      <c r="CA11" s="13">
        <f t="shared" si="39"/>
        <v>3.5983440631455994</v>
      </c>
      <c r="CB11" s="20">
        <f t="shared" si="10"/>
        <v>24.094793106242644</v>
      </c>
      <c r="CC11" s="59">
        <f t="shared" si="11"/>
        <v>290.53923755068712</v>
      </c>
      <c r="CD11" s="59">
        <f ca="1">AVERAGE(OFFSET($CC$3,0,0,'Données projet'!$E$12+1,1))-AVERAGE(OFFSET($H$3,0,0,'Données projet'!$E$12+1,1))</f>
        <v>195.80903373714432</v>
      </c>
      <c r="CE11" s="59">
        <f t="shared" si="40"/>
        <v>388.30721786668977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18.875</v>
      </c>
      <c r="CT11" s="12">
        <f>IF('Données projet'!$A$140&gt;35,CT10+CS11-DB10,IF(A11&lt;'Données projet'!$A$140,$CQ$205^A11,IF(A11='Données projet'!$A$140,'Données projet'!$B$140,CT10+CS11-DB10)))</f>
        <v>17.37814719698277</v>
      </c>
      <c r="CU11" s="17">
        <f>CT11*VLOOKUP('Données projet'!$B$13,Paramètres!$A$1:$I$89,3,0)*VLOOKUP('Données projet'!$B$13,Paramètres!$A$1:$I$89,5,0)</f>
        <v>8.2685224363244014</v>
      </c>
      <c r="CV11" s="13">
        <f t="shared" si="41"/>
        <v>2.9798291577044371</v>
      </c>
      <c r="CW11" s="20">
        <f t="shared" si="13"/>
        <v>19.590879026266894</v>
      </c>
      <c r="CX11" s="59">
        <f t="shared" si="14"/>
        <v>286.03532347071138</v>
      </c>
      <c r="CY11" s="59">
        <f ca="1">AVERAGE(OFFSET($CX$3,0,0,'Données projet'!$E$13+1,1))-AVERAGE(OFFSET($H$3,0,0,'Données projet'!$E$13+1,1))</f>
        <v>72.638639486636521</v>
      </c>
      <c r="CZ11" s="59">
        <f t="shared" si="42"/>
        <v>334.50638815329404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18.875</v>
      </c>
      <c r="DO11" s="12">
        <f>IF('Données projet'!$A$166&gt;35,DO10+DN11-DW10,IF(A11&lt;'Données projet'!$A$166,$DL$205^A11,IF(A11='Données projet'!$A$166,'Données projet'!$B$166,DO10+DN11-DW10)))</f>
        <v>17.37814719698277</v>
      </c>
      <c r="DP11" s="17">
        <f>DO11*VLOOKUP('Données projet'!$B$14,Paramètres!$A$1:$I$89,3,0)*VLOOKUP('Données projet'!$B$14,Paramètres!$A$1:$I$89,5,0)</f>
        <v>7.6449945148966592</v>
      </c>
      <c r="DQ11" s="13">
        <f t="shared" si="43"/>
        <v>2.7803798951975249</v>
      </c>
      <c r="DR11" s="20">
        <f t="shared" si="16"/>
        <v>18.157527097580704</v>
      </c>
      <c r="DS11" s="59">
        <f t="shared" si="17"/>
        <v>284.60197154202518</v>
      </c>
      <c r="DT11" s="59">
        <f ca="1">AVERAGE(OFFSET($DS$3,0,0,'Données projet'!$E$14+1,1))-AVERAGE(OFFSET($H$3,0,0,'Données projet'!$E$14+1,1))</f>
        <v>68.016800235358346</v>
      </c>
      <c r="DU11" s="59">
        <f t="shared" si="44"/>
        <v>311.30433899203405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439.06700232017681</v>
      </c>
      <c r="T12" s="59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284.31701074047817</v>
      </c>
      <c r="AN12" s="59">
        <f ca="1">AVERAGE(OFFSET($AM$3,0,0,'Données projet'!$E$10+1,1))-AVERAGE(OFFSET($H$3,0,0,'Données projet'!$E$10+1,1))</f>
        <v>487.04124684635974</v>
      </c>
      <c r="AO12" s="59">
        <f t="shared" si="36"/>
        <v>306.61893266146666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7.1333333333333337</v>
      </c>
      <c r="BD12" s="12">
        <f>IF('Données projet'!$A$88&gt;35,BD11+BC12-BL11,IF(A12&lt;'Données projet'!$A$88,$BA$205^A12,IF(A12='Données projet'!$A$88,'Données projet'!$B$88,BD11+BC12-BL11)))</f>
        <v>16.505560112818404</v>
      </c>
      <c r="BE12" s="13">
        <f>BD12*VLOOKUP('Données projet'!$B$11,Paramètres!$A$1:$I$89,3,0)*VLOOKUP('Données projet'!$B$11,Paramètres!$A$1:$I$89,5,0)</f>
        <v>17.251611429917798</v>
      </c>
      <c r="BF12" s="13">
        <f t="shared" si="37"/>
        <v>5.7070904974448622</v>
      </c>
      <c r="BG12" s="20">
        <f t="shared" si="7"/>
        <v>39.986405856823303</v>
      </c>
      <c r="BH12" s="59">
        <f t="shared" si="8"/>
        <v>307.65307252348998</v>
      </c>
      <c r="BI12" s="59">
        <f ca="1">AVERAGE(OFFSET($BH$3,0,0,'Données projet'!$E$11+1,1))-AVERAGE(OFFSET($H$3,0,0,'Données projet'!$E$11+1,1))</f>
        <v>356.31271939877655</v>
      </c>
      <c r="BJ12" s="59">
        <f t="shared" si="38"/>
        <v>499.70544707812991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7.7692307692307692</v>
      </c>
      <c r="BY12" s="12">
        <f>IF('Données projet'!$A$114&gt;35,BY11+BX12-CG11,IF(A12&lt;'Données projet'!$A$114,$BV$205^A12,IF(A12='Données projet'!$A$114,'Données projet'!$B$114,BY11+BX12-CG11)))</f>
        <v>24.412210433665443</v>
      </c>
      <c r="BZ12" s="13">
        <f>BY12*VLOOKUP('Données projet'!$B$12,Paramètres!$A$1:$I$89,3,0)*VLOOKUP('Données projet'!$B$12,Paramètres!$A$1:$I$89,5,0)</f>
        <v>14.598501839331936</v>
      </c>
      <c r="CA12" s="13">
        <f t="shared" si="39"/>
        <v>4.9241907608973428</v>
      </c>
      <c r="CB12" s="20">
        <f t="shared" si="10"/>
        <v>34.002022945399325</v>
      </c>
      <c r="CC12" s="59">
        <f t="shared" si="11"/>
        <v>301.66868961206603</v>
      </c>
      <c r="CD12" s="59">
        <f ca="1">AVERAGE(OFFSET($CC$3,0,0,'Données projet'!$E$12+1,1))-AVERAGE(OFFSET($H$3,0,0,'Données projet'!$E$12+1,1))</f>
        <v>195.80903373714432</v>
      </c>
      <c r="CE12" s="59">
        <f t="shared" si="40"/>
        <v>388.30721786668977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18.875</v>
      </c>
      <c r="CT12" s="12">
        <f>IF('Données projet'!$A$140&gt;35,CT11+CS12-DB11,IF(A12&lt;'Données projet'!$A$140,$CQ$205^A12,IF(A12='Données projet'!$A$140,'Données projet'!$B$140,CT11+CS12-DB11)))</f>
        <v>24.831554350863097</v>
      </c>
      <c r="CU12" s="17">
        <f>CT12*VLOOKUP('Données projet'!$B$13,Paramètres!$A$1:$I$89,3,0)*VLOOKUP('Données projet'!$B$13,Paramètres!$A$1:$I$89,5,0)</f>
        <v>11.814853560140662</v>
      </c>
      <c r="CV12" s="13">
        <f t="shared" si="41"/>
        <v>4.0846020299573746</v>
      </c>
      <c r="CW12" s="20">
        <f t="shared" si="13"/>
        <v>27.691551819420742</v>
      </c>
      <c r="CX12" s="59">
        <f t="shared" si="14"/>
        <v>295.35821848608742</v>
      </c>
      <c r="CY12" s="59">
        <f ca="1">AVERAGE(OFFSET($CX$3,0,0,'Données projet'!$E$13+1,1))-AVERAGE(OFFSET($H$3,0,0,'Données projet'!$E$13+1,1))</f>
        <v>72.638639486636521</v>
      </c>
      <c r="CZ12" s="59">
        <f t="shared" si="42"/>
        <v>334.50638815329404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18.875</v>
      </c>
      <c r="DO12" s="12">
        <f>IF('Données projet'!$A$166&gt;35,DO11+DN12-DW11,IF(A12&lt;'Données projet'!$A$166,$DL$205^A12,IF(A12='Données projet'!$A$166,'Données projet'!$B$166,DO11+DN12-DW11)))</f>
        <v>24.831554350863097</v>
      </c>
      <c r="DP12" s="17">
        <f>DO12*VLOOKUP('Données projet'!$B$14,Paramètres!$A$1:$I$89,3,0)*VLOOKUP('Données projet'!$B$14,Paramètres!$A$1:$I$89,5,0)</f>
        <v>10.923897390031692</v>
      </c>
      <c r="DQ12" s="13">
        <f t="shared" si="43"/>
        <v>3.8112068722508075</v>
      </c>
      <c r="DR12" s="20">
        <f t="shared" si="16"/>
        <v>25.663639923475355</v>
      </c>
      <c r="DS12" s="59">
        <f t="shared" si="17"/>
        <v>293.33030659014202</v>
      </c>
      <c r="DT12" s="59">
        <f ca="1">AVERAGE(OFFSET($DS$3,0,0,'Données projet'!$E$14+1,1))-AVERAGE(OFFSET($H$3,0,0,'Données projet'!$E$14+1,1))</f>
        <v>68.016800235358346</v>
      </c>
      <c r="DU12" s="59">
        <f t="shared" si="44"/>
        <v>311.30433899203405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439.06700232017681</v>
      </c>
      <c r="T13" s="59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289.38642019585347</v>
      </c>
      <c r="AN13" s="59">
        <f ca="1">AVERAGE(OFFSET($AM$3,0,0,'Données projet'!$E$10+1,1))-AVERAGE(OFFSET($H$3,0,0,'Données projet'!$E$10+1,1))</f>
        <v>487.04124684635974</v>
      </c>
      <c r="AO13" s="59">
        <f t="shared" si="36"/>
        <v>306.61893266146666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7.1333333333333337</v>
      </c>
      <c r="BD13" s="12">
        <f>IF('Données projet'!$A$88&gt;35,BD12+BC13-BL12,IF(A13&lt;'Données projet'!$A$88,$BA$205^A13,IF(A13='Données projet'!$A$88,'Données projet'!$B$88,BD12+BC13-BL12)))</f>
        <v>22.538370740628146</v>
      </c>
      <c r="BE13" s="13">
        <f>BD13*VLOOKUP('Données projet'!$B$11,Paramètres!$A$1:$I$89,3,0)*VLOOKUP('Données projet'!$B$11,Paramètres!$A$1:$I$89,5,0)</f>
        <v>23.55710509810454</v>
      </c>
      <c r="BF13" s="13">
        <f t="shared" si="37"/>
        <v>7.5155192746563673</v>
      </c>
      <c r="BG13" s="20">
        <f t="shared" si="7"/>
        <v>54.118154115891912</v>
      </c>
      <c r="BH13" s="59">
        <f t="shared" si="8"/>
        <v>323.00704300478077</v>
      </c>
      <c r="BI13" s="59">
        <f ca="1">AVERAGE(OFFSET($BH$3,0,0,'Données projet'!$E$11+1,1))-AVERAGE(OFFSET($H$3,0,0,'Données projet'!$E$11+1,1))</f>
        <v>356.31271939877655</v>
      </c>
      <c r="BJ13" s="59">
        <f t="shared" si="38"/>
        <v>499.70544707812991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7.7692307692307692</v>
      </c>
      <c r="BY13" s="12">
        <f>IF('Données projet'!$A$114&gt;35,BY12+BX13-CG12,IF(A13&lt;'Données projet'!$A$114,$BV$205^A13,IF(A13='Données projet'!$A$114,'Données projet'!$B$114,BY12+BX13-CG12)))</f>
        <v>34.816545014940573</v>
      </c>
      <c r="BZ13" s="13">
        <f>BY13*VLOOKUP('Données projet'!$B$12,Paramètres!$A$1:$I$89,3,0)*VLOOKUP('Données projet'!$B$12,Paramètres!$A$1:$I$89,5,0)</f>
        <v>20.820293918934464</v>
      </c>
      <c r="CA13" s="13">
        <f t="shared" si="39"/>
        <v>6.7385592439734481</v>
      </c>
      <c r="CB13" s="20">
        <f t="shared" si="10"/>
        <v>47.998335925397946</v>
      </c>
      <c r="CC13" s="59">
        <f t="shared" si="11"/>
        <v>316.88722481428681</v>
      </c>
      <c r="CD13" s="59">
        <f ca="1">AVERAGE(OFFSET($CC$3,0,0,'Données projet'!$E$12+1,1))-AVERAGE(OFFSET($H$3,0,0,'Données projet'!$E$12+1,1))</f>
        <v>195.80903373714432</v>
      </c>
      <c r="CE13" s="59">
        <f t="shared" si="40"/>
        <v>388.30721786668977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18.875</v>
      </c>
      <c r="CT13" s="12">
        <f>IF('Données projet'!$A$140&gt;35,CT12+CS13-DB12,IF(A13&lt;'Données projet'!$A$140,$CQ$205^A13,IF(A13='Données projet'!$A$140,'Données projet'!$B$140,CT12+CS13-DB12)))</f>
        <v>35.481693444680019</v>
      </c>
      <c r="CU13" s="17">
        <f>CT13*VLOOKUP('Données projet'!$B$13,Paramètres!$A$1:$I$89,3,0)*VLOOKUP('Données projet'!$B$13,Paramètres!$A$1:$I$89,5,0)</f>
        <v>16.882189740978752</v>
      </c>
      <c r="CV13" s="13">
        <f t="shared" si="41"/>
        <v>5.5989698939601951</v>
      </c>
      <c r="CW13" s="20">
        <f t="shared" si="13"/>
        <v>39.154686364185331</v>
      </c>
      <c r="CX13" s="59">
        <f t="shared" si="14"/>
        <v>308.04357525307421</v>
      </c>
      <c r="CY13" s="59">
        <f ca="1">AVERAGE(OFFSET($CX$3,0,0,'Données projet'!$E$13+1,1))-AVERAGE(OFFSET($H$3,0,0,'Données projet'!$E$13+1,1))</f>
        <v>72.638639486636521</v>
      </c>
      <c r="CZ13" s="59">
        <f t="shared" si="42"/>
        <v>334.50638815329404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18.875</v>
      </c>
      <c r="DO13" s="12">
        <f>IF('Données projet'!$A$166&gt;35,DO12+DN13-DW12,IF(A13&lt;'Données projet'!$A$166,$DL$205^A13,IF(A13='Données projet'!$A$166,'Données projet'!$B$166,DO12+DN13-DW12)))</f>
        <v>35.481693444680019</v>
      </c>
      <c r="DP13" s="17">
        <f>DO13*VLOOKUP('Données projet'!$B$14,Paramètres!$A$1:$I$89,3,0)*VLOOKUP('Données projet'!$B$14,Paramètres!$A$1:$I$89,5,0)</f>
        <v>15.609106580183633</v>
      </c>
      <c r="DQ13" s="13">
        <f t="shared" si="43"/>
        <v>5.2242133703314897</v>
      </c>
      <c r="DR13" s="20">
        <f t="shared" si="16"/>
        <v>36.284698913813834</v>
      </c>
      <c r="DS13" s="59">
        <f t="shared" si="17"/>
        <v>305.17358780270268</v>
      </c>
      <c r="DT13" s="59">
        <f ca="1">AVERAGE(OFFSET($DS$3,0,0,'Données projet'!$E$14+1,1))-AVERAGE(OFFSET($H$3,0,0,'Données projet'!$E$14+1,1))</f>
        <v>68.016800235358346</v>
      </c>
      <c r="DU13" s="59">
        <f t="shared" si="44"/>
        <v>311.30433899203405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439.06700232017681</v>
      </c>
      <c r="T14" s="59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295.34780742507621</v>
      </c>
      <c r="AN14" s="59">
        <f ca="1">AVERAGE(OFFSET($AM$3,0,0,'Données projet'!$E$10+1,1))-AVERAGE(OFFSET($H$3,0,0,'Données projet'!$E$10+1,1))</f>
        <v>487.04124684635974</v>
      </c>
      <c r="AO14" s="59">
        <f t="shared" si="36"/>
        <v>306.61893266146666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7.1333333333333337</v>
      </c>
      <c r="BD14" s="12">
        <f>IF('Données projet'!$A$88&gt;35,BD13+BC14-BL13,IF(A14&lt;'Données projet'!$A$88,$BA$205^A14,IF(A14='Données projet'!$A$88,'Données projet'!$B$88,BD13+BC14-BL13)))</f>
        <v>30.776184035554262</v>
      </c>
      <c r="BE14" s="13">
        <f>BD14*VLOOKUP('Données projet'!$B$11,Paramètres!$A$1:$I$89,3,0)*VLOOKUP('Données projet'!$B$11,Paramètres!$A$1:$I$89,5,0)</f>
        <v>32.167267553961317</v>
      </c>
      <c r="BF14" s="13">
        <f t="shared" si="37"/>
        <v>9.8969921701819139</v>
      </c>
      <c r="BG14" s="20">
        <f t="shared" si="7"/>
        <v>73.261919019549453</v>
      </c>
      <c r="BH14" s="59">
        <f t="shared" si="8"/>
        <v>343.3730301306606</v>
      </c>
      <c r="BI14" s="59">
        <f ca="1">AVERAGE(OFFSET($BH$3,0,0,'Données projet'!$E$11+1,1))-AVERAGE(OFFSET($H$3,0,0,'Données projet'!$E$11+1,1))</f>
        <v>356.31271939877655</v>
      </c>
      <c r="BJ14" s="59">
        <f t="shared" si="38"/>
        <v>499.70544707812991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7.7692307692307692</v>
      </c>
      <c r="BY14" s="12">
        <f>IF('Données projet'!$A$114&gt;35,BY13+BX14-CG13,IF(A14&lt;'Données projet'!$A$114,$BV$205^A14,IF(A14='Données projet'!$A$114,'Données projet'!$B$114,BY13+BX14-CG13)))</f>
        <v>49.65514327640404</v>
      </c>
      <c r="BZ14" s="13">
        <f>BY14*VLOOKUP('Données projet'!$B$12,Paramètres!$A$1:$I$89,3,0)*VLOOKUP('Données projet'!$B$12,Paramètres!$A$1:$I$89,5,0)</f>
        <v>29.693775679289619</v>
      </c>
      <c r="CA14" s="13">
        <f t="shared" si="39"/>
        <v>9.2214503640117265</v>
      </c>
      <c r="CB14" s="20">
        <f t="shared" si="10"/>
        <v>67.777352025416505</v>
      </c>
      <c r="CC14" s="59">
        <f t="shared" si="11"/>
        <v>337.88846313652766</v>
      </c>
      <c r="CD14" s="59">
        <f ca="1">AVERAGE(OFFSET($CC$3,0,0,'Données projet'!$E$12+1,1))-AVERAGE(OFFSET($H$3,0,0,'Données projet'!$E$12+1,1))</f>
        <v>195.80903373714432</v>
      </c>
      <c r="CE14" s="59">
        <f t="shared" si="40"/>
        <v>388.30721786668977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18.875</v>
      </c>
      <c r="CT14" s="12">
        <f>IF('Données projet'!$A$140&gt;35,CT13+CS14-DB13,IF(A14&lt;'Données projet'!$A$140,$CQ$205^A14,IF(A14='Données projet'!$A$140,'Données projet'!$B$140,CT13+CS14-DB13)))</f>
        <v>50.699628058462253</v>
      </c>
      <c r="CU14" s="17">
        <f>CT14*VLOOKUP('Données projet'!$B$13,Paramètres!$A$1:$I$89,3,0)*VLOOKUP('Données projet'!$B$13,Paramètres!$A$1:$I$89,5,0)</f>
        <v>24.12288303021634</v>
      </c>
      <c r="CV14" s="13">
        <f t="shared" si="41"/>
        <v>7.6747902595053512</v>
      </c>
      <c r="CW14" s="20">
        <f t="shared" si="13"/>
        <v>55.380947646265277</v>
      </c>
      <c r="CX14" s="59">
        <f t="shared" si="14"/>
        <v>325.49205875737641</v>
      </c>
      <c r="CY14" s="59">
        <f ca="1">AVERAGE(OFFSET($CX$3,0,0,'Données projet'!$E$13+1,1))-AVERAGE(OFFSET($H$3,0,0,'Données projet'!$E$13+1,1))</f>
        <v>72.638639486636521</v>
      </c>
      <c r="CZ14" s="59">
        <f t="shared" si="42"/>
        <v>334.50638815329404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18.875</v>
      </c>
      <c r="DO14" s="12">
        <f>IF('Données projet'!$A$166&gt;35,DO13+DN14-DW13,IF(A14&lt;'Données projet'!$A$166,$DL$205^A14,IF(A14='Données projet'!$A$166,'Données projet'!$B$166,DO13+DN14-DW13)))</f>
        <v>50.699628058462253</v>
      </c>
      <c r="DP14" s="17">
        <f>DO14*VLOOKUP('Données projet'!$B$14,Paramètres!$A$1:$I$89,3,0)*VLOOKUP('Données projet'!$B$14,Paramètres!$A$1:$I$89,5,0)</f>
        <v>22.303780375478713</v>
      </c>
      <c r="DQ14" s="13">
        <f t="shared" si="43"/>
        <v>7.1610926023105304</v>
      </c>
      <c r="DR14" s="20">
        <f t="shared" si="16"/>
        <v>51.317987102982926</v>
      </c>
      <c r="DS14" s="59">
        <f t="shared" si="17"/>
        <v>321.4290982140941</v>
      </c>
      <c r="DT14" s="59">
        <f ca="1">AVERAGE(OFFSET($DS$3,0,0,'Données projet'!$E$14+1,1))-AVERAGE(OFFSET($H$3,0,0,'Données projet'!$E$14+1,1))</f>
        <v>68.016800235358346</v>
      </c>
      <c r="DU14" s="59">
        <f t="shared" si="44"/>
        <v>311.30433899203405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439.06700232017681</v>
      </c>
      <c r="T15" s="59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302.40863972786531</v>
      </c>
      <c r="AN15" s="59">
        <f ca="1">AVERAGE(OFFSET($AM$3,0,0,'Données projet'!$E$10+1,1))-AVERAGE(OFFSET($H$3,0,0,'Données projet'!$E$10+1,1))</f>
        <v>487.04124684635974</v>
      </c>
      <c r="AO15" s="59">
        <f t="shared" si="36"/>
        <v>306.61893266146666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7.1333333333333337</v>
      </c>
      <c r="BD15" s="12">
        <f>IF('Données projet'!$A$88&gt;35,BD14+BC15-BL14,IF(A15&lt;'Données projet'!$A$88,$BA$205^A15,IF(A15='Données projet'!$A$88,'Données projet'!$B$88,BD14+BC15-BL14)))</f>
        <v>42.024932267304926</v>
      </c>
      <c r="BE15" s="13">
        <f>BD15*VLOOKUP('Données projet'!$B$11,Paramètres!$A$1:$I$89,3,0)*VLOOKUP('Données projet'!$B$11,Paramètres!$A$1:$I$89,5,0)</f>
        <v>43.924459205787116</v>
      </c>
      <c r="BF15" s="13">
        <f t="shared" si="37"/>
        <v>13.033091984335396</v>
      </c>
      <c r="BG15" s="20">
        <f t="shared" si="7"/>
        <v>99.201068322796701</v>
      </c>
      <c r="BH15" s="59">
        <f t="shared" si="8"/>
        <v>370.53440165613</v>
      </c>
      <c r="BI15" s="59">
        <f ca="1">AVERAGE(OFFSET($BH$3,0,0,'Données projet'!$E$11+1,1))-AVERAGE(OFFSET($H$3,0,0,'Données projet'!$E$11+1,1))</f>
        <v>356.31271939877655</v>
      </c>
      <c r="BJ15" s="59">
        <f t="shared" si="38"/>
        <v>499.70544707812991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7.7692307692307692</v>
      </c>
      <c r="BY15" s="12">
        <f>IF('Données projet'!$A$114&gt;35,BY14+BX15-CG14,IF(A15&lt;'Données projet'!$A$114,$BV$205^A15,IF(A15='Données projet'!$A$114,'Données projet'!$B$114,BY14+BX15-CG14)))</f>
        <v>70.81786124218111</v>
      </c>
      <c r="BZ15" s="13">
        <f>BY15*VLOOKUP('Données projet'!$B$12,Paramètres!$A$1:$I$89,3,0)*VLOOKUP('Données projet'!$B$12,Paramètres!$A$1:$I$89,5,0)</f>
        <v>42.349081022824308</v>
      </c>
      <c r="CA15" s="13">
        <f t="shared" si="39"/>
        <v>12.61918812867636</v>
      </c>
      <c r="CB15" s="20">
        <f t="shared" si="10"/>
        <v>95.736402105530317</v>
      </c>
      <c r="CC15" s="59">
        <f t="shared" si="11"/>
        <v>367.06973543886363</v>
      </c>
      <c r="CD15" s="59">
        <f ca="1">AVERAGE(OFFSET($CC$3,0,0,'Données projet'!$E$12+1,1))-AVERAGE(OFFSET($H$3,0,0,'Données projet'!$E$12+1,1))</f>
        <v>195.80903373714432</v>
      </c>
      <c r="CE15" s="59">
        <f t="shared" si="40"/>
        <v>388.30721786668977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18.875</v>
      </c>
      <c r="CT15" s="12">
        <f>IF('Données projet'!$A$140&gt;35,CT14+CS15-DB14,IF(A15&lt;'Données projet'!$A$140,$CQ$205^A15,IF(A15='Données projet'!$A$140,'Données projet'!$B$140,CT14+CS15-DB14)))</f>
        <v>72.444464615930443</v>
      </c>
      <c r="CU15" s="17">
        <f>CT15*VLOOKUP('Données projet'!$B$13,Paramètres!$A$1:$I$89,3,0)*VLOOKUP('Données projet'!$B$13,Paramètres!$A$1:$I$89,5,0)</f>
        <v>34.469076264259705</v>
      </c>
      <c r="CV15" s="13">
        <f t="shared" si="41"/>
        <v>10.520221869908301</v>
      </c>
      <c r="CW15" s="20">
        <f t="shared" si="13"/>
        <v>78.356360917009269</v>
      </c>
      <c r="CX15" s="59">
        <f t="shared" si="14"/>
        <v>349.6896942503426</v>
      </c>
      <c r="CY15" s="59">
        <f ca="1">AVERAGE(OFFSET($CX$3,0,0,'Données projet'!$E$13+1,1))-AVERAGE(OFFSET($H$3,0,0,'Données projet'!$E$13+1,1))</f>
        <v>72.638639486636521</v>
      </c>
      <c r="CZ15" s="59">
        <f t="shared" si="42"/>
        <v>334.50638815329404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18.875</v>
      </c>
      <c r="DO15" s="12">
        <f>IF('Données projet'!$A$166&gt;35,DO14+DN15-DW14,IF(A15&lt;'Données projet'!$A$166,$DL$205^A15,IF(A15='Données projet'!$A$166,'Données projet'!$B$166,DO14+DN15-DW14)))</f>
        <v>72.444464615930443</v>
      </c>
      <c r="DP15" s="17">
        <f>DO15*VLOOKUP('Données projet'!$B$14,Paramètres!$A$1:$I$89,3,0)*VLOOKUP('Données projet'!$B$14,Paramètres!$A$1:$I$89,5,0)</f>
        <v>31.869768873840115</v>
      </c>
      <c r="DQ15" s="13">
        <f t="shared" si="43"/>
        <v>9.8160705973639573</v>
      </c>
      <c r="DR15" s="20">
        <f t="shared" si="16"/>
        <v>72.602837079013767</v>
      </c>
      <c r="DS15" s="59">
        <f t="shared" si="17"/>
        <v>343.93617041234711</v>
      </c>
      <c r="DT15" s="59">
        <f ca="1">AVERAGE(OFFSET($DS$3,0,0,'Données projet'!$E$14+1,1))-AVERAGE(OFFSET($H$3,0,0,'Données projet'!$E$14+1,1))</f>
        <v>68.016800235358346</v>
      </c>
      <c r="DU15" s="59">
        <f t="shared" si="44"/>
        <v>311.30433899203405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439.06700232017681</v>
      </c>
      <c r="T16" s="59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310.82478200263</v>
      </c>
      <c r="AN16" s="59">
        <f ca="1">AVERAGE(OFFSET($AM$3,0,0,'Données projet'!$E$10+1,1))-AVERAGE(OFFSET($H$3,0,0,'Données projet'!$E$10+1,1))</f>
        <v>487.04124684635974</v>
      </c>
      <c r="AO16" s="59">
        <f t="shared" si="36"/>
        <v>306.61893266146666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7.1333333333333337</v>
      </c>
      <c r="BD16" s="12">
        <f>IF('Données projet'!$A$88&gt;35,BD15+BC16-BL15,IF(A16&lt;'Données projet'!$A$88,$BA$205^A16,IF(A16='Données projet'!$A$88,'Données projet'!$B$88,BD15+BC16-BL15)))</f>
        <v>57.385117337200782</v>
      </c>
      <c r="BE16" s="13">
        <f>BD16*VLOOKUP('Données projet'!$B$11,Paramètres!$A$1:$I$89,3,0)*VLOOKUP('Données projet'!$B$11,Paramètres!$A$1:$I$89,5,0)</f>
        <v>59.978924640842266</v>
      </c>
      <c r="BF16" s="13">
        <f t="shared" si="37"/>
        <v>17.162940391517502</v>
      </c>
      <c r="BG16" s="20">
        <f t="shared" si="7"/>
        <v>134.35541493135989</v>
      </c>
      <c r="BH16" s="59">
        <f t="shared" si="8"/>
        <v>406.9109704869154</v>
      </c>
      <c r="BI16" s="59">
        <f ca="1">AVERAGE(OFFSET($BH$3,0,0,'Données projet'!$E$11+1,1))-AVERAGE(OFFSET($H$3,0,0,'Données projet'!$E$11+1,1))</f>
        <v>356.31271939877655</v>
      </c>
      <c r="BJ16" s="59">
        <f t="shared" si="38"/>
        <v>499.70544707812991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101</v>
      </c>
      <c r="BW16" s="12">
        <f>VLOOKUP(A16,'Données projet'!$A$113:$I$133,9,0)</f>
        <v>7.7692307692307692</v>
      </c>
      <c r="BX16" s="12">
        <f t="array" ref="BX16">INDEX(BW:BW,MIN(IF(ISNUMBER(BW16:BW212),ROW(BW16:BW212),"")))</f>
        <v>7.7692307692307692</v>
      </c>
      <c r="BY16" s="12">
        <f>IF('Données projet'!$A$114&gt;35,BY15+BX16-CG15,IF(A16&lt;'Données projet'!$A$114,$BV$205^A16,IF(A16='Données projet'!$A$114,'Données projet'!$B$114,BY15+BX16-CG15)))</f>
        <v>101</v>
      </c>
      <c r="BZ16" s="13">
        <f>BY16*VLOOKUP('Données projet'!$B$12,Paramètres!$A$1:$I$89,3,0)*VLOOKUP('Données projet'!$B$12,Paramètres!$A$1:$I$89,5,0)</f>
        <v>60.398000000000003</v>
      </c>
      <c r="CA16" s="13">
        <f t="shared" si="39"/>
        <v>17.26885714728807</v>
      </c>
      <c r="CB16" s="20">
        <f t="shared" si="10"/>
        <v>135.26977619819337</v>
      </c>
      <c r="CC16" s="59">
        <f t="shared" si="11"/>
        <v>407.82533175374891</v>
      </c>
      <c r="CD16" s="59">
        <f ca="1">AVERAGE(OFFSET($CC$3,0,0,'Données projet'!$E$12+1,1))-AVERAGE(OFFSET($H$3,0,0,'Données projet'!$E$12+1,1))</f>
        <v>195.80903373714432</v>
      </c>
      <c r="CE16" s="59">
        <f t="shared" si="40"/>
        <v>388.30721786668977</v>
      </c>
      <c r="CF16" s="15">
        <f>IF(ISNA(VLOOKUP(A16,'Données projet'!$A$113:$I$133,3,0)),0,VLOOKUP(A16,'Données projet'!$A$113:$I$133,3,0))</f>
        <v>1</v>
      </c>
      <c r="CG16" s="15">
        <f>IF(ISNA(VLOOKUP(A16,'Données projet'!$A$113:$I$133,4,0)),0,VLOOKUP(A16,'Données projet'!$A$113:$I$133,4,0))</f>
        <v>28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1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18.958097589783147</v>
      </c>
      <c r="CN16" s="22">
        <f t="shared" si="12"/>
        <v>18.958097589783147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18.875</v>
      </c>
      <c r="CT16" s="12">
        <f>IF('Données projet'!$A$140&gt;35,CT15+CS16-DB15,IF(A16&lt;'Données projet'!$A$140,$CQ$205^A16,IF(A16='Données projet'!$A$140,'Données projet'!$B$140,CT15+CS16-DB15)))</f>
        <v>103.51556124705778</v>
      </c>
      <c r="CU16" s="17">
        <f>CT16*VLOOKUP('Données projet'!$B$13,Paramètres!$A$1:$I$89,3,0)*VLOOKUP('Données projet'!$B$13,Paramètres!$A$1:$I$89,5,0)</f>
        <v>49.252704041350093</v>
      </c>
      <c r="CV16" s="13">
        <f t="shared" si="41"/>
        <v>14.420598407236479</v>
      </c>
      <c r="CW16" s="20">
        <f t="shared" si="13"/>
        <v>110.89766843128827</v>
      </c>
      <c r="CX16" s="59">
        <f t="shared" si="14"/>
        <v>383.4532239868438</v>
      </c>
      <c r="CY16" s="59">
        <f ca="1">AVERAGE(OFFSET($CX$3,0,0,'Données projet'!$E$13+1,1))-AVERAGE(OFFSET($H$3,0,0,'Données projet'!$E$13+1,1))</f>
        <v>72.638639486636521</v>
      </c>
      <c r="CZ16" s="59">
        <f t="shared" si="42"/>
        <v>334.50638815329404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18.875</v>
      </c>
      <c r="DO16" s="12">
        <f>IF('Données projet'!$A$166&gt;35,DO15+DN16-DW15,IF(A16&lt;'Données projet'!$A$166,$DL$205^A16,IF(A16='Données projet'!$A$166,'Données projet'!$B$166,DO15+DN16-DW15)))</f>
        <v>103.51556124705778</v>
      </c>
      <c r="DP16" s="17">
        <f>DO16*VLOOKUP('Données projet'!$B$14,Paramètres!$A$1:$I$89,3,0)*VLOOKUP('Données projet'!$B$14,Paramètres!$A$1:$I$89,5,0)</f>
        <v>45.538565703805659</v>
      </c>
      <c r="DQ16" s="13">
        <f t="shared" si="43"/>
        <v>13.45538276398551</v>
      </c>
      <c r="DR16" s="20">
        <f t="shared" si="16"/>
        <v>102.74779358140296</v>
      </c>
      <c r="DS16" s="59">
        <f t="shared" si="17"/>
        <v>375.3033491369585</v>
      </c>
      <c r="DT16" s="59">
        <f ca="1">AVERAGE(OFFSET($DS$3,0,0,'Données projet'!$E$14+1,1))-AVERAGE(OFFSET($H$3,0,0,'Données projet'!$E$14+1,1))</f>
        <v>68.016800235358346</v>
      </c>
      <c r="DU16" s="59">
        <f t="shared" si="44"/>
        <v>311.30433899203405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439.06700232017681</v>
      </c>
      <c r="T17" s="59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320.91181739683748</v>
      </c>
      <c r="AN17" s="59">
        <f ca="1">AVERAGE(OFFSET($AM$3,0,0,'Données projet'!$E$10+1,1))-AVERAGE(OFFSET($H$3,0,0,'Données projet'!$E$10+1,1))</f>
        <v>487.04124684635974</v>
      </c>
      <c r="AO17" s="59">
        <f t="shared" si="36"/>
        <v>306.61893266146666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7.1333333333333337</v>
      </c>
      <c r="BD17" s="12">
        <f>IF('Données projet'!$A$88&gt;35,BD16+BC17-BL16,IF(A17&lt;'Données projet'!$A$88,$BA$205^A17,IF(A17='Données projet'!$A$88,'Données projet'!$B$88,BD16+BC17-BL16)))</f>
        <v>78.35947648549265</v>
      </c>
      <c r="BE17" s="13">
        <f>BD17*VLOOKUP('Données projet'!$B$11,Paramètres!$A$1:$I$89,3,0)*VLOOKUP('Données projet'!$B$11,Paramètres!$A$1:$I$89,5,0)</f>
        <v>81.901324822636923</v>
      </c>
      <c r="BF17" s="13">
        <f t="shared" si="37"/>
        <v>22.601430515247294</v>
      </c>
      <c r="BG17" s="20">
        <f t="shared" si="7"/>
        <v>182.00896554681501</v>
      </c>
      <c r="BH17" s="59">
        <f t="shared" si="8"/>
        <v>455.78674332459275</v>
      </c>
      <c r="BI17" s="59">
        <f ca="1">AVERAGE(OFFSET($BH$3,0,0,'Données projet'!$E$11+1,1))-AVERAGE(OFFSET($H$3,0,0,'Données projet'!$E$11+1,1))</f>
        <v>356.31271939877655</v>
      </c>
      <c r="BJ17" s="59">
        <f t="shared" si="38"/>
        <v>499.70544707812991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18.600000000000001</v>
      </c>
      <c r="BY17" s="12">
        <f>IF('Données projet'!$A$114&gt;35,BY16+BX17-CG16,IF(A17&lt;'Données projet'!$A$114,$BV$205^A17,IF(A17='Données projet'!$A$114,'Données projet'!$B$114,BY16+BX17-CG16)))</f>
        <v>91.6</v>
      </c>
      <c r="BZ17" s="13">
        <f>BY17*VLOOKUP('Données projet'!$B$12,Paramètres!$A$1:$I$89,3,0)*VLOOKUP('Données projet'!$B$12,Paramètres!$A$1:$I$89,5,0)</f>
        <v>54.776799999999994</v>
      </c>
      <c r="CA17" s="13">
        <f t="shared" si="39"/>
        <v>15.840762095818524</v>
      </c>
      <c r="CB17" s="20">
        <f t="shared" si="10"/>
        <v>122.99225398355058</v>
      </c>
      <c r="CC17" s="59">
        <f t="shared" si="11"/>
        <v>396.77003176132837</v>
      </c>
      <c r="CD17" s="59">
        <f ca="1">AVERAGE(OFFSET($CC$3,0,0,'Données projet'!$E$12+1,1))-AVERAGE(OFFSET($H$3,0,0,'Données projet'!$E$12+1,1))</f>
        <v>195.80903373714432</v>
      </c>
      <c r="CE17" s="59">
        <f t="shared" si="40"/>
        <v>388.30721786668977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13.405399364132007</v>
      </c>
      <c r="CN17" s="22">
        <f t="shared" si="12"/>
        <v>13.405399364132007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18.875</v>
      </c>
      <c r="CT17" s="12">
        <f>IF('Données projet'!$A$140&gt;35,CT16+CS17-DB16,IF(A17&lt;'Données projet'!$A$140,$CQ$205^A17,IF(A17='Données projet'!$A$140,'Données projet'!$B$140,CT16+CS17-DB16)))</f>
        <v>147.91290786814722</v>
      </c>
      <c r="CU17" s="17">
        <f>CT17*VLOOKUP('Données projet'!$B$13,Paramètres!$A$1:$I$89,3,0)*VLOOKUP('Données projet'!$B$13,Paramètres!$A$1:$I$89,5,0)</f>
        <v>70.376961563664452</v>
      </c>
      <c r="CV17" s="13">
        <f t="shared" si="41"/>
        <v>19.767041132242184</v>
      </c>
      <c r="CW17" s="20">
        <f t="shared" si="13"/>
        <v>157.0008046953707</v>
      </c>
      <c r="CX17" s="59">
        <f t="shared" si="14"/>
        <v>430.7785824731485</v>
      </c>
      <c r="CY17" s="59">
        <f ca="1">AVERAGE(OFFSET($CX$3,0,0,'Données projet'!$E$13+1,1))-AVERAGE(OFFSET($H$3,0,0,'Données projet'!$E$13+1,1))</f>
        <v>72.638639486636521</v>
      </c>
      <c r="CZ17" s="59">
        <f t="shared" si="42"/>
        <v>334.50638815329404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18.875</v>
      </c>
      <c r="DO17" s="12">
        <f>IF('Données projet'!$A$166&gt;35,DO16+DN17-DW16,IF(A17&lt;'Données projet'!$A$166,$DL$205^A17,IF(A17='Données projet'!$A$166,'Données projet'!$B$166,DO16+DN17-DW16)))</f>
        <v>147.91290786814722</v>
      </c>
      <c r="DP17" s="17">
        <f>DO17*VLOOKUP('Données projet'!$B$14,Paramètres!$A$1:$I$89,3,0)*VLOOKUP('Données projet'!$B$14,Paramètres!$A$1:$I$89,5,0)</f>
        <v>65.069846429355323</v>
      </c>
      <c r="DQ17" s="13">
        <f t="shared" si="43"/>
        <v>18.443971396658188</v>
      </c>
      <c r="DR17" s="20">
        <f t="shared" si="16"/>
        <v>145.45323271364018</v>
      </c>
      <c r="DS17" s="59">
        <f t="shared" si="17"/>
        <v>419.23101049141792</v>
      </c>
      <c r="DT17" s="59">
        <f ca="1">AVERAGE(OFFSET($DS$3,0,0,'Données projet'!$E$14+1,1))-AVERAGE(OFFSET($H$3,0,0,'Données projet'!$E$14+1,1))</f>
        <v>68.016800235358346</v>
      </c>
      <c r="DU17" s="59">
        <f t="shared" si="44"/>
        <v>311.30433899203405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439.06700232017681</v>
      </c>
      <c r="T18" s="59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333.0590225021204</v>
      </c>
      <c r="AN18" s="59">
        <f ca="1">AVERAGE(OFFSET($AM$3,0,0,'Données projet'!$E$10+1,1))-AVERAGE(OFFSET($H$3,0,0,'Données projet'!$E$10+1,1))</f>
        <v>487.04124684635974</v>
      </c>
      <c r="AO18" s="59">
        <f t="shared" si="36"/>
        <v>306.61893266146666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107</v>
      </c>
      <c r="BB18" s="12">
        <f>VLOOKUP(A18,'Données projet'!$A$87:$I$107,9,0)</f>
        <v>7.1333333333333337</v>
      </c>
      <c r="BC18" s="12">
        <f t="array" ref="BC18">INDEX(BB:BB,MIN(IF(ISNUMBER(BB18:BB214),ROW(BB18:BB214),"")))</f>
        <v>7.1333333333333337</v>
      </c>
      <c r="BD18" s="12">
        <f>IF('Données projet'!$A$88&gt;35,BD17+BC18-BL17,IF(A18&lt;'Données projet'!$A$88,$BA$205^A18,IF(A18='Données projet'!$A$88,'Données projet'!$B$88,BD17+BC18-BL17)))</f>
        <v>107</v>
      </c>
      <c r="BE18" s="13">
        <f>BD18*VLOOKUP('Données projet'!$B$11,Paramètres!$A$1:$I$89,3,0)*VLOOKUP('Données projet'!$B$11,Paramètres!$A$1:$I$89,5,0)</f>
        <v>111.8364</v>
      </c>
      <c r="BF18" s="13">
        <f t="shared" si="37"/>
        <v>29.763236932758819</v>
      </c>
      <c r="BG18" s="20">
        <f t="shared" si="7"/>
        <v>246.61936765788826</v>
      </c>
      <c r="BH18" s="59">
        <f t="shared" si="8"/>
        <v>521.61936765788823</v>
      </c>
      <c r="BI18" s="59">
        <f ca="1">AVERAGE(OFFSET($BH$3,0,0,'Données projet'!$E$11+1,1))-AVERAGE(OFFSET($H$3,0,0,'Données projet'!$E$11+1,1))</f>
        <v>356.31271939877655</v>
      </c>
      <c r="BJ18" s="59">
        <f t="shared" si="38"/>
        <v>499.70544707812991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18.600000000000001</v>
      </c>
      <c r="BY18" s="12">
        <f>IF('Données projet'!$A$114&gt;35,BY17+BX18-CG17,IF(A18&lt;'Données projet'!$A$114,$BV$205^A18,IF(A18='Données projet'!$A$114,'Données projet'!$B$114,BY17+BX18-CG17)))</f>
        <v>110.19999999999999</v>
      </c>
      <c r="BZ18" s="13">
        <f>BY18*VLOOKUP('Données projet'!$B$12,Paramètres!$A$1:$I$89,3,0)*VLOOKUP('Données projet'!$B$12,Paramètres!$A$1:$I$89,5,0)</f>
        <v>65.899600000000007</v>
      </c>
      <c r="CA18" s="13">
        <f t="shared" si="39"/>
        <v>18.651634138580526</v>
      </c>
      <c r="CB18" s="20">
        <f t="shared" si="10"/>
        <v>147.26006612469442</v>
      </c>
      <c r="CC18" s="59">
        <f t="shared" si="11"/>
        <v>422.26006612469439</v>
      </c>
      <c r="CD18" s="59">
        <f ca="1">AVERAGE(OFFSET($CC$3,0,0,'Données projet'!$E$12+1,1))-AVERAGE(OFFSET($H$3,0,0,'Données projet'!$E$12+1,1))</f>
        <v>195.80903373714432</v>
      </c>
      <c r="CE18" s="59">
        <f t="shared" si="40"/>
        <v>388.30721786668977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9.4790487948915754</v>
      </c>
      <c r="CN18" s="22">
        <f t="shared" si="12"/>
        <v>9.4790487948915754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18.875</v>
      </c>
      <c r="CT18" s="12">
        <f>IF('Données projet'!$A$140&gt;35,CT17+CS18-DB17,IF(A18&lt;'Données projet'!$A$140,$CQ$205^A18,IF(A18='Données projet'!$A$140,'Données projet'!$B$140,CT17+CS18-DB17)))</f>
        <v>211.3520716155403</v>
      </c>
      <c r="CU18" s="17">
        <f>CT18*VLOOKUP('Données projet'!$B$13,Paramètres!$A$1:$I$89,3,0)*VLOOKUP('Données projet'!$B$13,Paramètres!$A$1:$I$89,5,0)</f>
        <v>100.56131567467408</v>
      </c>
      <c r="CV18" s="13">
        <f t="shared" si="41"/>
        <v>27.095679672188737</v>
      </c>
      <c r="CW18" s="20">
        <f t="shared" si="13"/>
        <v>222.33593356245274</v>
      </c>
      <c r="CX18" s="59">
        <f t="shared" si="14"/>
        <v>497.33593356245274</v>
      </c>
      <c r="CY18" s="59">
        <f ca="1">AVERAGE(OFFSET($CX$3,0,0,'Données projet'!$E$13+1,1))-AVERAGE(OFFSET($H$3,0,0,'Données projet'!$E$13+1,1))</f>
        <v>72.638639486636521</v>
      </c>
      <c r="CZ18" s="59">
        <f t="shared" si="42"/>
        <v>334.50638815329404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18.875</v>
      </c>
      <c r="DO18" s="12">
        <f>IF('Données projet'!$A$166&gt;35,DO17+DN18-DW17,IF(A18&lt;'Données projet'!$A$166,$DL$205^A18,IF(A18='Données projet'!$A$166,'Données projet'!$B$166,DO17+DN18-DW17)))</f>
        <v>211.3520716155403</v>
      </c>
      <c r="DP18" s="17">
        <f>DO18*VLOOKUP('Données projet'!$B$14,Paramètres!$A$1:$I$89,3,0)*VLOOKUP('Données projet'!$B$14,Paramètres!$A$1:$I$89,5,0)</f>
        <v>92.978003345108476</v>
      </c>
      <c r="DQ18" s="13">
        <f t="shared" si="43"/>
        <v>25.282081293983438</v>
      </c>
      <c r="DR18" s="20">
        <f t="shared" si="16"/>
        <v>205.96964741308508</v>
      </c>
      <c r="DS18" s="59">
        <f t="shared" si="17"/>
        <v>480.96964741308511</v>
      </c>
      <c r="DT18" s="59">
        <f ca="1">AVERAGE(OFFSET($DS$3,0,0,'Données projet'!$E$14+1,1))-AVERAGE(OFFSET($H$3,0,0,'Données projet'!$E$14+1,1))</f>
        <v>68.016800235358346</v>
      </c>
      <c r="DU18" s="59">
        <f t="shared" si="44"/>
        <v>311.30433899203405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439.06700232017681</v>
      </c>
      <c r="T19" s="59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347.74662094621232</v>
      </c>
      <c r="AN19" s="59">
        <f ca="1">AVERAGE(OFFSET($AM$3,0,0,'Données projet'!$E$10+1,1))-AVERAGE(OFFSET($H$3,0,0,'Données projet'!$E$10+1,1))</f>
        <v>487.04124684635974</v>
      </c>
      <c r="AO19" s="59">
        <f t="shared" si="36"/>
        <v>306.61893266146666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16.2</v>
      </c>
      <c r="BD19" s="12">
        <f>IF('Données projet'!$A$88&gt;35,BD18+BC19-BL18,IF(A19&lt;'Données projet'!$A$88,$BA$205^A19,IF(A19='Données projet'!$A$88,'Données projet'!$B$88,BD18+BC19-BL18)))</f>
        <v>89.2</v>
      </c>
      <c r="BE19" s="13">
        <f>BD19*VLOOKUP('Données projet'!$B$11,Paramètres!$A$1:$I$89,3,0)*VLOOKUP('Données projet'!$B$11,Paramètres!$A$1:$I$89,5,0)</f>
        <v>93.231840000000005</v>
      </c>
      <c r="BF19" s="13">
        <f t="shared" si="37"/>
        <v>25.343059369004401</v>
      </c>
      <c r="BG19" s="20">
        <f t="shared" si="7"/>
        <v>206.51794973434934</v>
      </c>
      <c r="BH19" s="59">
        <f t="shared" si="8"/>
        <v>482.74017195657154</v>
      </c>
      <c r="BI19" s="59">
        <f ca="1">AVERAGE(OFFSET($BH$3,0,0,'Données projet'!$E$11+1,1))-AVERAGE(OFFSET($H$3,0,0,'Données projet'!$E$11+1,1))</f>
        <v>356.31271939877655</v>
      </c>
      <c r="BJ19" s="59">
        <f t="shared" si="38"/>
        <v>499.70544707812991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18.600000000000001</v>
      </c>
      <c r="BY19" s="12">
        <f>IF('Données projet'!$A$114&gt;35,BY18+BX19-CG18,IF(A19&lt;'Données projet'!$A$114,$BV$205^A19,IF(A19='Données projet'!$A$114,'Données projet'!$B$114,BY18+BX19-CG18)))</f>
        <v>128.79999999999998</v>
      </c>
      <c r="BZ19" s="13">
        <f>BY19*VLOOKUP('Données projet'!$B$12,Paramètres!$A$1:$I$89,3,0)*VLOOKUP('Données projet'!$B$12,Paramètres!$A$1:$I$89,5,0)</f>
        <v>77.022400000000005</v>
      </c>
      <c r="CA19" s="13">
        <f t="shared" si="39"/>
        <v>21.407546084466958</v>
      </c>
      <c r="CB19" s="20">
        <f t="shared" si="10"/>
        <v>171.43215609711328</v>
      </c>
      <c r="CC19" s="59">
        <f t="shared" si="11"/>
        <v>447.65437831933548</v>
      </c>
      <c r="CD19" s="59">
        <f ca="1">AVERAGE(OFFSET($CC$3,0,0,'Données projet'!$E$12+1,1))-AVERAGE(OFFSET($H$3,0,0,'Données projet'!$E$12+1,1))</f>
        <v>195.80903373714432</v>
      </c>
      <c r="CE19" s="59">
        <f t="shared" si="40"/>
        <v>388.30721786668977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6.7026996820660045</v>
      </c>
      <c r="CN19" s="22">
        <f t="shared" si="12"/>
        <v>6.7026996820660045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>
        <f>VLOOKUP(A19,'Données projet'!$A$139:$I$159,2,0)</f>
        <v>302</v>
      </c>
      <c r="CR19" s="12">
        <f>VLOOKUP(A19,'Données projet'!$A$139:$I$159,9,0)</f>
        <v>18.875</v>
      </c>
      <c r="CS19" s="12">
        <f t="array" ref="CS19">INDEX(CR:CR,MIN(IF(ISNUMBER(CR19:CR215),ROW(CR19:CR215),"")))</f>
        <v>18.875</v>
      </c>
      <c r="CT19" s="12">
        <f>IF('Données projet'!$A$140&gt;35,CT18+CS19-DB18,IF(A19&lt;'Données projet'!$A$140,$CQ$205^A19,IF(A19='Données projet'!$A$140,'Données projet'!$B$140,CT18+CS19-DB18)))</f>
        <v>302</v>
      </c>
      <c r="CU19" s="17">
        <f>CT19*VLOOKUP('Données projet'!$B$13,Paramètres!$A$1:$I$89,3,0)*VLOOKUP('Données projet'!$B$13,Paramètres!$A$1:$I$89,5,0)</f>
        <v>143.69159999999999</v>
      </c>
      <c r="CV19" s="13">
        <f t="shared" si="41"/>
        <v>37.14141393171591</v>
      </c>
      <c r="CW19" s="20">
        <f t="shared" si="13"/>
        <v>314.9508325977385</v>
      </c>
      <c r="CX19" s="59">
        <f t="shared" si="14"/>
        <v>591.17305481996073</v>
      </c>
      <c r="CY19" s="59">
        <f ca="1">AVERAGE(OFFSET($CX$3,0,0,'Données projet'!$E$13+1,1))-AVERAGE(OFFSET($H$3,0,0,'Données projet'!$E$13+1,1))</f>
        <v>72.638639486636521</v>
      </c>
      <c r="CZ19" s="59">
        <f t="shared" si="42"/>
        <v>334.50638815329404</v>
      </c>
      <c r="DA19" s="15">
        <f>IF(ISNA(VLOOKUP(A19,'Données projet'!$A$139:$I$159,3,0)),0,VLOOKUP(A19,'Données projet'!$A$139:$I$159,3,0))</f>
        <v>1</v>
      </c>
      <c r="DB19" s="15">
        <f>IF(ISNA(VLOOKUP(A19,'Données projet'!$A$139:$I$159,4,0)),0,VLOOKUP(A19,'Données projet'!$A$139:$I$159,4,0))</f>
        <v>302</v>
      </c>
      <c r="DC19" s="16">
        <f>IF(ISNA(VLOOKUP(A19,'Données projet'!$A$139:$I$159,5,0)),0%,VLOOKUP(A19,'Données projet'!$A$139:$I$159,5,0)*VLOOKUP('Données projet'!$B$13,Paramètres!$A$1:$I$89,7,0))</f>
        <v>0.3</v>
      </c>
      <c r="DD19" s="16">
        <f>IF(ISNA(VLOOKUP(A19,'Données projet'!$A$139:$I$159,6,0)),0%,VLOOKUP(A19,'Données projet'!$A$139:$I$159,6,0)*VLOOKUP('Données projet'!$B$13,Paramètres!$A$1:$I$89,7,0))</f>
        <v>0.3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47.654042276309049</v>
      </c>
      <c r="DG19" s="21">
        <f>EXP(-LN(2)/25)*DG18+(1-EXP(-LN(2)/25))/(LN(2)/25)*Calculateur!DB19*Calculateur!DD19*VLOOKUP('Données projet'!$B$13,Paramètres!$A$1:$I$89,3,0)*0.475*44/12</f>
        <v>47.466410154253587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95.120452430562636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>
        <f>VLOOKUP(A19,'Données projet'!$A$165:$I$185,2,0)</f>
        <v>302</v>
      </c>
      <c r="DM19" s="12">
        <f>VLOOKUP(A19,'Données projet'!$A$165:$I$185,9,0)</f>
        <v>18.875</v>
      </c>
      <c r="DN19" s="12">
        <f t="array" ref="DN19">INDEX(DM:DM,MIN(IF(ISNUMBER(DM19:DM215),ROW(DM19:DM215),"")))</f>
        <v>18.875</v>
      </c>
      <c r="DO19" s="12">
        <f>IF('Données projet'!$A$166&gt;35,DO18+DN19-DW18,IF(A19&lt;'Données projet'!$A$166,$DL$205^A19,IF(A19='Données projet'!$A$166,'Données projet'!$B$166,DO18+DN19-DW18)))</f>
        <v>302</v>
      </c>
      <c r="DP19" s="17">
        <f>DO19*VLOOKUP('Données projet'!$B$14,Paramètres!$A$1:$I$89,3,0)*VLOOKUP('Données projet'!$B$14,Paramètres!$A$1:$I$89,5,0)</f>
        <v>132.85583999999997</v>
      </c>
      <c r="DQ19" s="13">
        <f t="shared" si="43"/>
        <v>34.655423217116876</v>
      </c>
      <c r="DR19" s="20">
        <f t="shared" si="16"/>
        <v>291.7487834364785</v>
      </c>
      <c r="DS19" s="59">
        <f t="shared" si="17"/>
        <v>567.97100565870073</v>
      </c>
      <c r="DT19" s="59">
        <f ca="1">AVERAGE(OFFSET($DS$3,0,0,'Données projet'!$E$14+1,1))-AVERAGE(OFFSET($H$3,0,0,'Données projet'!$E$14+1,1))</f>
        <v>68.016800235358346</v>
      </c>
      <c r="DU19" s="59">
        <f t="shared" si="44"/>
        <v>311.30433899203405</v>
      </c>
      <c r="DV19" s="15">
        <f>IF(ISNA(VLOOKUP(A19,'Données projet'!$A$165:$I$185,3,0)),0,VLOOKUP(A19,'Données projet'!$A$165:$I$185,3,0))</f>
        <v>1</v>
      </c>
      <c r="DW19" s="15">
        <f>IF(ISNA(VLOOKUP(A19,'Données projet'!$A$165:$I$185,4,0)),0,VLOOKUP(A19,'Données projet'!$A$165:$I$185,4,0))</f>
        <v>302</v>
      </c>
      <c r="DX19" s="16">
        <f>IF(ISNA(VLOOKUP(A19,'Données projet'!$A$165:$I$185,5,0)),0%,VLOOKUP(A19,'Données projet'!$A$165:$I$185,5,0)*VLOOKUP('Données projet'!$B$14,Paramètres!$A$1:$I$89,7,0))</f>
        <v>0.3</v>
      </c>
      <c r="DY19" s="16">
        <f>IF(ISNA(VLOOKUP(A19,'Données projet'!$A$165:$I$185,6,0)),0%,VLOOKUP(A19,'Données projet'!$A$165:$I$185,6,0)*VLOOKUP('Données projet'!$B$14,Paramètres!$A$1:$I$89,7,0))</f>
        <v>0.3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44.060458760390667</v>
      </c>
      <c r="EB19" s="21">
        <f>EXP(-LN(2)/25)*EB18+(1-EXP(-LN(2)/25))/(LN(2)/25)*Calculateur!DW19*Calculateur!DY19*VLOOKUP('Données projet'!$B$14,Paramètres!$A$1:$I$89,3,0)*0.475*44/12</f>
        <v>43.886975945900041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87.947434706290707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439.06700232017681</v>
      </c>
      <c r="T20" s="59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365.56708614435468</v>
      </c>
      <c r="AN20" s="59">
        <f ca="1">AVERAGE(OFFSET($AM$3,0,0,'Données projet'!$E$10+1,1))-AVERAGE(OFFSET($H$3,0,0,'Données projet'!$E$10+1,1))</f>
        <v>487.04124684635974</v>
      </c>
      <c r="AO20" s="59">
        <f t="shared" si="36"/>
        <v>306.61893266146666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16.2</v>
      </c>
      <c r="BD20" s="12">
        <f>IF('Données projet'!$A$88&gt;35,BD19+BC20-BL19,IF(A20&lt;'Données projet'!$A$88,$BA$205^A20,IF(A20='Données projet'!$A$88,'Données projet'!$B$88,BD19+BC20-BL19)))</f>
        <v>105.4</v>
      </c>
      <c r="BE20" s="13">
        <f>BD20*VLOOKUP('Données projet'!$B$11,Paramètres!$A$1:$I$89,3,0)*VLOOKUP('Données projet'!$B$11,Paramètres!$A$1:$I$89,5,0)</f>
        <v>110.16408000000001</v>
      </c>
      <c r="BF20" s="13">
        <f t="shared" si="37"/>
        <v>29.369639746125298</v>
      </c>
      <c r="BG20" s="20">
        <f t="shared" si="7"/>
        <v>243.02122855783492</v>
      </c>
      <c r="BH20" s="59">
        <f t="shared" si="8"/>
        <v>520.46567300227935</v>
      </c>
      <c r="BI20" s="59">
        <f ca="1">AVERAGE(OFFSET($BH$3,0,0,'Données projet'!$E$11+1,1))-AVERAGE(OFFSET($H$3,0,0,'Données projet'!$E$11+1,1))</f>
        <v>356.31271939877655</v>
      </c>
      <c r="BJ20" s="59">
        <f t="shared" si="38"/>
        <v>499.70544707812991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18.600000000000001</v>
      </c>
      <c r="BY20" s="12">
        <f>IF('Données projet'!$A$114&gt;35,BY19+BX20-CG19,IF(A20&lt;'Données projet'!$A$114,$BV$205^A20,IF(A20='Données projet'!$A$114,'Données projet'!$B$114,BY19+BX20-CG19)))</f>
        <v>147.39999999999998</v>
      </c>
      <c r="BZ20" s="13">
        <f>BY20*VLOOKUP('Données projet'!$B$12,Paramètres!$A$1:$I$89,3,0)*VLOOKUP('Données projet'!$B$12,Paramètres!$A$1:$I$89,5,0)</f>
        <v>88.145199999999988</v>
      </c>
      <c r="CA20" s="13">
        <f t="shared" si="39"/>
        <v>24.117351189004136</v>
      </c>
      <c r="CB20" s="20">
        <f t="shared" si="10"/>
        <v>195.52394332084884</v>
      </c>
      <c r="CC20" s="59">
        <f t="shared" si="11"/>
        <v>472.9683877652933</v>
      </c>
      <c r="CD20" s="59">
        <f ca="1">AVERAGE(OFFSET($CC$3,0,0,'Données projet'!$E$12+1,1))-AVERAGE(OFFSET($H$3,0,0,'Données projet'!$E$12+1,1))</f>
        <v>195.80903373714432</v>
      </c>
      <c r="CE20" s="59">
        <f t="shared" si="40"/>
        <v>388.30721786668977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4.7395243974457886</v>
      </c>
      <c r="CN20" s="22">
        <f t="shared" si="12"/>
        <v>4.7395243974457886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72.638639486636521</v>
      </c>
      <c r="CZ20" s="59">
        <f t="shared" si="42"/>
        <v>334.50638815329404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46.719575573366377</v>
      </c>
      <c r="DG20" s="21">
        <f>EXP(-LN(2)/25)*DG19+(1-EXP(-LN(2)/25))/(LN(2)/25)*Calculateur!DB20*Calculateur!DD20*VLOOKUP('Données projet'!$B$13,Paramètres!$A$1:$I$89,3,0)*0.475*44/12</f>
        <v>46.168438672435499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92.888014245801884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68.016800235358346</v>
      </c>
      <c r="DU20" s="59">
        <f t="shared" si="44"/>
        <v>311.30433899203405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43.19646003832564</v>
      </c>
      <c r="EB20" s="21">
        <f>EXP(-LN(2)/25)*EB19+(1-EXP(-LN(2)/25))/(LN(2)/25)*Calculateur!DW20*Calculateur!DY20*VLOOKUP('Données projet'!$B$14,Paramètres!$A$1:$I$89,3,0)*0.475*44/12</f>
        <v>42.686884280743641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85.88334431906928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439.06700232017681</v>
      </c>
      <c r="T21" s="59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387.25144554241666</v>
      </c>
      <c r="AN21" s="59">
        <f ca="1">AVERAGE(OFFSET($AM$3,0,0,'Données projet'!$E$10+1,1))-AVERAGE(OFFSET($H$3,0,0,'Données projet'!$E$10+1,1))</f>
        <v>487.04124684635974</v>
      </c>
      <c r="AO21" s="59">
        <f t="shared" si="36"/>
        <v>306.61893266146666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16.2</v>
      </c>
      <c r="BD21" s="12">
        <f>IF('Données projet'!$A$88&gt;35,BD20+BC21-BL20,IF(A21&lt;'Données projet'!$A$88,$BA$205^A21,IF(A21='Données projet'!$A$88,'Données projet'!$B$88,BD20+BC21-BL20)))</f>
        <v>121.60000000000001</v>
      </c>
      <c r="BE21" s="13">
        <f>BD21*VLOOKUP('Données projet'!$B$11,Paramètres!$A$1:$I$89,3,0)*VLOOKUP('Données projet'!$B$11,Paramètres!$A$1:$I$89,5,0)</f>
        <v>127.09632000000002</v>
      </c>
      <c r="BF21" s="13">
        <f t="shared" si="37"/>
        <v>33.324524590112638</v>
      </c>
      <c r="BG21" s="20">
        <f t="shared" si="7"/>
        <v>279.39963766111288</v>
      </c>
      <c r="BH21" s="59">
        <f t="shared" si="8"/>
        <v>558.06630432777956</v>
      </c>
      <c r="BI21" s="59">
        <f ca="1">AVERAGE(OFFSET($BH$3,0,0,'Données projet'!$E$11+1,1))-AVERAGE(OFFSET($H$3,0,0,'Données projet'!$E$11+1,1))</f>
        <v>356.31271939877655</v>
      </c>
      <c r="BJ21" s="59">
        <f t="shared" si="38"/>
        <v>499.70544707812991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166</v>
      </c>
      <c r="BW21" s="12">
        <f>VLOOKUP(A21,'Données projet'!$A$113:$I$133,9,0)</f>
        <v>18.600000000000001</v>
      </c>
      <c r="BX21" s="12">
        <f t="array" ref="BX21">INDEX(BW:BW,MIN(IF(ISNUMBER(BW21:BW217),ROW(BW21:BW217),"")))</f>
        <v>18.600000000000001</v>
      </c>
      <c r="BY21" s="12">
        <f>IF('Données projet'!$A$114&gt;35,BY20+BX21-CG20,IF(A21&lt;'Données projet'!$A$114,$BV$205^A21,IF(A21='Données projet'!$A$114,'Données projet'!$B$114,BY20+BX21-CG20)))</f>
        <v>165.99999999999997</v>
      </c>
      <c r="BZ21" s="13">
        <f>BY21*VLOOKUP('Données projet'!$B$12,Paramètres!$A$1:$I$89,3,0)*VLOOKUP('Données projet'!$B$12,Paramètres!$A$1:$I$89,5,0)</f>
        <v>99.267999999999986</v>
      </c>
      <c r="CA21" s="13">
        <f t="shared" si="39"/>
        <v>26.78753414535981</v>
      </c>
      <c r="CB21" s="20">
        <f t="shared" si="10"/>
        <v>219.54672196983498</v>
      </c>
      <c r="CC21" s="59">
        <f t="shared" si="11"/>
        <v>498.21338863650169</v>
      </c>
      <c r="CD21" s="59">
        <f ca="1">AVERAGE(OFFSET($CC$3,0,0,'Données projet'!$E$12+1,1))-AVERAGE(OFFSET($H$3,0,0,'Données projet'!$E$12+1,1))</f>
        <v>195.80903373714432</v>
      </c>
      <c r="CE21" s="59">
        <f t="shared" si="40"/>
        <v>388.30721786668977</v>
      </c>
      <c r="CF21" s="15">
        <f>IF(ISNA(VLOOKUP(A21,'Données projet'!$A$113:$I$133,3,0)),0,VLOOKUP(A21,'Données projet'!$A$113:$I$133,3,0))</f>
        <v>2</v>
      </c>
      <c r="CG21" s="15">
        <f>IF(ISNA(VLOOKUP(A21,'Données projet'!$A$113:$I$133,4,0)),0,VLOOKUP(A21,'Données projet'!$A$113:$I$133,4,0))</f>
        <v>40</v>
      </c>
      <c r="CH21" s="16">
        <f>IF(ISNA(VLOOKUP(A21,'Données projet'!$A$113:$I$133,5,0)),0%,VLOOKUP(A21,'Données projet'!$A$113:$I$133,5,0)*VLOOKUP('Données projet'!$B$12,Paramètres!$A$1:$I$89,7,0))</f>
        <v>9.0000000000000011E-2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0.8</v>
      </c>
      <c r="CK21" s="21">
        <f>EXP(-LN(2)/35)*CK20+(1-EXP(-LN(2)/35))/(LN(2)/35)*CG21*CH21*VLOOKUP('Données projet'!$B$12,Paramètres!$A$1:$I$89,3,0)*0.475*44/12</f>
        <v>2.8558279596702421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25.017747086499455</v>
      </c>
      <c r="CN21" s="22">
        <f t="shared" si="12"/>
        <v>27.873575046169698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72.638639486636521</v>
      </c>
      <c r="CZ21" s="59">
        <f t="shared" si="42"/>
        <v>334.50638815329404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45.803433192500002</v>
      </c>
      <c r="DG21" s="21">
        <f>EXP(-LN(2)/25)*DG20+(1-EXP(-LN(2)/25))/(LN(2)/25)*Calculateur!DB21*Calculateur!DD21*VLOOKUP('Données projet'!$B$13,Paramètres!$A$1:$I$89,3,0)*0.475*44/12</f>
        <v>44.905960289045083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90.709393481545078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68.016800235358346</v>
      </c>
      <c r="DU21" s="59">
        <f t="shared" si="44"/>
        <v>311.30433899203405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42.349403804213125</v>
      </c>
      <c r="EB21" s="21">
        <f>EXP(-LN(2)/25)*EB20+(1-EXP(-LN(2)/25))/(LN(2)/25)*Calculateur!DW21*Calculateur!DY21*VLOOKUP('Données projet'!$B$14,Paramètres!$A$1:$I$89,3,0)*0.475*44/12</f>
        <v>41.519609185281027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83.869012989494152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439.06700232017681</v>
      </c>
      <c r="T22" s="59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413.70176310276202</v>
      </c>
      <c r="AN22" s="59">
        <f ca="1">AVERAGE(OFFSET($AM$3,0,0,'Données projet'!$E$10+1,1))-AVERAGE(OFFSET($H$3,0,0,'Données projet'!$E$10+1,1))</f>
        <v>487.04124684635974</v>
      </c>
      <c r="AO22" s="59">
        <f t="shared" si="36"/>
        <v>306.61893266146666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16.2</v>
      </c>
      <c r="BD22" s="12">
        <f>IF('Données projet'!$A$88&gt;35,BD21+BC22-BL21,IF(A22&lt;'Données projet'!$A$88,$BA$205^A22,IF(A22='Données projet'!$A$88,'Données projet'!$B$88,BD21+BC22-BL21)))</f>
        <v>137.80000000000001</v>
      </c>
      <c r="BE22" s="13">
        <f>BD22*VLOOKUP('Données projet'!$B$11,Paramètres!$A$1:$I$89,3,0)*VLOOKUP('Données projet'!$B$11,Paramètres!$A$1:$I$89,5,0)</f>
        <v>144.02856000000003</v>
      </c>
      <c r="BF22" s="13">
        <f t="shared" si="37"/>
        <v>37.218362737449169</v>
      </c>
      <c r="BG22" s="20">
        <f t="shared" si="7"/>
        <v>315.67172376772402</v>
      </c>
      <c r="BH22" s="59">
        <f t="shared" si="8"/>
        <v>595.56061265661288</v>
      </c>
      <c r="BI22" s="59">
        <f ca="1">AVERAGE(OFFSET($BH$3,0,0,'Données projet'!$E$11+1,1))-AVERAGE(OFFSET($H$3,0,0,'Données projet'!$E$11+1,1))</f>
        <v>356.31271939877655</v>
      </c>
      <c r="BJ22" s="59">
        <f t="shared" si="38"/>
        <v>499.70544707812991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17.8</v>
      </c>
      <c r="BY22" s="12">
        <f>IF('Données projet'!$A$114&gt;35,BY21+BX22-CG21,IF(A22&lt;'Données projet'!$A$114,$BV$205^A22,IF(A22='Données projet'!$A$114,'Données projet'!$B$114,BY21+BX22-CG21)))</f>
        <v>143.79999999999998</v>
      </c>
      <c r="BZ22" s="13">
        <f>BY22*VLOOKUP('Données projet'!$B$12,Paramètres!$A$1:$I$89,3,0)*VLOOKUP('Données projet'!$B$12,Paramètres!$A$1:$I$89,5,0)</f>
        <v>85.992400000000004</v>
      </c>
      <c r="CA22" s="13">
        <f t="shared" si="39"/>
        <v>23.596141005324462</v>
      </c>
      <c r="CB22" s="20">
        <f t="shared" si="10"/>
        <v>190.86670891760676</v>
      </c>
      <c r="CC22" s="59">
        <f t="shared" si="11"/>
        <v>470.75559780649564</v>
      </c>
      <c r="CD22" s="59">
        <f ca="1">AVERAGE(OFFSET($CC$3,0,0,'Données projet'!$E$12+1,1))-AVERAGE(OFFSET($H$3,0,0,'Données projet'!$E$12+1,1))</f>
        <v>195.80903373714432</v>
      </c>
      <c r="CE22" s="59">
        <f t="shared" si="40"/>
        <v>388.30721786668977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2.7998269152641675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17.690218614873757</v>
      </c>
      <c r="CN22" s="22">
        <f t="shared" si="12"/>
        <v>20.490045530137923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72.638639486636521</v>
      </c>
      <c r="CZ22" s="59">
        <f t="shared" si="42"/>
        <v>334.50638815329404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44.905255804930739</v>
      </c>
      <c r="DG22" s="21">
        <f>EXP(-LN(2)/25)*DG21+(1-EXP(-LN(2)/25))/(LN(2)/25)*Calculateur!DB22*Calculateur!DD22*VLOOKUP('Données projet'!$B$13,Paramètres!$A$1:$I$89,3,0)*0.475*44/12</f>
        <v>43.678004443439328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88.583260248370067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68.016800235358346</v>
      </c>
      <c r="DU22" s="59">
        <f t="shared" si="44"/>
        <v>311.30433899203405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41.518957826198267</v>
      </c>
      <c r="EB22" s="21">
        <f>EXP(-LN(2)/25)*EB21+(1-EXP(-LN(2)/25))/(LN(2)/25)*Calculateur!DW22*Calculateur!DY22*VLOOKUP('Données projet'!$B$14,Paramètres!$A$1:$I$89,3,0)*0.475*44/12</f>
        <v>40.384253288688164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81.903211114886432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439.06700232017681</v>
      </c>
      <c r="T23" s="59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446.03125418022853</v>
      </c>
      <c r="AN23" s="59">
        <f ca="1">AVERAGE(OFFSET($AM$3,0,0,'Données projet'!$E$10+1,1))-AVERAGE(OFFSET($H$3,0,0,'Données projet'!$E$10+1,1))</f>
        <v>487.04124684635974</v>
      </c>
      <c r="AO23" s="59">
        <f t="shared" si="36"/>
        <v>306.61893266146666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154</v>
      </c>
      <c r="BB23" s="12">
        <f>VLOOKUP(A23,'Données projet'!$A$87:$I$107,9,0)</f>
        <v>16.2</v>
      </c>
      <c r="BC23" s="12">
        <f t="array" ref="BC23">INDEX(BB:BB,MIN(IF(ISNUMBER(BB23:BB219),ROW(BB23:BB219),"")))</f>
        <v>16.2</v>
      </c>
      <c r="BD23" s="12">
        <f>IF('Données projet'!$A$88&gt;35,BD22+BC23-BL22,IF(A23&lt;'Données projet'!$A$88,$BA$205^A23,IF(A23='Données projet'!$A$88,'Données projet'!$B$88,BD22+BC23-BL22)))</f>
        <v>154</v>
      </c>
      <c r="BE23" s="13">
        <f>BD23*VLOOKUP('Données projet'!$B$11,Paramètres!$A$1:$I$89,3,0)*VLOOKUP('Données projet'!$B$11,Paramètres!$A$1:$I$89,5,0)</f>
        <v>160.96080000000001</v>
      </c>
      <c r="BF23" s="13">
        <f t="shared" si="37"/>
        <v>41.059150958736609</v>
      </c>
      <c r="BG23" s="20">
        <f t="shared" si="7"/>
        <v>351.85141458646626</v>
      </c>
      <c r="BH23" s="59">
        <f t="shared" si="8"/>
        <v>632.96252569757735</v>
      </c>
      <c r="BI23" s="59">
        <f ca="1">AVERAGE(OFFSET($BH$3,0,0,'Données projet'!$E$11+1,1))-AVERAGE(OFFSET($H$3,0,0,'Données projet'!$E$11+1,1))</f>
        <v>356.31271939877655</v>
      </c>
      <c r="BJ23" s="59">
        <f t="shared" si="38"/>
        <v>499.70544707812991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50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17.8</v>
      </c>
      <c r="BY23" s="12">
        <f>IF('Données projet'!$A$114&gt;35,BY22+BX23-CG22,IF(A23&lt;'Données projet'!$A$114,$BV$205^A23,IF(A23='Données projet'!$A$114,'Données projet'!$B$114,BY22+BX23-CG22)))</f>
        <v>161.6</v>
      </c>
      <c r="BZ23" s="13">
        <f>BY23*VLOOKUP('Données projet'!$B$12,Paramètres!$A$1:$I$89,3,0)*VLOOKUP('Données projet'!$B$12,Paramètres!$A$1:$I$89,5,0)</f>
        <v>96.636800000000008</v>
      </c>
      <c r="CA23" s="13">
        <f t="shared" si="39"/>
        <v>26.159173215164081</v>
      </c>
      <c r="CB23" s="20">
        <f t="shared" si="10"/>
        <v>213.86965334974411</v>
      </c>
      <c r="CC23" s="59">
        <f t="shared" si="11"/>
        <v>494.98076446085526</v>
      </c>
      <c r="CD23" s="59">
        <f ca="1">AVERAGE(OFFSET($CC$3,0,0,'Données projet'!$E$12+1,1))-AVERAGE(OFFSET($H$3,0,0,'Données projet'!$E$12+1,1))</f>
        <v>195.80903373714432</v>
      </c>
      <c r="CE23" s="59">
        <f t="shared" si="40"/>
        <v>388.30721786668977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2.7449240171816314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12.508873543249729</v>
      </c>
      <c r="CN23" s="22">
        <f t="shared" si="12"/>
        <v>15.25379756043136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72.638639486636521</v>
      </c>
      <c r="CZ23" s="59">
        <f t="shared" si="42"/>
        <v>334.50638815329404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44.024691128097601</v>
      </c>
      <c r="DG23" s="21">
        <f>EXP(-LN(2)/25)*DG22+(1-EXP(-LN(2)/25))/(LN(2)/25)*Calculateur!DB23*Calculateur!DD23*VLOOKUP('Données projet'!$B$13,Paramètres!$A$1:$I$89,3,0)*0.475*44/12</f>
        <v>42.483627115007053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86.508318243104654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68.016800235358346</v>
      </c>
      <c r="DU23" s="59">
        <f t="shared" si="44"/>
        <v>311.30433899203405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40.704796387290251</v>
      </c>
      <c r="EB23" s="21">
        <f>EXP(-LN(2)/25)*EB22+(1-EXP(-LN(2)/25))/(LN(2)/25)*Calculateur!DW23*Calculateur!DY23*VLOOKUP('Données projet'!$B$14,Paramètres!$A$1:$I$89,3,0)*0.475*44/12</f>
        <v>39.279943758793408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79.984740146083652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432.2850952483584</v>
      </c>
      <c r="S24" s="59">
        <f ca="1">AVERAGE(OFFSET($R$3,0,0,'Données projet'!$E$9+1,1))-AVERAGE(OFFSET($H$3,0,0,'Données projet'!$E$9+1,1))</f>
        <v>439.06700232017681</v>
      </c>
      <c r="T24" s="59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9">
        <f t="shared" si="5"/>
        <v>449.89511484081447</v>
      </c>
      <c r="AN24" s="59">
        <f ca="1">AVERAGE(OFFSET($AM$3,0,0,'Données projet'!$E$10+1,1))-AVERAGE(OFFSET($H$3,0,0,'Données projet'!$E$10+1,1))</f>
        <v>487.04124684635974</v>
      </c>
      <c r="AO24" s="59">
        <f t="shared" si="36"/>
        <v>306.61893266146666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15.6</v>
      </c>
      <c r="BD24" s="12">
        <f>IF('Données projet'!$A$88&gt;35,BD23+BC24-BL23,IF(A24&lt;'Données projet'!$A$88,$BA$205^A24,IF(A24='Données projet'!$A$88,'Données projet'!$B$88,BD23+BC24-BL23)))</f>
        <v>119.6</v>
      </c>
      <c r="BE24" s="13">
        <f>BD24*VLOOKUP('Données projet'!$B$11,Paramètres!$A$1:$I$89,3,0)*VLOOKUP('Données projet'!$B$11,Paramètres!$A$1:$I$89,5,0)</f>
        <v>125.00592000000002</v>
      </c>
      <c r="BF24" s="13">
        <f t="shared" si="37"/>
        <v>32.839756328142556</v>
      </c>
      <c r="BG24" s="20">
        <f t="shared" si="7"/>
        <v>274.91455293818166</v>
      </c>
      <c r="BH24" s="59">
        <f t="shared" si="8"/>
        <v>557.24788627151497</v>
      </c>
      <c r="BI24" s="59">
        <f ca="1">AVERAGE(OFFSET($BH$3,0,0,'Données projet'!$E$11+1,1))-AVERAGE(OFFSET($H$3,0,0,'Données projet'!$E$11+1,1))</f>
        <v>356.31271939877655</v>
      </c>
      <c r="BJ24" s="59">
        <f t="shared" si="38"/>
        <v>499.70544707812991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17.8</v>
      </c>
      <c r="BY24" s="12">
        <f>IF('Données projet'!$A$114&gt;35,BY23+BX24-CG23,IF(A24&lt;'Données projet'!$A$114,$BV$205^A24,IF(A24='Données projet'!$A$114,'Données projet'!$B$114,BY23+BX24-CG23)))</f>
        <v>179.4</v>
      </c>
      <c r="BZ24" s="13">
        <f>BY24*VLOOKUP('Données projet'!$B$12,Paramètres!$A$1:$I$89,3,0)*VLOOKUP('Données projet'!$B$12,Paramètres!$A$1:$I$89,5,0)</f>
        <v>107.2812</v>
      </c>
      <c r="CA24" s="13">
        <f t="shared" si="39"/>
        <v>28.68948404302737</v>
      </c>
      <c r="CB24" s="20">
        <f t="shared" si="10"/>
        <v>236.81560804160597</v>
      </c>
      <c r="CC24" s="59">
        <f t="shared" si="11"/>
        <v>519.14894137493934</v>
      </c>
      <c r="CD24" s="59">
        <f ca="1">AVERAGE(OFFSET($CC$3,0,0,'Données projet'!$E$12+1,1))-AVERAGE(OFFSET($H$3,0,0,'Données projet'!$E$12+1,1))</f>
        <v>195.80903373714432</v>
      </c>
      <c r="CE24" s="59">
        <f t="shared" si="40"/>
        <v>388.30721786668977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2.6910977314430329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8.8451093074368803</v>
      </c>
      <c r="CN24" s="22">
        <f t="shared" si="12"/>
        <v>11.536207038879914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72.638639486636521</v>
      </c>
      <c r="CZ24" s="59">
        <f t="shared" si="42"/>
        <v>334.50638815329404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43.161393787485743</v>
      </c>
      <c r="DG24" s="21">
        <f>EXP(-LN(2)/25)*DG23+(1-EXP(-LN(2)/25))/(LN(2)/25)*Calculateur!DB24*Calculateur!DD24*VLOOKUP('Données projet'!$B$13,Paramètres!$A$1:$I$89,3,0)*0.475*44/12</f>
        <v>41.321910097430333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84.483303884916069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68.016800235358346</v>
      </c>
      <c r="DU24" s="59">
        <f t="shared" si="44"/>
        <v>311.30433899203405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39.906600157609773</v>
      </c>
      <c r="EB24" s="21">
        <f>EXP(-LN(2)/25)*EB23+(1-EXP(-LN(2)/25))/(LN(2)/25)*Calculateur!DW24*Calculateur!DY24*VLOOKUP('Données projet'!$B$14,Paramètres!$A$1:$I$89,3,0)*0.475*44/12</f>
        <v>38.205831631066737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78.112431788676503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447.66946185598249</v>
      </c>
      <c r="S25" s="59">
        <f ca="1">AVERAGE(OFFSET($R$3,0,0,'Données projet'!$E$9+1,1))-AVERAGE(OFFSET($H$3,0,0,'Données projet'!$E$9+1,1))</f>
        <v>439.06700232017681</v>
      </c>
      <c r="T25" s="59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9">
        <f t="shared" si="5"/>
        <v>466.94712627342153</v>
      </c>
      <c r="AN25" s="59">
        <f ca="1">AVERAGE(OFFSET($AM$3,0,0,'Données projet'!$E$10+1,1))-AVERAGE(OFFSET($H$3,0,0,'Données projet'!$E$10+1,1))</f>
        <v>487.04124684635974</v>
      </c>
      <c r="AO25" s="59">
        <f t="shared" si="36"/>
        <v>306.61893266146666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15.6</v>
      </c>
      <c r="BD25" s="12">
        <f>IF('Données projet'!$A$88&gt;35,BD24+BC25-BL24,IF(A25&lt;'Données projet'!$A$88,$BA$205^A25,IF(A25='Données projet'!$A$88,'Données projet'!$B$88,BD24+BC25-BL24)))</f>
        <v>135.19999999999999</v>
      </c>
      <c r="BE25" s="13">
        <f>BD25*VLOOKUP('Données projet'!$B$11,Paramètres!$A$1:$I$89,3,0)*VLOOKUP('Données projet'!$B$11,Paramètres!$A$1:$I$89,5,0)</f>
        <v>141.31104000000002</v>
      </c>
      <c r="BF25" s="13">
        <f t="shared" si="37"/>
        <v>36.597183225222992</v>
      </c>
      <c r="BG25" s="20">
        <f t="shared" si="7"/>
        <v>309.85682211726339</v>
      </c>
      <c r="BH25" s="59">
        <f t="shared" si="8"/>
        <v>593.41237767281893</v>
      </c>
      <c r="BI25" s="59">
        <f ca="1">AVERAGE(OFFSET($BH$3,0,0,'Données projet'!$E$11+1,1))-AVERAGE(OFFSET($H$3,0,0,'Données projet'!$E$11+1,1))</f>
        <v>356.31271939877655</v>
      </c>
      <c r="BJ25" s="59">
        <f t="shared" si="38"/>
        <v>499.70544707812991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17.8</v>
      </c>
      <c r="BY25" s="12">
        <f>IF('Données projet'!$A$114&gt;35,BY24+BX25-CG24,IF(A25&lt;'Données projet'!$A$114,$BV$205^A25,IF(A25='Données projet'!$A$114,'Données projet'!$B$114,BY24+BX25-CG24)))</f>
        <v>197.20000000000002</v>
      </c>
      <c r="BZ25" s="13">
        <f>BY25*VLOOKUP('Données projet'!$B$12,Paramètres!$A$1:$I$89,3,0)*VLOOKUP('Données projet'!$B$12,Paramètres!$A$1:$I$89,5,0)</f>
        <v>117.92560000000003</v>
      </c>
      <c r="CA25" s="13">
        <f t="shared" si="39"/>
        <v>31.190689636070587</v>
      </c>
      <c r="CB25" s="20">
        <f t="shared" si="10"/>
        <v>259.71087111615634</v>
      </c>
      <c r="CC25" s="59">
        <f t="shared" si="11"/>
        <v>543.26642667171188</v>
      </c>
      <c r="CD25" s="59">
        <f ca="1">AVERAGE(OFFSET($CC$3,0,0,'Données projet'!$E$12+1,1))-AVERAGE(OFFSET($H$3,0,0,'Données projet'!$E$12+1,1))</f>
        <v>195.80903373714432</v>
      </c>
      <c r="CE25" s="59">
        <f t="shared" si="40"/>
        <v>388.30721786668977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2.6383269463369756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6.2544367716248654</v>
      </c>
      <c r="CN25" s="22">
        <f t="shared" si="12"/>
        <v>8.8927637179618415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72.638639486636521</v>
      </c>
      <c r="CZ25" s="59">
        <f t="shared" si="42"/>
        <v>334.50638815329404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42.315025181163897</v>
      </c>
      <c r="DG25" s="21">
        <f>EXP(-LN(2)/25)*DG24+(1-EXP(-LN(2)/25))/(LN(2)/25)*Calculateur!DB25*Calculateur!DD25*VLOOKUP('Données projet'!$B$13,Paramètres!$A$1:$I$89,3,0)*0.475*44/12</f>
        <v>40.191960292791293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82.506985473955183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68.016800235358346</v>
      </c>
      <c r="DU25" s="59">
        <f t="shared" si="44"/>
        <v>311.30433899203405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39.124056069141702</v>
      </c>
      <c r="EB25" s="21">
        <f>EXP(-LN(2)/25)*EB24+(1-EXP(-LN(2)/25))/(LN(2)/25)*Calculateur!DW25*Calculateur!DY25*VLOOKUP('Données projet'!$B$14,Paramètres!$A$1:$I$89,3,0)*0.475*44/12</f>
        <v>37.161091155957848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76.28514722509955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463.02494493049426</v>
      </c>
      <c r="S26" s="59">
        <f ca="1">AVERAGE(OFFSET($R$3,0,0,'Données projet'!$E$9+1,1))-AVERAGE(OFFSET($H$3,0,0,'Données projet'!$E$9+1,1))</f>
        <v>439.06700232017681</v>
      </c>
      <c r="T26" s="59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9">
        <f t="shared" si="5"/>
        <v>483.96719471473949</v>
      </c>
      <c r="AN26" s="59">
        <f ca="1">AVERAGE(OFFSET($AM$3,0,0,'Données projet'!$E$10+1,1))-AVERAGE(OFFSET($H$3,0,0,'Données projet'!$E$10+1,1))</f>
        <v>487.04124684635974</v>
      </c>
      <c r="AO26" s="59">
        <f t="shared" si="36"/>
        <v>306.61893266146666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15.6</v>
      </c>
      <c r="BD26" s="12">
        <f>IF('Données projet'!$A$88&gt;35,BD25+BC26-BL25,IF(A26&lt;'Données projet'!$A$88,$BA$205^A26,IF(A26='Données projet'!$A$88,'Données projet'!$B$88,BD25+BC26-BL25)))</f>
        <v>150.79999999999998</v>
      </c>
      <c r="BE26" s="13">
        <f>BD26*VLOOKUP('Données projet'!$B$11,Paramètres!$A$1:$I$89,3,0)*VLOOKUP('Données projet'!$B$11,Paramètres!$A$1:$I$89,5,0)</f>
        <v>157.61616000000001</v>
      </c>
      <c r="BF26" s="13">
        <f t="shared" si="37"/>
        <v>40.304364799450333</v>
      </c>
      <c r="BG26" s="20">
        <f t="shared" si="7"/>
        <v>344.711580692376</v>
      </c>
      <c r="BH26" s="59">
        <f t="shared" si="8"/>
        <v>629.48935847015377</v>
      </c>
      <c r="BI26" s="59">
        <f ca="1">AVERAGE(OFFSET($BH$3,0,0,'Données projet'!$E$11+1,1))-AVERAGE(OFFSET($H$3,0,0,'Données projet'!$E$11+1,1))</f>
        <v>356.31271939877655</v>
      </c>
      <c r="BJ26" s="59">
        <f t="shared" si="38"/>
        <v>499.70544707812991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>
        <f>VLOOKUP(A26,'Données projet'!$A$113:$I$133,2,0)</f>
        <v>215</v>
      </c>
      <c r="BW26" s="12">
        <f>VLOOKUP(A26,'Données projet'!$A$113:$I$133,9,0)</f>
        <v>17.8</v>
      </c>
      <c r="BX26" s="12">
        <f t="array" ref="BX26">INDEX(BW:BW,MIN(IF(ISNUMBER(BW26:BW222),ROW(BW26:BW222),"")))</f>
        <v>17.8</v>
      </c>
      <c r="BY26" s="12">
        <f>IF('Données projet'!$A$114&gt;35,BY25+BX26-CG25,IF(A26&lt;'Données projet'!$A$114,$BV$205^A26,IF(A26='Données projet'!$A$114,'Données projet'!$B$114,BY25+BX26-CG25)))</f>
        <v>215.00000000000003</v>
      </c>
      <c r="BZ26" s="13">
        <f>BY26*VLOOKUP('Données projet'!$B$12,Paramètres!$A$1:$I$89,3,0)*VLOOKUP('Données projet'!$B$12,Paramètres!$A$1:$I$89,5,0)</f>
        <v>128.57000000000002</v>
      </c>
      <c r="CA26" s="13">
        <f t="shared" si="39"/>
        <v>33.665715905233277</v>
      </c>
      <c r="CB26" s="20">
        <f t="shared" si="10"/>
        <v>282.56053853494797</v>
      </c>
      <c r="CC26" s="59">
        <f t="shared" si="11"/>
        <v>567.33831631272574</v>
      </c>
      <c r="CD26" s="59">
        <f ca="1">AVERAGE(OFFSET($CC$3,0,0,'Données projet'!$E$12+1,1))-AVERAGE(OFFSET($H$3,0,0,'Données projet'!$E$12+1,1))</f>
        <v>195.80903373714432</v>
      </c>
      <c r="CE26" s="59">
        <f t="shared" si="40"/>
        <v>388.30721786668977</v>
      </c>
      <c r="CF26" s="15">
        <f>IF(ISNA(VLOOKUP(A26,'Données projet'!$A$113:$I$133,3,0)),0,VLOOKUP(A26,'Données projet'!$A$113:$I$133,3,0))</f>
        <v>3</v>
      </c>
      <c r="CG26" s="15">
        <f>IF(ISNA(VLOOKUP(A26,'Données projet'!$A$113:$I$133,4,0)),0,VLOOKUP(A26,'Données projet'!$A$113:$I$133,4,0))</f>
        <v>52</v>
      </c>
      <c r="CH26" s="16">
        <f>IF(ISNA(VLOOKUP(A26,'Données projet'!$A$113:$I$133,5,0)),0%,VLOOKUP(A26,'Données projet'!$A$113:$I$133,5,0)*VLOOKUP('Données projet'!$B$12,Paramètres!$A$1:$I$89,7,0))</f>
        <v>0.18000000000000002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0.6</v>
      </c>
      <c r="CK26" s="21">
        <f>EXP(-LN(2)/35)*CK25+(1-EXP(-LN(2)/35))/(LN(2)/35)*CG26*CH26*VLOOKUP('Données projet'!$B$12,Paramètres!$A$1:$I$89,3,0)*0.475*44/12</f>
        <v>10.011743659282478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25.547291968048228</v>
      </c>
      <c r="CN26" s="22">
        <f t="shared" si="12"/>
        <v>35.559035627330708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72.638639486636521</v>
      </c>
      <c r="CZ26" s="59">
        <f t="shared" si="42"/>
        <v>334.50638815329404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41.485253346978148</v>
      </c>
      <c r="DG26" s="21">
        <f>EXP(-LN(2)/25)*DG25+(1-EXP(-LN(2)/25))/(LN(2)/25)*Calculateur!DB26*Calculateur!DD26*VLOOKUP('Données projet'!$B$13,Paramètres!$A$1:$I$89,3,0)*0.475*44/12</f>
        <v>39.09290902498158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80.578162371959735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68.016800235358346</v>
      </c>
      <c r="DU26" s="59">
        <f t="shared" si="44"/>
        <v>311.30433899203405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38.356857192943728</v>
      </c>
      <c r="EB26" s="21">
        <f>EXP(-LN(2)/25)*EB25+(1-EXP(-LN(2)/25))/(LN(2)/25)*Calculateur!DW26*Calculateur!DY26*VLOOKUP('Données projet'!$B$14,Paramètres!$A$1:$I$89,3,0)*0.475*44/12</f>
        <v>36.14491916408133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74.501776357025051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478.35415851868379</v>
      </c>
      <c r="S27" s="59">
        <f ca="1">AVERAGE(OFFSET($R$3,0,0,'Données projet'!$E$9+1,1))-AVERAGE(OFFSET($H$3,0,0,'Données projet'!$E$9+1,1))</f>
        <v>439.06700232017681</v>
      </c>
      <c r="T27" s="59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9">
        <f t="shared" si="5"/>
        <v>500.95821110174336</v>
      </c>
      <c r="AN27" s="59">
        <f ca="1">AVERAGE(OFFSET($AM$3,0,0,'Données projet'!$E$10+1,1))-AVERAGE(OFFSET($H$3,0,0,'Données projet'!$E$10+1,1))</f>
        <v>487.04124684635974</v>
      </c>
      <c r="AO27" s="59">
        <f t="shared" si="36"/>
        <v>306.61893266146666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15.6</v>
      </c>
      <c r="BD27" s="12">
        <f>IF('Données projet'!$A$88&gt;35,BD26+BC27-BL26,IF(A27&lt;'Données projet'!$A$88,$BA$205^A27,IF(A27='Données projet'!$A$88,'Données projet'!$B$88,BD26+BC27-BL26)))</f>
        <v>166.39999999999998</v>
      </c>
      <c r="BE27" s="13">
        <f>BD27*VLOOKUP('Données projet'!$B$11,Paramètres!$A$1:$I$89,3,0)*VLOOKUP('Données projet'!$B$11,Paramètres!$A$1:$I$89,5,0)</f>
        <v>173.92128</v>
      </c>
      <c r="BF27" s="13">
        <f t="shared" si="37"/>
        <v>43.967090861270989</v>
      </c>
      <c r="BG27" s="20">
        <f t="shared" si="7"/>
        <v>379.48891258338023</v>
      </c>
      <c r="BH27" s="59">
        <f t="shared" si="8"/>
        <v>665.48891258338017</v>
      </c>
      <c r="BI27" s="59">
        <f ca="1">AVERAGE(OFFSET($BH$3,0,0,'Données projet'!$E$11+1,1))-AVERAGE(OFFSET($H$3,0,0,'Données projet'!$E$11+1,1))</f>
        <v>356.31271939877655</v>
      </c>
      <c r="BJ27" s="59">
        <f t="shared" si="38"/>
        <v>499.70544707812991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15.142857142857142</v>
      </c>
      <c r="BY27" s="12">
        <f>IF('Données projet'!$A$114&gt;35,BY26+BX27-CG26,IF(A27&lt;'Données projet'!$A$114,$BV$205^A27,IF(A27='Données projet'!$A$114,'Données projet'!$B$114,BY26+BX27-CG26)))</f>
        <v>178.14285714285717</v>
      </c>
      <c r="BZ27" s="13">
        <f>BY27*VLOOKUP('Données projet'!$B$12,Paramètres!$A$1:$I$89,3,0)*VLOOKUP('Données projet'!$B$12,Paramètres!$A$1:$I$89,5,0)</f>
        <v>106.5294285714286</v>
      </c>
      <c r="CA27" s="13">
        <f t="shared" si="39"/>
        <v>28.511771457031461</v>
      </c>
      <c r="CB27" s="20">
        <f t="shared" si="10"/>
        <v>235.19675671623455</v>
      </c>
      <c r="CC27" s="59">
        <f t="shared" si="11"/>
        <v>521.19675671623452</v>
      </c>
      <c r="CD27" s="59">
        <f ca="1">AVERAGE(OFFSET($CC$3,0,0,'Données projet'!$E$12+1,1))-AVERAGE(OFFSET($H$3,0,0,'Données projet'!$E$12+1,1))</f>
        <v>195.80903373714432</v>
      </c>
      <c r="CE27" s="59">
        <f t="shared" si="40"/>
        <v>388.30721786668977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9.8154194726846082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18.064663391559524</v>
      </c>
      <c r="CN27" s="22">
        <f t="shared" si="12"/>
        <v>27.88008286424413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72.638639486636521</v>
      </c>
      <c r="CZ27" s="59">
        <f t="shared" si="42"/>
        <v>334.50638815329404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40.671752832349931</v>
      </c>
      <c r="DG27" s="21">
        <f>EXP(-LN(2)/25)*DG26+(1-EXP(-LN(2)/25))/(LN(2)/25)*Calculateur!DB27*Calculateur!DD27*VLOOKUP('Données projet'!$B$13,Paramètres!$A$1:$I$89,3,0)*0.475*44/12</f>
        <v>38.023911371886719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78.69566420423665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68.016800235358346</v>
      </c>
      <c r="DU27" s="59">
        <f t="shared" si="44"/>
        <v>311.30433899203405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37.604702618762886</v>
      </c>
      <c r="EB27" s="21">
        <f>EXP(-LN(2)/25)*EB26+(1-EXP(-LN(2)/25))/(LN(2)/25)*Calculateur!DW27*Calculateur!DY27*VLOOKUP('Données projet'!$B$14,Paramètres!$A$1:$I$89,3,0)*0.475*44/12</f>
        <v>35.156534448760837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72.761237067523723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439.06700232017681</v>
      </c>
      <c r="T28" s="59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9">
        <f t="shared" si="5"/>
        <v>517.92260716229862</v>
      </c>
      <c r="AN28" s="59">
        <f ca="1">AVERAGE(OFFSET($AM$3,0,0,'Données projet'!$E$10+1,1))-AVERAGE(OFFSET($H$3,0,0,'Données projet'!$E$10+1,1))</f>
        <v>487.04124684635974</v>
      </c>
      <c r="AO28" s="59">
        <f t="shared" si="36"/>
        <v>306.61893266146666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182</v>
      </c>
      <c r="BB28" s="12">
        <f>VLOOKUP(A28,'Données projet'!$A$87:$I$107,9,0)</f>
        <v>15.6</v>
      </c>
      <c r="BC28" s="12">
        <f t="array" ref="BC28">INDEX(BB:BB,MIN(IF(ISNUMBER(BB28:BB224),ROW(BB28:BB224),"")))</f>
        <v>15.6</v>
      </c>
      <c r="BD28" s="12">
        <f>IF('Données projet'!$A$88&gt;35,BD27+BC28-BL27,IF(A28&lt;'Données projet'!$A$88,$BA$205^A28,IF(A28='Données projet'!$A$88,'Données projet'!$B$88,BD27+BC28-BL27)))</f>
        <v>181.99999999999997</v>
      </c>
      <c r="BE28" s="13">
        <f>BD28*VLOOKUP('Données projet'!$B$11,Paramètres!$A$1:$I$89,3,0)*VLOOKUP('Données projet'!$B$11,Paramètres!$A$1:$I$89,5,0)</f>
        <v>190.22639999999998</v>
      </c>
      <c r="BF28" s="13">
        <f t="shared" si="37"/>
        <v>47.59000320706312</v>
      </c>
      <c r="BG28" s="20">
        <f t="shared" si="7"/>
        <v>414.19690225230153</v>
      </c>
      <c r="BH28" s="59">
        <f t="shared" si="8"/>
        <v>701.41912447452376</v>
      </c>
      <c r="BI28" s="59">
        <f ca="1">AVERAGE(OFFSET($BH$3,0,0,'Données projet'!$E$11+1,1))-AVERAGE(OFFSET($H$3,0,0,'Données projet'!$E$11+1,1))</f>
        <v>356.31271939877655</v>
      </c>
      <c r="BJ28" s="59">
        <f t="shared" si="38"/>
        <v>499.70544707812991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52</v>
      </c>
      <c r="BM28" s="16">
        <f>IF(ISNA(VLOOKUP(A28,'Données projet'!$A$87:$I$107,5,0)),0%,VLOOKUP(A28,'Données projet'!$A$87:$I$107,5,0)*VLOOKUP('Données projet'!$B$11,Paramètres!$A$1:$I$89,7,0))</f>
        <v>4.3000000000000003E-2</v>
      </c>
      <c r="BN28" s="16">
        <f>IF(ISNA(VLOOKUP(A28,'Données projet'!$A$87:$I$107,6,0)),0%,VLOOKUP(A28,'Données projet'!$A$87:$I$107,6,0)*VLOOKUP('Données projet'!$B$11,Paramètres!$A$1:$I$89,7,0))</f>
        <v>8.6000000000000007E-2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2.5835585645780097</v>
      </c>
      <c r="BQ28" s="21">
        <f>EXP(-LN(2)/25)*BQ27+(1-EXP(-LN(2)/25))/(LN(2)/25)*Calculateur!BL28*Calculateur!BN28*VLOOKUP('Données projet'!$B$11,Paramètres!$A$1:$I$89,3,0)*0.475*44/12</f>
        <v>5.1467722201925517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7.7303307847705618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15.142857142857142</v>
      </c>
      <c r="BY28" s="12">
        <f>IF('Données projet'!$A$114&gt;35,BY27+BX28-CG27,IF(A28&lt;'Données projet'!$A$114,$BV$205^A28,IF(A28='Données projet'!$A$114,'Données projet'!$B$114,BY27+BX28-CG27)))</f>
        <v>193.28571428571431</v>
      </c>
      <c r="BZ28" s="13">
        <f>BY28*VLOOKUP('Données projet'!$B$12,Paramètres!$A$1:$I$89,3,0)*VLOOKUP('Données projet'!$B$12,Paramètres!$A$1:$I$89,5,0)</f>
        <v>115.58485714285716</v>
      </c>
      <c r="CA28" s="13">
        <f t="shared" si="39"/>
        <v>30.643003864758004</v>
      </c>
      <c r="CB28" s="20">
        <f t="shared" si="10"/>
        <v>254.68019125492972</v>
      </c>
      <c r="CC28" s="59">
        <f t="shared" si="11"/>
        <v>541.90241347715198</v>
      </c>
      <c r="CD28" s="59">
        <f ca="1">AVERAGE(OFFSET($CC$3,0,0,'Données projet'!$E$12+1,1))-AVERAGE(OFFSET($H$3,0,0,'Données projet'!$E$12+1,1))</f>
        <v>195.80903373714432</v>
      </c>
      <c r="CE28" s="59">
        <f t="shared" si="40"/>
        <v>388.30721786668977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9.6229450836399923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12.773645984024117</v>
      </c>
      <c r="CN28" s="22">
        <f t="shared" si="12"/>
        <v>22.396591067664112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72.638639486636521</v>
      </c>
      <c r="CZ28" s="59">
        <f t="shared" si="42"/>
        <v>334.50638815329404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39.874204566627256</v>
      </c>
      <c r="DG28" s="21">
        <f>EXP(-LN(2)/25)*DG27+(1-EXP(-LN(2)/25))/(LN(2)/25)*Calculateur!DB28*Calculateur!DD28*VLOOKUP('Données projet'!$B$13,Paramètres!$A$1:$I$89,3,0)*0.475*44/12</f>
        <v>36.984145515831884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76.85835008245914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68.016800235358346</v>
      </c>
      <c r="DU28" s="59">
        <f t="shared" si="44"/>
        <v>311.30433899203405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36.867297337012744</v>
      </c>
      <c r="EB28" s="21">
        <f>EXP(-LN(2)/25)*EB27+(1-EXP(-LN(2)/25))/(LN(2)/25)*Calculateur!DW28*Calculateur!DY28*VLOOKUP('Données projet'!$B$14,Paramètres!$A$1:$I$89,3,0)*0.475*44/12</f>
        <v>34.195177165457679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71.062474502470423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458.05789673333743</v>
      </c>
      <c r="S29" s="59">
        <f ca="1">AVERAGE(OFFSET($R$3,0,0,'Données projet'!$E$9+1,1))-AVERAGE(OFFSET($H$3,0,0,'Données projet'!$E$9+1,1))</f>
        <v>439.06700232017681</v>
      </c>
      <c r="T29" s="59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9">
        <f t="shared" si="5"/>
        <v>477.98324711048087</v>
      </c>
      <c r="AN29" s="59">
        <f ca="1">AVERAGE(OFFSET($AM$3,0,0,'Données projet'!$E$10+1,1))-AVERAGE(OFFSET($H$3,0,0,'Données projet'!$E$10+1,1))</f>
        <v>487.04124684635974</v>
      </c>
      <c r="AO29" s="59">
        <f t="shared" si="36"/>
        <v>306.61893266146666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14.8</v>
      </c>
      <c r="BD29" s="12">
        <f>IF('Données projet'!$A$88&gt;35,BD28+BC29-BL28,IF(A29&lt;'Données projet'!$A$88,$BA$205^A29,IF(A29='Données projet'!$A$88,'Données projet'!$B$88,BD28+BC29-BL28)))</f>
        <v>144.79999999999998</v>
      </c>
      <c r="BE29" s="13">
        <f>BD29*VLOOKUP('Données projet'!$B$11,Paramètres!$A$1:$I$89,3,0)*VLOOKUP('Données projet'!$B$11,Paramètres!$A$1:$I$89,5,0)</f>
        <v>151.34495999999999</v>
      </c>
      <c r="BF29" s="13">
        <f t="shared" si="37"/>
        <v>38.884073636559918</v>
      </c>
      <c r="BG29" s="20">
        <f t="shared" si="7"/>
        <v>331.31556691700854</v>
      </c>
      <c r="BH29" s="59">
        <f t="shared" si="8"/>
        <v>619.76001136145305</v>
      </c>
      <c r="BI29" s="59">
        <f ca="1">AVERAGE(OFFSET($BH$3,0,0,'Données projet'!$E$11+1,1))-AVERAGE(OFFSET($H$3,0,0,'Données projet'!$E$11+1,1))</f>
        <v>356.31271939877655</v>
      </c>
      <c r="BJ29" s="59">
        <f t="shared" si="38"/>
        <v>499.70544707812991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2.5328965569417603</v>
      </c>
      <c r="BQ29" s="21">
        <f>EXP(-LN(2)/25)*BQ28+(1-EXP(-LN(2)/25))/(LN(2)/25)*Calculateur!BL29*Calculateur!BN29*VLOOKUP('Données projet'!$B$11,Paramètres!$A$1:$I$89,3,0)*0.475*44/12</f>
        <v>5.0060334631743988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7.5389300201161591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15.142857142857142</v>
      </c>
      <c r="BY29" s="12">
        <f>IF('Données projet'!$A$114&gt;35,BY28+BX29-CG28,IF(A29&lt;'Données projet'!$A$114,$BV$205^A29,IF(A29='Données projet'!$A$114,'Données projet'!$B$114,BY28+BX29-CG28)))</f>
        <v>208.42857142857144</v>
      </c>
      <c r="BZ29" s="13">
        <f>BY29*VLOOKUP('Données projet'!$B$12,Paramètres!$A$1:$I$89,3,0)*VLOOKUP('Données projet'!$B$12,Paramètres!$A$1:$I$89,5,0)</f>
        <v>124.64028571428574</v>
      </c>
      <c r="CA29" s="13">
        <f t="shared" si="39"/>
        <v>32.754868392894572</v>
      </c>
      <c r="CB29" s="20">
        <f t="shared" si="10"/>
        <v>274.129893403339</v>
      </c>
      <c r="CC29" s="59">
        <f t="shared" si="11"/>
        <v>562.57433784778345</v>
      </c>
      <c r="CD29" s="59">
        <f ca="1">AVERAGE(OFFSET($CC$3,0,0,'Données projet'!$E$12+1,1))-AVERAGE(OFFSET($H$3,0,0,'Données projet'!$E$12+1,1))</f>
        <v>195.80903373714432</v>
      </c>
      <c r="CE29" s="59">
        <f t="shared" si="40"/>
        <v>388.30721786668977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9.4342449999667561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9.0323316957797637</v>
      </c>
      <c r="CN29" s="22">
        <f t="shared" si="12"/>
        <v>18.466576695746518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72.638639486636521</v>
      </c>
      <c r="CZ29" s="59">
        <f t="shared" si="42"/>
        <v>334.50638815329404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39.092295735938997</v>
      </c>
      <c r="DG29" s="21">
        <f>EXP(-LN(2)/25)*DG28+(1-EXP(-LN(2)/25))/(LN(2)/25)*Calculateur!DB29*Calculateur!DD29*VLOOKUP('Données projet'!$B$13,Paramètres!$A$1:$I$89,3,0)*0.475*44/12</f>
        <v>35.972812111789779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75.065107847728768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68.016800235358346</v>
      </c>
      <c r="DU29" s="59">
        <f t="shared" si="44"/>
        <v>311.30433899203405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36.144352123064913</v>
      </c>
      <c r="EB29" s="21">
        <f>EXP(-LN(2)/25)*EB28+(1-EXP(-LN(2)/25))/(LN(2)/25)*Calculateur!DW29*Calculateur!DY29*VLOOKUP('Données projet'!$B$14,Paramètres!$A$1:$I$89,3,0)*0.475*44/12</f>
        <v>33.260108247622028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69.404460370686934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477.32127040383227</v>
      </c>
      <c r="S30" s="59">
        <f ca="1">AVERAGE(OFFSET($R$3,0,0,'Données projet'!$E$9+1,1))-AVERAGE(OFFSET($H$3,0,0,'Données projet'!$E$9+1,1))</f>
        <v>439.06700232017681</v>
      </c>
      <c r="T30" s="59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9">
        <f t="shared" si="5"/>
        <v>499.37168273097859</v>
      </c>
      <c r="AN30" s="59">
        <f ca="1">AVERAGE(OFFSET($AM$3,0,0,'Données projet'!$E$10+1,1))-AVERAGE(OFFSET($H$3,0,0,'Données projet'!$E$10+1,1))</f>
        <v>487.04124684635974</v>
      </c>
      <c r="AO30" s="59">
        <f t="shared" si="36"/>
        <v>306.61893266146666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14.8</v>
      </c>
      <c r="BD30" s="12">
        <f>IF('Données projet'!$A$88&gt;35,BD29+BC30-BL29,IF(A30&lt;'Données projet'!$A$88,$BA$205^A30,IF(A30='Données projet'!$A$88,'Données projet'!$B$88,BD29+BC30-BL29)))</f>
        <v>159.6</v>
      </c>
      <c r="BE30" s="13">
        <f>BD30*VLOOKUP('Données projet'!$B$11,Paramètres!$A$1:$I$89,3,0)*VLOOKUP('Données projet'!$B$11,Paramètres!$A$1:$I$89,5,0)</f>
        <v>166.81392</v>
      </c>
      <c r="BF30" s="13">
        <f t="shared" si="37"/>
        <v>42.375663826552454</v>
      </c>
      <c r="BG30" s="20">
        <f t="shared" si="7"/>
        <v>364.33852516457887</v>
      </c>
      <c r="BH30" s="59">
        <f t="shared" si="8"/>
        <v>654.00519183124561</v>
      </c>
      <c r="BI30" s="59">
        <f ca="1">AVERAGE(OFFSET($BH$3,0,0,'Données projet'!$E$11+1,1))-AVERAGE(OFFSET($H$3,0,0,'Données projet'!$E$11+1,1))</f>
        <v>356.31271939877655</v>
      </c>
      <c r="BJ30" s="59">
        <f t="shared" si="38"/>
        <v>499.70544707812991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2.4832280003744844</v>
      </c>
      <c r="BQ30" s="21">
        <f>EXP(-LN(2)/25)*BQ29+(1-EXP(-LN(2)/25))/(LN(2)/25)*Calculateur!BL30*Calculateur!BN30*VLOOKUP('Données projet'!$B$11,Paramètres!$A$1:$I$89,3,0)*0.475*44/12</f>
        <v>4.8691432148680365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7.3523712152425205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15.142857142857142</v>
      </c>
      <c r="BY30" s="12">
        <f>IF('Données projet'!$A$114&gt;35,BY29+BX30-CG29,IF(A30&lt;'Données projet'!$A$114,$BV$205^A30,IF(A30='Données projet'!$A$114,'Données projet'!$B$114,BY29+BX30-CG29)))</f>
        <v>223.57142857142858</v>
      </c>
      <c r="BZ30" s="13">
        <f>BY30*VLOOKUP('Données projet'!$B$12,Paramètres!$A$1:$I$89,3,0)*VLOOKUP('Données projet'!$B$12,Paramètres!$A$1:$I$89,5,0)</f>
        <v>133.6957142857143</v>
      </c>
      <c r="CA30" s="13">
        <f t="shared" si="39"/>
        <v>34.848932189999701</v>
      </c>
      <c r="CB30" s="20">
        <f t="shared" si="10"/>
        <v>293.54859261186851</v>
      </c>
      <c r="CC30" s="59">
        <f t="shared" si="11"/>
        <v>583.2152592785352</v>
      </c>
      <c r="CD30" s="59">
        <f ca="1">AVERAGE(OFFSET($CC$3,0,0,'Données projet'!$E$12+1,1))-AVERAGE(OFFSET($H$3,0,0,'Données projet'!$E$12+1,1))</f>
        <v>195.80903373714432</v>
      </c>
      <c r="CE30" s="59">
        <f t="shared" si="40"/>
        <v>388.30721786668977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9.2492452098386657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6.3868229920120596</v>
      </c>
      <c r="CN30" s="22">
        <f t="shared" si="12"/>
        <v>15.636068201850726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72.638639486636521</v>
      </c>
      <c r="CZ30" s="59">
        <f t="shared" si="42"/>
        <v>334.50638815329404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38.325719660503239</v>
      </c>
      <c r="DG30" s="21">
        <f>EXP(-LN(2)/25)*DG29+(1-EXP(-LN(2)/25))/(LN(2)/25)*Calculateur!DB30*Calculateur!DD30*VLOOKUP('Données projet'!$B$13,Paramètres!$A$1:$I$89,3,0)*0.475*44/12</f>
        <v>34.989133672864916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73.314853333368148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68.016800235358346</v>
      </c>
      <c r="DU30" s="59">
        <f t="shared" si="44"/>
        <v>311.30433899203405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35.435583423809554</v>
      </c>
      <c r="EB30" s="21">
        <f>EXP(-LN(2)/25)*EB29+(1-EXP(-LN(2)/25))/(LN(2)/25)*Calculateur!DW30*Calculateur!DY30*VLOOKUP('Données projet'!$B$14,Paramètres!$A$1:$I$89,3,0)*0.475*44/12</f>
        <v>32.350608838517729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67.78619226232729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496.54418197683344</v>
      </c>
      <c r="S31" s="59">
        <f ca="1">AVERAGE(OFFSET($R$3,0,0,'Données projet'!$E$9+1,1))-AVERAGE(OFFSET($H$3,0,0,'Données projet'!$E$9+1,1))</f>
        <v>439.06700232017681</v>
      </c>
      <c r="T31" s="59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9">
        <f t="shared" si="5"/>
        <v>520.71537034842709</v>
      </c>
      <c r="AN31" s="59">
        <f ca="1">AVERAGE(OFFSET($AM$3,0,0,'Données projet'!$E$10+1,1))-AVERAGE(OFFSET($H$3,0,0,'Données projet'!$E$10+1,1))</f>
        <v>487.04124684635974</v>
      </c>
      <c r="AO31" s="59">
        <f t="shared" si="36"/>
        <v>306.61893266146666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14.8</v>
      </c>
      <c r="BD31" s="12">
        <f>IF('Données projet'!$A$88&gt;35,BD30+BC31-BL30,IF(A31&lt;'Données projet'!$A$88,$BA$205^A31,IF(A31='Données projet'!$A$88,'Données projet'!$B$88,BD30+BC31-BL30)))</f>
        <v>174.4</v>
      </c>
      <c r="BE31" s="13">
        <f>BD31*VLOOKUP('Données projet'!$B$11,Paramètres!$A$1:$I$89,3,0)*VLOOKUP('Données projet'!$B$11,Paramètres!$A$1:$I$89,5,0)</f>
        <v>182.28288000000003</v>
      </c>
      <c r="BF31" s="13">
        <f t="shared" si="37"/>
        <v>45.829711768683602</v>
      </c>
      <c r="BG31" s="20">
        <f t="shared" si="7"/>
        <v>397.29609733045731</v>
      </c>
      <c r="BH31" s="59">
        <f t="shared" si="8"/>
        <v>688.18498621934623</v>
      </c>
      <c r="BI31" s="59">
        <f ca="1">AVERAGE(OFFSET($BH$3,0,0,'Données projet'!$E$11+1,1))-AVERAGE(OFFSET($H$3,0,0,'Données projet'!$E$11+1,1))</f>
        <v>356.31271939877655</v>
      </c>
      <c r="BJ31" s="59">
        <f t="shared" si="38"/>
        <v>499.70544707812991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2.4345334139066646</v>
      </c>
      <c r="BQ31" s="21">
        <f>EXP(-LN(2)/25)*BQ30+(1-EXP(-LN(2)/25))/(LN(2)/25)*Calculateur!BL31*Calculateur!BN31*VLOOKUP('Données projet'!$B$11,Paramètres!$A$1:$I$89,3,0)*0.475*44/12</f>
        <v>4.7359962376003573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7.1705296515070218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15.142857142857142</v>
      </c>
      <c r="BY31" s="12">
        <f>IF('Données projet'!$A$114&gt;35,BY30+BX31-CG30,IF(A31&lt;'Données projet'!$A$114,$BV$205^A31,IF(A31='Données projet'!$A$114,'Données projet'!$B$114,BY30+BX31-CG30)))</f>
        <v>238.71428571428572</v>
      </c>
      <c r="BZ31" s="13">
        <f>BY31*VLOOKUP('Données projet'!$B$12,Paramètres!$A$1:$I$89,3,0)*VLOOKUP('Données projet'!$B$12,Paramètres!$A$1:$I$89,5,0)</f>
        <v>142.75114285714287</v>
      </c>
      <c r="CA31" s="13">
        <f t="shared" si="39"/>
        <v>36.926538099571019</v>
      </c>
      <c r="CB31" s="20">
        <f t="shared" si="10"/>
        <v>312.93862766627666</v>
      </c>
      <c r="CC31" s="59">
        <f t="shared" si="11"/>
        <v>603.82751655516552</v>
      </c>
      <c r="CD31" s="59">
        <f ca="1">AVERAGE(OFFSET($CC$3,0,0,'Données projet'!$E$12+1,1))-AVERAGE(OFFSET($H$3,0,0,'Données projet'!$E$12+1,1))</f>
        <v>195.80903373714432</v>
      </c>
      <c r="CE31" s="59">
        <f t="shared" si="40"/>
        <v>388.30721786668977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9.0678731527562579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4.5161658478898827</v>
      </c>
      <c r="CN31" s="22">
        <f t="shared" si="12"/>
        <v>13.58403900064614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72.638639486636521</v>
      </c>
      <c r="CZ31" s="59">
        <f t="shared" si="42"/>
        <v>334.50638815329404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37.574175674341539</v>
      </c>
      <c r="DG31" s="21">
        <f>EXP(-LN(2)/25)*DG30+(1-EXP(-LN(2)/25))/(LN(2)/25)*Calculateur!DB31*Calculateur!DD31*VLOOKUP('Données projet'!$B$13,Paramètres!$A$1:$I$89,3,0)*0.475*44/12</f>
        <v>34.032353972581852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71.606529646923391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68.016800235358346</v>
      </c>
      <c r="DU31" s="59">
        <f t="shared" si="44"/>
        <v>311.30433899203405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34.740713246440372</v>
      </c>
      <c r="EB31" s="21">
        <f>EXP(-LN(2)/25)*EB30+(1-EXP(-LN(2)/25))/(LN(2)/25)*Calculateur!DW31*Calculateur!DY31*VLOOKUP('Données projet'!$B$14,Paramètres!$A$1:$I$89,3,0)*0.475*44/12</f>
        <v>31.465979738583883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66.206692985024262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515.73067222186751</v>
      </c>
      <c r="S32" s="59">
        <f ca="1">AVERAGE(OFFSET($R$3,0,0,'Données projet'!$E$9+1,1))-AVERAGE(OFFSET($H$3,0,0,'Données projet'!$E$9+1,1))</f>
        <v>439.06700232017681</v>
      </c>
      <c r="T32" s="59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9">
        <f t="shared" si="5"/>
        <v>542.01877874665877</v>
      </c>
      <c r="AN32" s="59">
        <f ca="1">AVERAGE(OFFSET($AM$3,0,0,'Données projet'!$E$10+1,1))-AVERAGE(OFFSET($H$3,0,0,'Données projet'!$E$10+1,1))</f>
        <v>487.04124684635974</v>
      </c>
      <c r="AO32" s="59">
        <f t="shared" si="36"/>
        <v>306.61893266146666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14.8</v>
      </c>
      <c r="BD32" s="12">
        <f>IF('Données projet'!$A$88&gt;35,BD31+BC32-BL31,IF(A32&lt;'Données projet'!$A$88,$BA$205^A32,IF(A32='Données projet'!$A$88,'Données projet'!$B$88,BD31+BC32-BL31)))</f>
        <v>189.20000000000002</v>
      </c>
      <c r="BE32" s="13">
        <f>BD32*VLOOKUP('Données projet'!$B$11,Paramètres!$A$1:$I$89,3,0)*VLOOKUP('Données projet'!$B$11,Paramètres!$A$1:$I$89,5,0)</f>
        <v>197.75184000000004</v>
      </c>
      <c r="BF32" s="13">
        <f t="shared" si="37"/>
        <v>49.249765609502894</v>
      </c>
      <c r="BG32" s="20">
        <f t="shared" si="7"/>
        <v>430.19446310321763</v>
      </c>
      <c r="BH32" s="59">
        <f t="shared" si="8"/>
        <v>722.30557421432877</v>
      </c>
      <c r="BI32" s="59">
        <f ca="1">AVERAGE(OFFSET($BH$3,0,0,'Données projet'!$E$11+1,1))-AVERAGE(OFFSET($H$3,0,0,'Données projet'!$E$11+1,1))</f>
        <v>356.31271939877655</v>
      </c>
      <c r="BJ32" s="59">
        <f t="shared" si="38"/>
        <v>499.70544707812991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2.3867936985787139</v>
      </c>
      <c r="BQ32" s="21">
        <f>EXP(-LN(2)/25)*BQ31+(1-EXP(-LN(2)/25))/(LN(2)/25)*Calculateur!BL32*Calculateur!BN32*VLOOKUP('Données projet'!$B$11,Paramètres!$A$1:$I$89,3,0)*0.475*44/12</f>
        <v>4.606490171427958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6.993283870006672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15.142857142857142</v>
      </c>
      <c r="BY32" s="12">
        <f>IF('Données projet'!$A$114&gt;35,BY31+BX32-CG31,IF(A32&lt;'Données projet'!$A$114,$BV$205^A32,IF(A32='Données projet'!$A$114,'Données projet'!$B$114,BY31+BX32-CG31)))</f>
        <v>253.85714285714286</v>
      </c>
      <c r="BZ32" s="13">
        <f>BY32*VLOOKUP('Données projet'!$B$12,Paramètres!$A$1:$I$89,3,0)*VLOOKUP('Données projet'!$B$12,Paramètres!$A$1:$I$89,5,0)</f>
        <v>151.80657142857146</v>
      </c>
      <c r="CA32" s="13">
        <f t="shared" si="39"/>
        <v>38.988848967460292</v>
      </c>
      <c r="CB32" s="20">
        <f t="shared" si="10"/>
        <v>332.30202385642195</v>
      </c>
      <c r="CC32" s="59">
        <f t="shared" si="11"/>
        <v>624.4131349675331</v>
      </c>
      <c r="CD32" s="59">
        <f ca="1">AVERAGE(OFFSET($CC$3,0,0,'Données projet'!$E$12+1,1))-AVERAGE(OFFSET($H$3,0,0,'Données projet'!$E$12+1,1))</f>
        <v>195.80903373714432</v>
      </c>
      <c r="CE32" s="59">
        <f t="shared" si="40"/>
        <v>388.30721786668977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8.890057691087204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3.1934114960060302</v>
      </c>
      <c r="CN32" s="22">
        <f t="shared" si="12"/>
        <v>12.083469187093234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72.638639486636521</v>
      </c>
      <c r="CZ32" s="59">
        <f t="shared" si="42"/>
        <v>334.50638815329404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36.837369007351903</v>
      </c>
      <c r="DG32" s="21">
        <f>EXP(-LN(2)/25)*DG31+(1-EXP(-LN(2)/25))/(LN(2)/25)*Calculateur!DB32*Calculateur!DD32*VLOOKUP('Données projet'!$B$13,Paramètres!$A$1:$I$89,3,0)*0.475*44/12</f>
        <v>33.101737463517885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69.939106470869788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68.016800235358346</v>
      </c>
      <c r="DU32" s="59">
        <f t="shared" si="44"/>
        <v>311.30433899203405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34.059469049420443</v>
      </c>
      <c r="EB32" s="21">
        <f>EXP(-LN(2)/25)*EB31+(1-EXP(-LN(2)/25))/(LN(2)/25)*Calculateur!DW32*Calculateur!DY32*VLOOKUP('Données projet'!$B$14,Paramètres!$A$1:$I$89,3,0)*0.475*44/12</f>
        <v>30.605540867908349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64.665009917328788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439.06700232017681</v>
      </c>
      <c r="T33" s="59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9">
        <f t="shared" si="5"/>
        <v>563.28559932813334</v>
      </c>
      <c r="AN33" s="59">
        <f ca="1">AVERAGE(OFFSET($AM$3,0,0,'Données projet'!$E$10+1,1))-AVERAGE(OFFSET($H$3,0,0,'Données projet'!$E$10+1,1))</f>
        <v>487.04124684635974</v>
      </c>
      <c r="AO33" s="59">
        <f t="shared" si="36"/>
        <v>306.61893266146666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204</v>
      </c>
      <c r="BB33" s="12">
        <f>VLOOKUP(A33,'Données projet'!$A$87:$I$107,9,0)</f>
        <v>14.8</v>
      </c>
      <c r="BC33" s="12">
        <f t="array" ref="BC33">INDEX(BB:BB,MIN(IF(ISNUMBER(BB33:BB229),ROW(BB33:BB229),"")))</f>
        <v>14.8</v>
      </c>
      <c r="BD33" s="12">
        <f>IF('Données projet'!$A$88&gt;35,BD32+BC33-BL32,IF(A33&lt;'Données projet'!$A$88,$BA$205^A33,IF(A33='Données projet'!$A$88,'Données projet'!$B$88,BD32+BC33-BL32)))</f>
        <v>204.00000000000003</v>
      </c>
      <c r="BE33" s="13">
        <f>BD33*VLOOKUP('Données projet'!$B$11,Paramètres!$A$1:$I$89,3,0)*VLOOKUP('Données projet'!$B$11,Paramètres!$A$1:$I$89,5,0)</f>
        <v>213.22080000000005</v>
      </c>
      <c r="BF33" s="13">
        <f t="shared" si="37"/>
        <v>52.638786839117614</v>
      </c>
      <c r="BG33" s="20">
        <f t="shared" si="7"/>
        <v>463.03878041146328</v>
      </c>
      <c r="BH33" s="59">
        <f t="shared" si="8"/>
        <v>756.37211374479659</v>
      </c>
      <c r="BI33" s="59">
        <f ca="1">AVERAGE(OFFSET($BH$3,0,0,'Données projet'!$E$11+1,1))-AVERAGE(OFFSET($H$3,0,0,'Données projet'!$E$11+1,1))</f>
        <v>356.31271939877655</v>
      </c>
      <c r="BJ33" s="59">
        <f t="shared" si="38"/>
        <v>499.70544707812991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51</v>
      </c>
      <c r="BM33" s="16">
        <f>IF(ISNA(VLOOKUP(A33,'Données projet'!$A$87:$I$107,5,0)),0%,VLOOKUP(A33,'Données projet'!$A$87:$I$107,5,0)*VLOOKUP('Données projet'!$B$11,Paramètres!$A$1:$I$89,7,0))</f>
        <v>8.6000000000000007E-2</v>
      </c>
      <c r="BN33" s="16">
        <f>IF(ISNA(VLOOKUP(A33,'Données projet'!$A$87:$I$107,6,0)),0%,VLOOKUP(A33,'Données projet'!$A$87:$I$107,6,0)*VLOOKUP('Données projet'!$B$11,Paramètres!$A$1:$I$89,7,0))</f>
        <v>8.6000000000000007E-2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7.4077396220068579</v>
      </c>
      <c r="BQ33" s="21">
        <f>EXP(-LN(2)/25)*BQ32+(1-EXP(-LN(2)/25))/(LN(2)/25)*Calculateur!BL33*Calculateur!BN33*VLOOKUP('Données projet'!$B$11,Paramètres!$A$1:$I$89,3,0)*0.475*44/12</f>
        <v>9.5283212867881666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16.936060908795024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269</v>
      </c>
      <c r="BW33" s="12">
        <f>VLOOKUP(A33,'Données projet'!$A$113:$I$133,9,0)</f>
        <v>15.142857142857142</v>
      </c>
      <c r="BX33" s="12">
        <f t="array" ref="BX33">INDEX(BW:BW,MIN(IF(ISNUMBER(BW33:BW229),ROW(BW33:BW229),"")))</f>
        <v>15.142857142857142</v>
      </c>
      <c r="BY33" s="12">
        <f>IF('Données projet'!$A$114&gt;35,BY32+BX33-CG32,IF(A33&lt;'Données projet'!$A$114,$BV$205^A33,IF(A33='Données projet'!$A$114,'Données projet'!$B$114,BY32+BX33-CG32)))</f>
        <v>269</v>
      </c>
      <c r="BZ33" s="13">
        <f>BY33*VLOOKUP('Données projet'!$B$12,Paramètres!$A$1:$I$89,3,0)*VLOOKUP('Données projet'!$B$12,Paramètres!$A$1:$I$89,5,0)</f>
        <v>160.86200000000002</v>
      </c>
      <c r="CA33" s="13">
        <f t="shared" si="39"/>
        <v>41.03688107178359</v>
      </c>
      <c r="CB33" s="20">
        <f t="shared" si="10"/>
        <v>351.64055120002314</v>
      </c>
      <c r="CC33" s="59">
        <f t="shared" si="11"/>
        <v>644.97388453335645</v>
      </c>
      <c r="CD33" s="59">
        <f ca="1">AVERAGE(OFFSET($CC$3,0,0,'Données projet'!$E$12+1,1))-AVERAGE(OFFSET($H$3,0,0,'Données projet'!$E$12+1,1))</f>
        <v>195.80903373714432</v>
      </c>
      <c r="CE33" s="59">
        <f t="shared" si="40"/>
        <v>388.30721786668977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8.7157290821647582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2.2580829239449414</v>
      </c>
      <c r="CN33" s="22">
        <f t="shared" si="12"/>
        <v>10.9738120061097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72.638639486636521</v>
      </c>
      <c r="CZ33" s="59">
        <f t="shared" si="42"/>
        <v>334.50638815329404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36.115010669694236</v>
      </c>
      <c r="DG33" s="21">
        <f>EXP(-LN(2)/25)*DG32+(1-EXP(-LN(2)/25))/(LN(2)/25)*Calculateur!DB33*Calculateur!DD33*VLOOKUP('Données projet'!$B$13,Paramètres!$A$1:$I$89,3,0)*0.475*44/12</f>
        <v>32.196568711833272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68.311579381527508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68.016800235358346</v>
      </c>
      <c r="DU33" s="59">
        <f t="shared" si="44"/>
        <v>311.30433899203405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33.391583635586144</v>
      </c>
      <c r="EB33" s="21">
        <f>EXP(-LN(2)/25)*EB32+(1-EXP(-LN(2)/25))/(LN(2)/25)*Calculateur!DW33*Calculateur!DY33*VLOOKUP('Données projet'!$B$14,Paramètres!$A$1:$I$89,3,0)*0.475*44/12</f>
        <v>29.76863074339995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63.160214378986097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439.06700232017681</v>
      </c>
      <c r="T34" s="59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9">
        <f t="shared" si="5"/>
        <v>525.78129848492142</v>
      </c>
      <c r="AN34" s="59">
        <f ca="1">AVERAGE(OFFSET($AM$3,0,0,'Données projet'!$E$10+1,1))-AVERAGE(OFFSET($H$3,0,0,'Données projet'!$E$10+1,1))</f>
        <v>487.04124684635974</v>
      </c>
      <c r="AO34" s="59">
        <f t="shared" si="36"/>
        <v>306.61893266146666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13.6</v>
      </c>
      <c r="BD34" s="12">
        <f>IF('Données projet'!$A$88&gt;35,BD33+BC34-BL33,IF(A34&lt;'Données projet'!$A$88,$BA$205^A34,IF(A34='Données projet'!$A$88,'Données projet'!$B$88,BD33+BC34-BL33)))</f>
        <v>166.60000000000002</v>
      </c>
      <c r="BE34" s="13">
        <f>BD34*VLOOKUP('Données projet'!$B$11,Paramètres!$A$1:$I$89,3,0)*VLOOKUP('Données projet'!$B$11,Paramètres!$A$1:$I$89,5,0)</f>
        <v>174.13032000000004</v>
      </c>
      <c r="BF34" s="13">
        <f t="shared" si="37"/>
        <v>44.013781492418865</v>
      </c>
      <c r="BG34" s="20">
        <f t="shared" si="7"/>
        <v>379.93431009929628</v>
      </c>
      <c r="BH34" s="59">
        <f t="shared" si="8"/>
        <v>673.2676434326296</v>
      </c>
      <c r="BI34" s="59">
        <f ca="1">AVERAGE(OFFSET($BH$3,0,0,'Données projet'!$E$11+1,1))-AVERAGE(OFFSET($H$3,0,0,'Données projet'!$E$11+1,1))</f>
        <v>356.31271939877655</v>
      </c>
      <c r="BJ34" s="59">
        <f t="shared" si="38"/>
        <v>499.70544707812991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7.2624783662943306</v>
      </c>
      <c r="BQ34" s="21">
        <f>EXP(-LN(2)/25)*BQ33+(1-EXP(-LN(2)/25))/(LN(2)/25)*Calculateur!BL34*Calculateur!BN34*VLOOKUP('Données projet'!$B$11,Paramètres!$A$1:$I$89,3,0)*0.475*44/12</f>
        <v>9.2677688401283049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16.530247206422636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</v>
      </c>
      <c r="BY34" s="12">
        <f>IF('Données projet'!$A$114&gt;35,BY33+BX34-CG33,IF(A34&lt;'Données projet'!$A$114,$BV$205^A34,IF(A34='Données projet'!$A$114,'Données projet'!$B$114,BY33+BX34-CG33)))</f>
        <v>283</v>
      </c>
      <c r="BZ34" s="13">
        <f>BY34*VLOOKUP('Données projet'!$B$12,Paramètres!$A$1:$I$89,3,0)*VLOOKUP('Données projet'!$B$12,Paramètres!$A$1:$I$89,5,0)</f>
        <v>169.23400000000001</v>
      </c>
      <c r="CA34" s="13">
        <f t="shared" si="39"/>
        <v>42.918420001269354</v>
      </c>
      <c r="CB34" s="20">
        <f t="shared" si="10"/>
        <v>369.4987981688775</v>
      </c>
      <c r="CC34" s="59">
        <f t="shared" si="11"/>
        <v>662.83213150221081</v>
      </c>
      <c r="CD34" s="59">
        <f ca="1">AVERAGE(OFFSET($CC$3,0,0,'Données projet'!$E$12+1,1))-AVERAGE(OFFSET($H$3,0,0,'Données projet'!$E$12+1,1))</f>
        <v>195.80903373714432</v>
      </c>
      <c r="CE34" s="59">
        <f t="shared" si="40"/>
        <v>388.30721786668977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8.5448189509333297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1.5967057480030151</v>
      </c>
      <c r="CN34" s="22">
        <f t="shared" si="12"/>
        <v>10.141524698936344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72.638639486636521</v>
      </c>
      <c r="CZ34" s="59">
        <f t="shared" si="42"/>
        <v>334.50638815329404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35.406817338442956</v>
      </c>
      <c r="DG34" s="21">
        <f>EXP(-LN(2)/25)*DG33+(1-EXP(-LN(2)/25))/(LN(2)/25)*Calculateur!DB34*Calculateur!DD34*VLOOKUP('Données projet'!$B$13,Paramètres!$A$1:$I$89,3,0)*0.475*44/12</f>
        <v>31.31615184726423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66.722969185707186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68.016800235358346</v>
      </c>
      <c r="DU34" s="59">
        <f t="shared" si="44"/>
        <v>311.30433899203405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32.736795047347258</v>
      </c>
      <c r="EB34" s="21">
        <f>EXP(-LN(2)/25)*EB33+(1-EXP(-LN(2)/25))/(LN(2)/25)*Calculateur!DW34*Calculateur!DY34*VLOOKUP('Données projet'!$B$14,Paramètres!$A$1:$I$89,3,0)*0.475*44/12</f>
        <v>28.954605970257425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61.691401017604683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439.06700232017681</v>
      </c>
      <c r="T35" s="59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549.34525127096185</v>
      </c>
      <c r="AN35" s="59">
        <f ca="1">AVERAGE(OFFSET($AM$3,0,0,'Données projet'!$E$10+1,1))-AVERAGE(OFFSET($H$3,0,0,'Données projet'!$E$10+1,1))</f>
        <v>487.04124684635974</v>
      </c>
      <c r="AO35" s="59">
        <f t="shared" si="36"/>
        <v>306.61893266146666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13.6</v>
      </c>
      <c r="BD35" s="12">
        <f>IF('Données projet'!$A$88&gt;35,BD34+BC35-BL34,IF(A35&lt;'Données projet'!$A$88,$BA$205^A35,IF(A35='Données projet'!$A$88,'Données projet'!$B$88,BD34+BC35-BL34)))</f>
        <v>180.20000000000002</v>
      </c>
      <c r="BE35" s="13">
        <f>BD35*VLOOKUP('Données projet'!$B$11,Paramètres!$A$1:$I$89,3,0)*VLOOKUP('Données projet'!$B$11,Paramètres!$A$1:$I$89,5,0)</f>
        <v>188.34504000000004</v>
      </c>
      <c r="BF35" s="13">
        <f t="shared" si="37"/>
        <v>47.173878605210611</v>
      </c>
      <c r="BG35" s="20">
        <f t="shared" si="7"/>
        <v>410.19544990407513</v>
      </c>
      <c r="BH35" s="59">
        <f t="shared" si="8"/>
        <v>703.52878323740845</v>
      </c>
      <c r="BI35" s="59">
        <f ca="1">AVERAGE(OFFSET($BH$3,0,0,'Données projet'!$E$11+1,1))-AVERAGE(OFFSET($H$3,0,0,'Données projet'!$E$11+1,1))</f>
        <v>356.31271939877655</v>
      </c>
      <c r="BJ35" s="59">
        <f t="shared" si="38"/>
        <v>499.70544707812991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7.1200655952057081</v>
      </c>
      <c r="BQ35" s="21">
        <f>EXP(-LN(2)/25)*BQ34+(1-EXP(-LN(2)/25))/(LN(2)/25)*Calculateur!BL35*Calculateur!BN35*VLOOKUP('Données projet'!$B$11,Paramètres!$A$1:$I$89,3,0)*0.475*44/12</f>
        <v>9.0143412138242152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16.134406809029922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</v>
      </c>
      <c r="BY35" s="12">
        <f>IF('Données projet'!$A$114&gt;35,BY34+BX35-CG34,IF(A35&lt;'Données projet'!$A$114,$BV$205^A35,IF(A35='Données projet'!$A$114,'Données projet'!$B$114,BY34+BX35-CG34)))</f>
        <v>297</v>
      </c>
      <c r="BZ35" s="13">
        <f>BY35*VLOOKUP('Données projet'!$B$12,Paramètres!$A$1:$I$89,3,0)*VLOOKUP('Données projet'!$B$12,Paramètres!$A$1:$I$89,5,0)</f>
        <v>177.60600000000002</v>
      </c>
      <c r="CA35" s="13">
        <f t="shared" si="39"/>
        <v>44.789150937858665</v>
      </c>
      <c r="CB35" s="20">
        <f t="shared" si="10"/>
        <v>387.33822121677053</v>
      </c>
      <c r="CC35" s="59">
        <f t="shared" si="11"/>
        <v>680.67155455010379</v>
      </c>
      <c r="CD35" s="59">
        <f ca="1">AVERAGE(OFFSET($CC$3,0,0,'Données projet'!$E$12+1,1))-AVERAGE(OFFSET($H$3,0,0,'Données projet'!$E$12+1,1))</f>
        <v>195.80903373714432</v>
      </c>
      <c r="CE35" s="59">
        <f t="shared" si="40"/>
        <v>388.30721786668977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8.3772602631304629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1.1290414619724707</v>
      </c>
      <c r="CN35" s="22">
        <f t="shared" si="12"/>
        <v>9.5063017251029329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72.638639486636521</v>
      </c>
      <c r="CZ35" s="59">
        <f t="shared" si="42"/>
        <v>334.50638815329404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34.712511246462235</v>
      </c>
      <c r="DG35" s="21">
        <f>EXP(-LN(2)/25)*DG34+(1-EXP(-LN(2)/25))/(LN(2)/25)*Calculateur!DB35*Calculateur!DD35*VLOOKUP('Données projet'!$B$13,Paramètres!$A$1:$I$89,3,0)*0.475*44/12</f>
        <v>30.459810028155939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65.17232127461817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68.016800235358346</v>
      </c>
      <c r="DU35" s="59">
        <f t="shared" si="44"/>
        <v>311.30433899203405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32.094846463942133</v>
      </c>
      <c r="EB35" s="21">
        <f>EXP(-LN(2)/25)*EB34+(1-EXP(-LN(2)/25))/(LN(2)/25)*Calculateur!DW35*Calculateur!DY35*VLOOKUP('Données projet'!$B$14,Paramètres!$A$1:$I$89,3,0)*0.475*44/12</f>
        <v>28.162840747344184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60.257687211286317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439.06700232017681</v>
      </c>
      <c r="T36" s="59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572.86013627657894</v>
      </c>
      <c r="AN36" s="59">
        <f ca="1">AVERAGE(OFFSET($AM$3,0,0,'Données projet'!$E$10+1,1))-AVERAGE(OFFSET($H$3,0,0,'Données projet'!$E$10+1,1))</f>
        <v>487.04124684635974</v>
      </c>
      <c r="AO36" s="59">
        <f t="shared" si="36"/>
        <v>306.61893266146666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13.6</v>
      </c>
      <c r="BD36" s="12">
        <f>IF('Données projet'!$A$88&gt;35,BD35+BC36-BL35,IF(A36&lt;'Données projet'!$A$88,$BA$205^A36,IF(A36='Données projet'!$A$88,'Données projet'!$B$88,BD35+BC36-BL35)))</f>
        <v>193.8</v>
      </c>
      <c r="BE36" s="13">
        <f>BD36*VLOOKUP('Données projet'!$B$11,Paramètres!$A$1:$I$89,3,0)*VLOOKUP('Données projet'!$B$11,Paramètres!$A$1:$I$89,5,0)</f>
        <v>202.55976000000001</v>
      </c>
      <c r="BF36" s="13">
        <f t="shared" si="37"/>
        <v>50.306308435844208</v>
      </c>
      <c r="BG36" s="20">
        <f t="shared" si="7"/>
        <v>440.40840252576203</v>
      </c>
      <c r="BH36" s="59">
        <f t="shared" si="8"/>
        <v>733.74173585909534</v>
      </c>
      <c r="BI36" s="59">
        <f ca="1">AVERAGE(OFFSET($BH$3,0,0,'Données projet'!$E$11+1,1))-AVERAGE(OFFSET($H$3,0,0,'Données projet'!$E$11+1,1))</f>
        <v>356.31271939877655</v>
      </c>
      <c r="BJ36" s="59">
        <f t="shared" si="38"/>
        <v>499.70544707812991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6.9804454516949201</v>
      </c>
      <c r="BQ36" s="21">
        <f>EXP(-LN(2)/25)*BQ35+(1-EXP(-LN(2)/25))/(LN(2)/25)*Calculateur!BL36*Calculateur!BN36*VLOOKUP('Données projet'!$B$11,Paramètres!$A$1:$I$89,3,0)*0.475*44/12</f>
        <v>8.7678435792885896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15.748289030983511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</v>
      </c>
      <c r="BY36" s="12">
        <f>IF('Données projet'!$A$114&gt;35,BY35+BX36-CG35,IF(A36&lt;'Données projet'!$A$114,$BV$205^A36,IF(A36='Données projet'!$A$114,'Données projet'!$B$114,BY35+BX36-CG35)))</f>
        <v>311</v>
      </c>
      <c r="BZ36" s="13">
        <f>BY36*VLOOKUP('Données projet'!$B$12,Paramètres!$A$1:$I$89,3,0)*VLOOKUP('Données projet'!$B$12,Paramètres!$A$1:$I$89,5,0)</f>
        <v>185.97800000000001</v>
      </c>
      <c r="CA36" s="13">
        <f t="shared" si="39"/>
        <v>46.649641523668571</v>
      </c>
      <c r="CB36" s="20">
        <f t="shared" si="10"/>
        <v>405.15980898705612</v>
      </c>
      <c r="CC36" s="59">
        <f t="shared" si="11"/>
        <v>698.49314232038944</v>
      </c>
      <c r="CD36" s="59">
        <f ca="1">AVERAGE(OFFSET($CC$3,0,0,'Données projet'!$E$12+1,1))-AVERAGE(OFFSET($H$3,0,0,'Données projet'!$E$12+1,1))</f>
        <v>195.80903373714432</v>
      </c>
      <c r="CE36" s="59">
        <f t="shared" si="40"/>
        <v>388.30721786668977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8.212987298994701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0.79835287400150756</v>
      </c>
      <c r="CN36" s="22">
        <f t="shared" si="12"/>
        <v>9.0113401729962082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72.638639486636521</v>
      </c>
      <c r="CZ36" s="59">
        <f t="shared" si="42"/>
        <v>334.50638815329404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34.031820073460359</v>
      </c>
      <c r="DG36" s="21">
        <f>EXP(-LN(2)/25)*DG35+(1-EXP(-LN(2)/25))/(LN(2)/25)*Calculateur!DB36*Calculateur!DD36*VLOOKUP('Données projet'!$B$13,Paramètres!$A$1:$I$89,3,0)*0.475*44/12</f>
        <v>29.626884921124223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63.658704994584582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68.016800235358346</v>
      </c>
      <c r="DU36" s="59">
        <f t="shared" si="44"/>
        <v>311.30433899203405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31.465486100707608</v>
      </c>
      <c r="EB36" s="21">
        <f>EXP(-LN(2)/25)*EB35+(1-EXP(-LN(2)/25))/(LN(2)/25)*Calculateur!DW36*Calculateur!DY36*VLOOKUP('Données projet'!$B$14,Paramètres!$A$1:$I$89,3,0)*0.475*44/12</f>
        <v>27.392726386088629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58.858212486796234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439.06700232017681</v>
      </c>
      <c r="T37" s="59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487.04124684635974</v>
      </c>
      <c r="AO37" s="59">
        <f t="shared" si="36"/>
        <v>306.61893266146666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13.6</v>
      </c>
      <c r="BD37" s="12">
        <f>IF('Données projet'!$A$88&gt;35,BD36+BC37-BL36,IF(A37&lt;'Données projet'!$A$88,$BA$205^A37,IF(A37='Données projet'!$A$88,'Données projet'!$B$88,BD36+BC37-BL36)))</f>
        <v>207.4</v>
      </c>
      <c r="BE37" s="13">
        <f>BD37*VLOOKUP('Données projet'!$B$11,Paramètres!$A$1:$I$89,3,0)*VLOOKUP('Données projet'!$B$11,Paramètres!$A$1:$I$89,5,0)</f>
        <v>216.77448000000001</v>
      </c>
      <c r="BF37" s="13">
        <f t="shared" si="37"/>
        <v>53.41323339156682</v>
      </c>
      <c r="BG37" s="20">
        <f t="shared" si="7"/>
        <v>470.57693415697889</v>
      </c>
      <c r="BH37" s="59">
        <f t="shared" si="8"/>
        <v>763.91026749031221</v>
      </c>
      <c r="BI37" s="59">
        <f ca="1">AVERAGE(OFFSET($BH$3,0,0,'Données projet'!$E$11+1,1))-AVERAGE(OFFSET($H$3,0,0,'Données projet'!$E$11+1,1))</f>
        <v>356.31271939877655</v>
      </c>
      <c r="BJ37" s="59">
        <f t="shared" si="38"/>
        <v>499.70544707812991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6.8435631740385006</v>
      </c>
      <c r="BQ37" s="21">
        <f>EXP(-LN(2)/25)*BQ36+(1-EXP(-LN(2)/25))/(LN(2)/25)*Calculateur!BL37*Calculateur!BN37*VLOOKUP('Données projet'!$B$11,Paramètres!$A$1:$I$89,3,0)*0.475*44/12</f>
        <v>8.5280864355320887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15.371649609570589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325</v>
      </c>
      <c r="BW37" s="12">
        <f>VLOOKUP(A37,'Données projet'!$A$113:$I$133,9,0)</f>
        <v>14</v>
      </c>
      <c r="BX37" s="12">
        <f t="array" ref="BX37">INDEX(BW:BW,MIN(IF(ISNUMBER(BW37:BW233),ROW(BW37:BW233),"")))</f>
        <v>14</v>
      </c>
      <c r="BY37" s="12">
        <f>IF('Données projet'!$A$114&gt;35,BY36+BX37-CG36,IF(A37&lt;'Données projet'!$A$114,$BV$205^A37,IF(A37='Données projet'!$A$114,'Données projet'!$B$114,BY36+BX37-CG36)))</f>
        <v>325</v>
      </c>
      <c r="BZ37" s="13">
        <f>BY37*VLOOKUP('Données projet'!$B$12,Paramètres!$A$1:$I$89,3,0)*VLOOKUP('Données projet'!$B$12,Paramètres!$A$1:$I$89,5,0)</f>
        <v>194.35</v>
      </c>
      <c r="CA37" s="13">
        <f t="shared" si="39"/>
        <v>48.500405405690429</v>
      </c>
      <c r="CB37" s="20">
        <f t="shared" si="10"/>
        <v>422.96445608157745</v>
      </c>
      <c r="CC37" s="59">
        <f t="shared" si="11"/>
        <v>716.29778941491077</v>
      </c>
      <c r="CD37" s="59">
        <f ca="1">AVERAGE(OFFSET($CC$3,0,0,'Données projet'!$E$12+1,1))-AVERAGE(OFFSET($H$3,0,0,'Données projet'!$E$12+1,1))</f>
        <v>195.80903373714432</v>
      </c>
      <c r="CE37" s="59">
        <f t="shared" si="40"/>
        <v>388.30721786668977</v>
      </c>
      <c r="CF37" s="15">
        <f>IF(ISNA(VLOOKUP(A37,'Données projet'!$A$113:$I$133,3,0)),0,VLOOKUP(A37,'Données projet'!$A$113:$I$133,3,0))</f>
        <v>5</v>
      </c>
      <c r="CG37" s="15">
        <f>IF(ISNA(VLOOKUP(A37,'Données projet'!$A$113:$I$133,4,0)),0,VLOOKUP(A37,'Données projet'!$A$113:$I$133,4,0))</f>
        <v>325</v>
      </c>
      <c r="CH37" s="16">
        <f>IF(ISNA(VLOOKUP(A37,'Données projet'!$A$113:$I$133,5,0)),0%,VLOOKUP(A37,'Données projet'!$A$113:$I$133,5,0)*VLOOKUP('Données projet'!$B$12,Paramètres!$A$1:$I$89,7,0))</f>
        <v>0.18000000000000002</v>
      </c>
      <c r="CI37" s="16">
        <f>IF(ISNA(VLOOKUP(A37,'Données projet'!$A$113:$I$133,6,0)),0%,VLOOKUP(A37,'Données projet'!$A$113:$I$133,6,0)*VLOOKUP('Données projet'!$B$12,Paramètres!$A$1:$I$89,7,0))</f>
        <v>0.18000000000000002</v>
      </c>
      <c r="CJ37" s="16">
        <f>IF(ISNA(VLOOKUP(A37,'Données projet'!$A$113:$I$133,7,0)),0%,VLOOKUP(A37,'Données projet'!$A$113:$I$133,7,0))</f>
        <v>0.2</v>
      </c>
      <c r="CK37" s="21">
        <f>EXP(-LN(2)/35)*CK36+(1-EXP(-LN(2)/35))/(LN(2)/35)*CG37*CH37*VLOOKUP('Données projet'!$B$12,Paramètres!$A$1:$I$89,3,0)*0.475*44/12</f>
        <v>54.45913997213048</v>
      </c>
      <c r="CL37" s="21">
        <f>EXP(-LN(2)/25)*CL36+(1-EXP(-LN(2)/25))/(LN(2)/25)*Calculateur!CG37*Calculateur!CI37*VLOOKUP('Données projet'!$B$12,Paramètres!$A$1:$I$89,3,0)*0.475*44/12</f>
        <v>46.224481498605449</v>
      </c>
      <c r="CM37" s="21">
        <f>EXP(-LN(2)/2)*CM36+(1-EXP(-LN(2)/2))/(LN(2)/2)*CG37*CJ37*VLOOKUP('Données projet'!$B$12,Paramètres!$A$1:$I$89,3,0)*0.475*44/12</f>
        <v>44.574390135839977</v>
      </c>
      <c r="CN37" s="22">
        <f t="shared" si="12"/>
        <v>145.25801160657591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72.638639486636521</v>
      </c>
      <c r="CZ37" s="59">
        <f t="shared" si="42"/>
        <v>334.50638815329404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33.364476839180426</v>
      </c>
      <c r="DG37" s="21">
        <f>EXP(-LN(2)/25)*DG36+(1-EXP(-LN(2)/25))/(LN(2)/25)*Calculateur!DB37*Calculateur!DD37*VLOOKUP('Données projet'!$B$13,Paramètres!$A$1:$I$89,3,0)*0.475*44/12</f>
        <v>28.816736194945914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62.181213034126344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68.016800235358346</v>
      </c>
      <c r="DU37" s="59">
        <f t="shared" si="44"/>
        <v>311.30433899203405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30.848467110324197</v>
      </c>
      <c r="EB37" s="21">
        <f>EXP(-LN(2)/25)*EB36+(1-EXP(-LN(2)/25))/(LN(2)/25)*Calculateur!DW37*Calculateur!DY37*VLOOKUP('Données projet'!$B$14,Paramètres!$A$1:$I$89,3,0)*0.475*44/12</f>
        <v>26.64367084254016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57.492137952864354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439.06700232017681</v>
      </c>
      <c r="T38" s="59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9">
        <f t="shared" si="5"/>
        <v>619.76073976419514</v>
      </c>
      <c r="AN38" s="59">
        <f ca="1">AVERAGE(OFFSET($AM$3,0,0,'Données projet'!$E$10+1,1))-AVERAGE(OFFSET($H$3,0,0,'Données projet'!$E$10+1,1))</f>
        <v>487.04124684635974</v>
      </c>
      <c r="AO38" s="59">
        <f t="shared" si="36"/>
        <v>306.61893266146666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221</v>
      </c>
      <c r="BB38" s="12">
        <f>VLOOKUP(A38,'Données projet'!$A$87:$I$107,9,0)</f>
        <v>13.6</v>
      </c>
      <c r="BC38" s="12">
        <f t="array" ref="BC38">INDEX(BB:BB,MIN(IF(ISNUMBER(BB38:BB234),ROW(BB38:BB234),"")))</f>
        <v>13.6</v>
      </c>
      <c r="BD38" s="12">
        <f>IF('Données projet'!$A$88&gt;35,BD37+BC38-BL37,IF(A38&lt;'Données projet'!$A$88,$BA$205^A38,IF(A38='Données projet'!$A$88,'Données projet'!$B$88,BD37+BC38-BL37)))</f>
        <v>221</v>
      </c>
      <c r="BE38" s="13">
        <f>BD38*VLOOKUP('Données projet'!$B$11,Paramètres!$A$1:$I$89,3,0)*VLOOKUP('Données projet'!$B$11,Paramètres!$A$1:$I$89,5,0)</f>
        <v>230.98920000000004</v>
      </c>
      <c r="BF38" s="13">
        <f t="shared" si="37"/>
        <v>56.496516245657276</v>
      </c>
      <c r="BG38" s="20">
        <f t="shared" si="7"/>
        <v>500.70428912785314</v>
      </c>
      <c r="BH38" s="59">
        <f t="shared" si="8"/>
        <v>794.0376224611864</v>
      </c>
      <c r="BI38" s="59">
        <f ca="1">AVERAGE(OFFSET($BH$3,0,0,'Données projet'!$E$11+1,1))-AVERAGE(OFFSET($H$3,0,0,'Données projet'!$E$11+1,1))</f>
        <v>356.31271939877655</v>
      </c>
      <c r="BJ38" s="59">
        <f t="shared" si="38"/>
        <v>499.70544707812991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49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6.7093650743569775</v>
      </c>
      <c r="BQ38" s="21">
        <f>EXP(-LN(2)/25)*BQ37+(1-EXP(-LN(2)/25))/(LN(2)/25)*Calculateur!BL38*Calculateur!BN38*VLOOKUP('Données projet'!$B$11,Paramètres!$A$1:$I$89,3,0)*0.475*44/12</f>
        <v>8.2948854634798899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15.004250537836867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195.80903373714432</v>
      </c>
      <c r="CE38" s="59">
        <f t="shared" si="40"/>
        <v>388.30721786668977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53.391229454072494</v>
      </c>
      <c r="CL38" s="21">
        <f>EXP(-LN(2)/25)*CL37+(1-EXP(-LN(2)/25))/(LN(2)/25)*Calculateur!CG38*Calculateur!CI38*VLOOKUP('Données projet'!$B$12,Paramètres!$A$1:$I$89,3,0)*0.475*44/12</f>
        <v>44.960470621186246</v>
      </c>
      <c r="CM38" s="21">
        <f>EXP(-LN(2)/2)*CM37+(1-EXP(-LN(2)/2))/(LN(2)/2)*CG38*CJ38*VLOOKUP('Données projet'!$B$12,Paramètres!$A$1:$I$89,3,0)*0.475*44/12</f>
        <v>31.518853532307205</v>
      </c>
      <c r="CN38" s="22">
        <f t="shared" si="12"/>
        <v>129.87055360756597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72.638639486636521</v>
      </c>
      <c r="CZ38" s="59">
        <f t="shared" si="42"/>
        <v>334.50638815329404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32.710219798685543</v>
      </c>
      <c r="DG38" s="21">
        <f>EXP(-LN(2)/25)*DG37+(1-EXP(-LN(2)/25))/(LN(2)/25)*Calculateur!DB38*Calculateur!DD38*VLOOKUP('Données projet'!$B$13,Paramètres!$A$1:$I$89,3,0)*0.475*44/12</f>
        <v>28.028741028288824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60.738960826974363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68.016800235358346</v>
      </c>
      <c r="DU38" s="59">
        <f t="shared" si="44"/>
        <v>311.30433899203405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30.24354748599778</v>
      </c>
      <c r="EB38" s="21">
        <f>EXP(-LN(2)/25)*EB37+(1-EXP(-LN(2)/25))/(LN(2)/25)*Calculateur!DW38*Calculateur!DY38*VLOOKUP('Données projet'!$B$14,Paramètres!$A$1:$I$89,3,0)*0.475*44/12</f>
        <v>25.915098262221147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56.15864574821893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439.06700232017681</v>
      </c>
      <c r="T39" s="59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487.04124684635974</v>
      </c>
      <c r="AO39" s="59">
        <f t="shared" si="36"/>
        <v>306.61893266146666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12.2</v>
      </c>
      <c r="BD39" s="12">
        <f>IF('Données projet'!$A$88&gt;35,BD38+BC39-BL38,IF(A39&lt;'Données projet'!$A$88,$BA$205^A39,IF(A39='Données projet'!$A$88,'Données projet'!$B$88,BD38+BC39-BL38)))</f>
        <v>184.2</v>
      </c>
      <c r="BE39" s="13">
        <f>BD39*VLOOKUP('Données projet'!$B$11,Paramètres!$A$1:$I$89,3,0)*VLOOKUP('Données projet'!$B$11,Paramètres!$A$1:$I$89,5,0)</f>
        <v>192.52584000000002</v>
      </c>
      <c r="BF39" s="13">
        <f t="shared" si="37"/>
        <v>48.097950277474887</v>
      </c>
      <c r="BG39" s="20">
        <f t="shared" si="7"/>
        <v>419.08643473326879</v>
      </c>
      <c r="BH39" s="59">
        <f t="shared" si="8"/>
        <v>712.41976806660205</v>
      </c>
      <c r="BI39" s="59">
        <f ca="1">AVERAGE(OFFSET($BH$3,0,0,'Données projet'!$E$11+1,1))-AVERAGE(OFFSET($H$3,0,0,'Données projet'!$E$11+1,1))</f>
        <v>356.31271939877655</v>
      </c>
      <c r="BJ39" s="59">
        <f t="shared" si="38"/>
        <v>499.70544707812991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6.5777985175574507</v>
      </c>
      <c r="BQ39" s="21">
        <f>EXP(-LN(2)/25)*BQ38+(1-EXP(-LN(2)/25))/(LN(2)/25)*Calculateur!BL39*Calculateur!BN39*VLOOKUP('Données projet'!$B$11,Paramètres!$A$1:$I$89,3,0)*0.475*44/12</f>
        <v>8.0680613842719637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14.645859901829414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195.80903373714432</v>
      </c>
      <c r="CE39" s="59">
        <f t="shared" si="40"/>
        <v>388.30721786668977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52.344260009912531</v>
      </c>
      <c r="CL39" s="21">
        <f>EXP(-LN(2)/25)*CL38+(1-EXP(-LN(2)/25))/(LN(2)/25)*Calculateur!CG39*Calculateur!CI39*VLOOKUP('Données projet'!$B$12,Paramètres!$A$1:$I$89,3,0)*0.475*44/12</f>
        <v>43.73102418768152</v>
      </c>
      <c r="CM39" s="21">
        <f>EXP(-LN(2)/2)*CM38+(1-EXP(-LN(2)/2))/(LN(2)/2)*CG39*CJ39*VLOOKUP('Données projet'!$B$12,Paramètres!$A$1:$I$89,3,0)*0.475*44/12</f>
        <v>22.287195067919992</v>
      </c>
      <c r="CN39" s="22">
        <f t="shared" si="12"/>
        <v>118.36247926551404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72.638639486636521</v>
      </c>
      <c r="CZ39" s="59">
        <f t="shared" si="42"/>
        <v>334.50638815329404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32.068792339697374</v>
      </c>
      <c r="DG39" s="21">
        <f>EXP(-LN(2)/25)*DG38+(1-EXP(-LN(2)/25))/(LN(2)/25)*Calculateur!DB39*Calculateur!DD39*VLOOKUP('Données projet'!$B$13,Paramètres!$A$1:$I$89,3,0)*0.475*44/12</f>
        <v>27.262293630902835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59.331085970600213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68.016800235358346</v>
      </c>
      <c r="DU39" s="59">
        <f t="shared" si="44"/>
        <v>311.30433899203405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29.650489966539865</v>
      </c>
      <c r="EB39" s="21">
        <f>EXP(-LN(2)/25)*EB38+(1-EXP(-LN(2)/25))/(LN(2)/25)*Calculateur!DW39*Calculateur!DY39*VLOOKUP('Données projet'!$B$14,Paramètres!$A$1:$I$89,3,0)*0.475*44/12</f>
        <v>25.206448537424922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54.856938503964784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439.06700232017681</v>
      </c>
      <c r="T40" s="59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487.04124684635974</v>
      </c>
      <c r="AO40" s="59">
        <f t="shared" si="36"/>
        <v>306.61893266146666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12.2</v>
      </c>
      <c r="BD40" s="12">
        <f>IF('Données projet'!$A$88&gt;35,BD39+BC40-BL39,IF(A40&lt;'Données projet'!$A$88,$BA$205^A40,IF(A40='Données projet'!$A$88,'Données projet'!$B$88,BD39+BC40-BL39)))</f>
        <v>196.39999999999998</v>
      </c>
      <c r="BE40" s="13">
        <f>BD40*VLOOKUP('Données projet'!$B$11,Paramètres!$A$1:$I$89,3,0)*VLOOKUP('Données projet'!$B$11,Paramètres!$A$1:$I$89,5,0)</f>
        <v>205.27727999999999</v>
      </c>
      <c r="BF40" s="13">
        <f t="shared" si="37"/>
        <v>50.902190319943116</v>
      </c>
      <c r="BG40" s="20">
        <f t="shared" si="7"/>
        <v>446.17924414056756</v>
      </c>
      <c r="BH40" s="59">
        <f t="shared" si="8"/>
        <v>739.51257747390082</v>
      </c>
      <c r="BI40" s="59">
        <f ca="1">AVERAGE(OFFSET($BH$3,0,0,'Données projet'!$E$11+1,1))-AVERAGE(OFFSET($H$3,0,0,'Données projet'!$E$11+1,1))</f>
        <v>356.31271939877655</v>
      </c>
      <c r="BJ40" s="59">
        <f t="shared" si="38"/>
        <v>499.70544707812991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6.4488119006890869</v>
      </c>
      <c r="BQ40" s="21">
        <f>EXP(-LN(2)/25)*BQ39+(1-EXP(-LN(2)/25))/(LN(2)/25)*Calculateur!BL40*Calculateur!BN40*VLOOKUP('Données projet'!$B$11,Paramètres!$A$1:$I$89,3,0)*0.475*44/12</f>
        <v>7.8474398214381385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14.296251722127225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195.80903373714432</v>
      </c>
      <c r="CE40" s="59">
        <f t="shared" si="40"/>
        <v>388.30721786668977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51.31782099796424</v>
      </c>
      <c r="CL40" s="21">
        <f>EXP(-LN(2)/25)*CL39+(1-EXP(-LN(2)/25))/(LN(2)/25)*Calculateur!CG40*Calculateur!CI40*VLOOKUP('Données projet'!$B$12,Paramètres!$A$1:$I$89,3,0)*0.475*44/12</f>
        <v>42.535197031554752</v>
      </c>
      <c r="CM40" s="21">
        <f>EXP(-LN(2)/2)*CM39+(1-EXP(-LN(2)/2))/(LN(2)/2)*CG40*CJ40*VLOOKUP('Données projet'!$B$12,Paramètres!$A$1:$I$89,3,0)*0.475*44/12</f>
        <v>15.759426766153604</v>
      </c>
      <c r="CN40" s="22">
        <f t="shared" si="12"/>
        <v>109.6124447956726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72.638639486636521</v>
      </c>
      <c r="CZ40" s="59">
        <f t="shared" si="42"/>
        <v>334.50638815329404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31.439942881947843</v>
      </c>
      <c r="DG40" s="21">
        <f>EXP(-LN(2)/25)*DG39+(1-EXP(-LN(2)/25))/(LN(2)/25)*Calculateur!DB40*Calculateur!DD40*VLOOKUP('Données projet'!$B$13,Paramètres!$A$1:$I$89,3,0)*0.475*44/12</f>
        <v>26.516804777904085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57.956747659851928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68.016800235358346</v>
      </c>
      <c r="DU40" s="59">
        <f t="shared" si="44"/>
        <v>311.30433899203405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29.069061943309151</v>
      </c>
      <c r="EB40" s="21">
        <f>EXP(-LN(2)/25)*EB39+(1-EXP(-LN(2)/25))/(LN(2)/25)*Calculateur!DW40*Calculateur!DY40*VLOOKUP('Données projet'!$B$14,Paramètres!$A$1:$I$89,3,0)*0.475*44/12</f>
        <v>24.517176876619519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53.586238819928667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439.06700232017681</v>
      </c>
      <c r="T41" s="59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9">
        <f t="shared" si="5"/>
        <v>631.89486177431991</v>
      </c>
      <c r="AN41" s="59">
        <f ca="1">AVERAGE(OFFSET($AM$3,0,0,'Données projet'!$E$10+1,1))-AVERAGE(OFFSET($H$3,0,0,'Données projet'!$E$10+1,1))</f>
        <v>487.04124684635974</v>
      </c>
      <c r="AO41" s="59">
        <f t="shared" si="36"/>
        <v>306.61893266146666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12.2</v>
      </c>
      <c r="BD41" s="12">
        <f>IF('Données projet'!$A$88&gt;35,BD40+BC41-BL40,IF(A41&lt;'Données projet'!$A$88,$BA$205^A41,IF(A41='Données projet'!$A$88,'Données projet'!$B$88,BD40+BC41-BL40)))</f>
        <v>208.59999999999997</v>
      </c>
      <c r="BE41" s="13">
        <f>BD41*VLOOKUP('Données projet'!$B$11,Paramètres!$A$1:$I$89,3,0)*VLOOKUP('Données projet'!$B$11,Paramètres!$A$1:$I$89,5,0)</f>
        <v>218.02871999999996</v>
      </c>
      <c r="BF41" s="13">
        <f t="shared" si="37"/>
        <v>53.686213571044199</v>
      </c>
      <c r="BG41" s="20">
        <f t="shared" si="7"/>
        <v>473.23684263623528</v>
      </c>
      <c r="BH41" s="59">
        <f t="shared" si="8"/>
        <v>766.5701759695686</v>
      </c>
      <c r="BI41" s="59">
        <f ca="1">AVERAGE(OFFSET($BH$3,0,0,'Données projet'!$E$11+1,1))-AVERAGE(OFFSET($H$3,0,0,'Données projet'!$E$11+1,1))</f>
        <v>356.31271939877655</v>
      </c>
      <c r="BJ41" s="59">
        <f t="shared" si="38"/>
        <v>499.70544707812991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6.3223546327034441</v>
      </c>
      <c r="BQ41" s="21">
        <f>EXP(-LN(2)/25)*BQ40+(1-EXP(-LN(2)/25))/(LN(2)/25)*Calculateur!BL41*Calculateur!BN41*VLOOKUP('Données projet'!$B$11,Paramètres!$A$1:$I$89,3,0)*0.475*44/12</f>
        <v>7.6328511668419878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13.955205799545432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195.80903373714432</v>
      </c>
      <c r="CE41" s="59">
        <f t="shared" si="40"/>
        <v>388.30721786668977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50.311509828974273</v>
      </c>
      <c r="CL41" s="21">
        <f>EXP(-LN(2)/25)*CL40+(1-EXP(-LN(2)/25))/(LN(2)/25)*Calculateur!CG41*Calculateur!CI41*VLOOKUP('Données projet'!$B$12,Paramètres!$A$1:$I$89,3,0)*0.475*44/12</f>
        <v>41.372069831898088</v>
      </c>
      <c r="CM41" s="21">
        <f>EXP(-LN(2)/2)*CM40+(1-EXP(-LN(2)/2))/(LN(2)/2)*CG41*CJ41*VLOOKUP('Données projet'!$B$12,Paramètres!$A$1:$I$89,3,0)*0.475*44/12</f>
        <v>11.143597533959998</v>
      </c>
      <c r="CN41" s="22">
        <f t="shared" si="12"/>
        <v>102.82717719483236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72.638639486636521</v>
      </c>
      <c r="CZ41" s="59">
        <f t="shared" si="42"/>
        <v>334.50638815329404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30.823424778504485</v>
      </c>
      <c r="DG41" s="21">
        <f>EXP(-LN(2)/25)*DG40+(1-EXP(-LN(2)/25))/(LN(2)/25)*Calculateur!DB41*Calculateur!DD41*VLOOKUP('Données projet'!$B$13,Paramètres!$A$1:$I$89,3,0)*0.475*44/12</f>
        <v>25.791701356794139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56.615126135298624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68.016800235358346</v>
      </c>
      <c r="DU41" s="59">
        <f t="shared" si="44"/>
        <v>311.30433899203405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28.499035368977914</v>
      </c>
      <c r="EB41" s="21">
        <f>EXP(-LN(2)/25)*EB40+(1-EXP(-LN(2)/25))/(LN(2)/25)*Calculateur!DW41*Calculateur!DY41*VLOOKUP('Données projet'!$B$14,Paramètres!$A$1:$I$89,3,0)*0.475*44/12</f>
        <v>23.846753385626062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52.345788754603973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439.06700232017681</v>
      </c>
      <c r="T42" s="59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9">
        <f t="shared" si="5"/>
        <v>656.13477859005559</v>
      </c>
      <c r="AN42" s="59">
        <f ca="1">AVERAGE(OFFSET($AM$3,0,0,'Données projet'!$E$10+1,1))-AVERAGE(OFFSET($H$3,0,0,'Données projet'!$E$10+1,1))</f>
        <v>487.04124684635974</v>
      </c>
      <c r="AO42" s="59">
        <f t="shared" si="36"/>
        <v>306.61893266146666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12.2</v>
      </c>
      <c r="BD42" s="12">
        <f>IF('Données projet'!$A$88&gt;35,BD41+BC42-BL41,IF(A42&lt;'Données projet'!$A$88,$BA$205^A42,IF(A42='Données projet'!$A$88,'Données projet'!$B$88,BD41+BC42-BL41)))</f>
        <v>220.79999999999995</v>
      </c>
      <c r="BE42" s="13">
        <f>BD42*VLOOKUP('Données projet'!$B$11,Paramètres!$A$1:$I$89,3,0)*VLOOKUP('Données projet'!$B$11,Paramètres!$A$1:$I$89,5,0)</f>
        <v>230.78015999999997</v>
      </c>
      <c r="BF42" s="13">
        <f t="shared" si="37"/>
        <v>56.451337103640888</v>
      </c>
      <c r="BG42" s="20">
        <f t="shared" si="7"/>
        <v>500.26152412217448</v>
      </c>
      <c r="BH42" s="59">
        <f t="shared" si="8"/>
        <v>793.59485745550774</v>
      </c>
      <c r="BI42" s="59">
        <f ca="1">AVERAGE(OFFSET($BH$3,0,0,'Données projet'!$E$11+1,1))-AVERAGE(OFFSET($H$3,0,0,'Données projet'!$E$11+1,1))</f>
        <v>356.31271939877655</v>
      </c>
      <c r="BJ42" s="59">
        <f t="shared" si="38"/>
        <v>499.70544707812991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6.1983771146116817</v>
      </c>
      <c r="BQ42" s="21">
        <f>EXP(-LN(2)/25)*BQ41+(1-EXP(-LN(2)/25))/(LN(2)/25)*Calculateur!BL42*Calculateur!BN42*VLOOKUP('Données projet'!$B$11,Paramètres!$A$1:$I$89,3,0)*0.475*44/12</f>
        <v>7.4241304502904963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13.622507564902179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195.80903373714432</v>
      </c>
      <c r="CE42" s="59">
        <f t="shared" si="40"/>
        <v>388.30721786668977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49.324931808218992</v>
      </c>
      <c r="CL42" s="21">
        <f>EXP(-LN(2)/25)*CL41+(1-EXP(-LN(2)/25))/(LN(2)/25)*Calculateur!CG42*Calculateur!CI42*VLOOKUP('Données projet'!$B$12,Paramètres!$A$1:$I$89,3,0)*0.475*44/12</f>
        <v>40.240748406682236</v>
      </c>
      <c r="CM42" s="21">
        <f>EXP(-LN(2)/2)*CM41+(1-EXP(-LN(2)/2))/(LN(2)/2)*CG42*CJ42*VLOOKUP('Données projet'!$B$12,Paramètres!$A$1:$I$89,3,0)*0.475*44/12</f>
        <v>7.8797133830768029</v>
      </c>
      <c r="CN42" s="22">
        <f t="shared" si="12"/>
        <v>97.445393597978025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72.638639486636521</v>
      </c>
      <c r="CZ42" s="59">
        <f t="shared" si="42"/>
        <v>334.50638815329404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30.218996219030739</v>
      </c>
      <c r="DG42" s="21">
        <f>EXP(-LN(2)/25)*DG41+(1-EXP(-LN(2)/25))/(LN(2)/25)*Calculateur!DB42*Calculateur!DD42*VLOOKUP('Données projet'!$B$13,Paramètres!$A$1:$I$89,3,0)*0.475*44/12</f>
        <v>25.086425926865978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55.305422145896713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68.016800235358346</v>
      </c>
      <c r="DU42" s="59">
        <f t="shared" si="44"/>
        <v>311.30433899203405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27.940186668087435</v>
      </c>
      <c r="EB42" s="21">
        <f>EXP(-LN(2)/25)*EB41+(1-EXP(-LN(2)/25))/(LN(2)/25)*Calculateur!DW42*Calculateur!DY42*VLOOKUP('Données projet'!$B$14,Paramètres!$A$1:$I$89,3,0)*0.475*44/12</f>
        <v>23.194662660249861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51.134849328337296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439.06700232017681</v>
      </c>
      <c r="T43" s="59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9">
        <f t="shared" si="5"/>
        <v>680.33930892746491</v>
      </c>
      <c r="AN43" s="59">
        <f ca="1">AVERAGE(OFFSET($AM$3,0,0,'Données projet'!$E$10+1,1))-AVERAGE(OFFSET($H$3,0,0,'Données projet'!$E$10+1,1))</f>
        <v>487.04124684635974</v>
      </c>
      <c r="AO43" s="59">
        <f t="shared" si="36"/>
        <v>306.61893266146666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233</v>
      </c>
      <c r="BB43" s="12">
        <f>VLOOKUP(A43,'Données projet'!$A$87:$I$107,9,0)</f>
        <v>12.2</v>
      </c>
      <c r="BC43" s="12">
        <f t="array" ref="BC43">INDEX(BB:BB,MIN(IF(ISNUMBER(BB43:BB239),ROW(BB43:BB239),"")))</f>
        <v>12.2</v>
      </c>
      <c r="BD43" s="12">
        <f>IF('Données projet'!$A$88&gt;35,BD42+BC43-BL42,IF(A43&lt;'Données projet'!$A$88,$BA$205^A43,IF(A43='Données projet'!$A$88,'Données projet'!$B$88,BD42+BC43-BL42)))</f>
        <v>232.99999999999994</v>
      </c>
      <c r="BE43" s="13">
        <f>BD43*VLOOKUP('Données projet'!$B$11,Paramètres!$A$1:$I$89,3,0)*VLOOKUP('Données projet'!$B$11,Paramètres!$A$1:$I$89,5,0)</f>
        <v>243.5316</v>
      </c>
      <c r="BF43" s="13">
        <f t="shared" si="37"/>
        <v>59.198724224270414</v>
      </c>
      <c r="BG43" s="20">
        <f t="shared" si="7"/>
        <v>527.25531469060434</v>
      </c>
      <c r="BH43" s="59">
        <f t="shared" si="8"/>
        <v>820.58864802393759</v>
      </c>
      <c r="BI43" s="59">
        <f ca="1">AVERAGE(OFFSET($BH$3,0,0,'Données projet'!$E$11+1,1))-AVERAGE(OFFSET($H$3,0,0,'Données projet'!$E$11+1,1))</f>
        <v>356.31271939877655</v>
      </c>
      <c r="BJ43" s="59">
        <f t="shared" si="38"/>
        <v>499.70544707812991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6.0768307200308795</v>
      </c>
      <c r="BQ43" s="21">
        <f>EXP(-LN(2)/25)*BQ42+(1-EXP(-LN(2)/25))/(LN(2)/25)*Calculateur!BL43*Calculateur!BN43*VLOOKUP('Données projet'!$B$11,Paramètres!$A$1:$I$89,3,0)*0.475*44/12</f>
        <v>7.2211172127092507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13.297947932740129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195.80903373714432</v>
      </c>
      <c r="CE43" s="59">
        <f t="shared" si="40"/>
        <v>388.30721786668977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48.357699980697546</v>
      </c>
      <c r="CL43" s="21">
        <f>EXP(-LN(2)/25)*CL42+(1-EXP(-LN(2)/25))/(LN(2)/25)*Calculateur!CG43*Calculateur!CI43*VLOOKUP('Données projet'!$B$12,Paramètres!$A$1:$I$89,3,0)*0.475*44/12</f>
        <v>39.140363025332526</v>
      </c>
      <c r="CM43" s="21">
        <f>EXP(-LN(2)/2)*CM42+(1-EXP(-LN(2)/2))/(LN(2)/2)*CG43*CJ43*VLOOKUP('Données projet'!$B$12,Paramètres!$A$1:$I$89,3,0)*0.475*44/12</f>
        <v>5.5717987669799998</v>
      </c>
      <c r="CN43" s="22">
        <f t="shared" si="12"/>
        <v>93.069861773010061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72.638639486636521</v>
      </c>
      <c r="CZ43" s="59">
        <f t="shared" si="42"/>
        <v>334.50638815329404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29.626420134943253</v>
      </c>
      <c r="DG43" s="21">
        <f>EXP(-LN(2)/25)*DG42+(1-EXP(-LN(2)/25))/(LN(2)/25)*Calculateur!DB43*Calculateur!DD43*VLOOKUP('Données projet'!$B$13,Paramètres!$A$1:$I$89,3,0)*0.475*44/12</f>
        <v>24.400436290658025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54.026856425601281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68.016800235358346</v>
      </c>
      <c r="DU43" s="59">
        <f t="shared" si="44"/>
        <v>311.30433899203405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27.392296649357366</v>
      </c>
      <c r="EB43" s="21">
        <f>EXP(-LN(2)/25)*EB42+(1-EXP(-LN(2)/25))/(LN(2)/25)*Calculateur!DW43*Calculateur!DY43*VLOOKUP('Données projet'!$B$14,Paramètres!$A$1:$I$89,3,0)*0.475*44/12</f>
        <v>22.560403390051032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49.952700039408398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439.06700232017681</v>
      </c>
      <c r="T44" s="59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9">
        <f t="shared" si="5"/>
        <v>644.45226318566097</v>
      </c>
      <c r="AN44" s="59">
        <f ca="1">AVERAGE(OFFSET($AM$3,0,0,'Données projet'!$E$10+1,1))-AVERAGE(OFFSET($H$3,0,0,'Données projet'!$E$10+1,1))</f>
        <v>487.04124684635974</v>
      </c>
      <c r="AO44" s="59">
        <f t="shared" si="36"/>
        <v>306.61893266146666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199.19999999999993</v>
      </c>
      <c r="BE44" s="13">
        <f>BD44*VLOOKUP('Données projet'!$B$11,Paramètres!$A$1:$I$89,3,0)*VLOOKUP('Données projet'!$B$11,Paramètres!$A$1:$I$89,5,0)</f>
        <v>208.20383999999996</v>
      </c>
      <c r="BF44" s="13">
        <f t="shared" si="37"/>
        <v>51.542883536065183</v>
      </c>
      <c r="BG44" s="20">
        <f t="shared" si="7"/>
        <v>452.39221015864678</v>
      </c>
      <c r="BH44" s="59">
        <f t="shared" si="8"/>
        <v>745.72554349198003</v>
      </c>
      <c r="BI44" s="59">
        <f ca="1">AVERAGE(OFFSET($BH$3,0,0,'Données projet'!$E$11+1,1))-AVERAGE(OFFSET($H$3,0,0,'Données projet'!$E$11+1,1))</f>
        <v>356.31271939877655</v>
      </c>
      <c r="BJ44" s="59">
        <f t="shared" si="38"/>
        <v>499.70544707812991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5.9576677761118271</v>
      </c>
      <c r="BQ44" s="21">
        <f>EXP(-LN(2)/25)*BQ43+(1-EXP(-LN(2)/25))/(LN(2)/25)*Calculateur!BL44*Calculateur!BN44*VLOOKUP('Données projet'!$B$11,Paramètres!$A$1:$I$89,3,0)*0.475*44/12</f>
        <v>7.023655382785666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12.981323158897492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195.80903373714432</v>
      </c>
      <c r="CE44" s="59">
        <f t="shared" si="40"/>
        <v>388.30721786668977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47.40943497936064</v>
      </c>
      <c r="CL44" s="21">
        <f>EXP(-LN(2)/25)*CL43+(1-EXP(-LN(2)/25))/(LN(2)/25)*Calculateur!CG44*Calculateur!CI44*VLOOKUP('Données projet'!$B$12,Paramètres!$A$1:$I$89,3,0)*0.475*44/12</f>
        <v>38.070067740102573</v>
      </c>
      <c r="CM44" s="21">
        <f>EXP(-LN(2)/2)*CM43+(1-EXP(-LN(2)/2))/(LN(2)/2)*CG44*CJ44*VLOOKUP('Données projet'!$B$12,Paramètres!$A$1:$I$89,3,0)*0.475*44/12</f>
        <v>3.9398566915384023</v>
      </c>
      <c r="CN44" s="22">
        <f t="shared" si="12"/>
        <v>89.419359411001608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72.638639486636521</v>
      </c>
      <c r="CZ44" s="59">
        <f t="shared" si="42"/>
        <v>334.50638815329404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29.045464106429002</v>
      </c>
      <c r="DG44" s="21">
        <f>EXP(-LN(2)/25)*DG43+(1-EXP(-LN(2)/25))/(LN(2)/25)*Calculateur!DB44*Calculateur!DD44*VLOOKUP('Données projet'!$B$13,Paramètres!$A$1:$I$89,3,0)*0.475*44/12</f>
        <v>23.733205077126804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52.778669183555806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68.016800235358346</v>
      </c>
      <c r="DU44" s="59">
        <f t="shared" si="44"/>
        <v>311.30433899203405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26.855150419714679</v>
      </c>
      <c r="EB44" s="21">
        <f>EXP(-LN(2)/25)*EB43+(1-EXP(-LN(2)/25))/(LN(2)/25)*Calculateur!DW44*Calculateur!DY44*VLOOKUP('Données projet'!$B$14,Paramètres!$A$1:$I$89,3,0)*0.475*44/12</f>
        <v>21.943487972950035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48.798638392664714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439.06700232017681</v>
      </c>
      <c r="T45" s="59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669.10572320317215</v>
      </c>
      <c r="AN45" s="59">
        <f ca="1">AVERAGE(OFFSET($AM$3,0,0,'Données projet'!$E$10+1,1))-AVERAGE(OFFSET($H$3,0,0,'Données projet'!$E$10+1,1))</f>
        <v>487.04124684635974</v>
      </c>
      <c r="AO45" s="59">
        <f t="shared" si="36"/>
        <v>306.61893266146666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210.39999999999992</v>
      </c>
      <c r="BE45" s="13">
        <f>BD45*VLOOKUP('Données projet'!$B$11,Paramètres!$A$1:$I$89,3,0)*VLOOKUP('Données projet'!$B$11,Paramètres!$A$1:$I$89,5,0)</f>
        <v>219.91007999999994</v>
      </c>
      <c r="BF45" s="13">
        <f t="shared" si="37"/>
        <v>54.095341587899199</v>
      </c>
      <c r="BG45" s="20">
        <f t="shared" si="7"/>
        <v>477.22610926559105</v>
      </c>
      <c r="BH45" s="59">
        <f t="shared" si="8"/>
        <v>770.55944259892431</v>
      </c>
      <c r="BI45" s="59">
        <f ca="1">AVERAGE(OFFSET($BH$3,0,0,'Données projet'!$E$11+1,1))-AVERAGE(OFFSET($H$3,0,0,'Données projet'!$E$11+1,1))</f>
        <v>356.31271939877655</v>
      </c>
      <c r="BJ45" s="59">
        <f t="shared" si="38"/>
        <v>499.70544707812991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5.8408415448408082</v>
      </c>
      <c r="BQ45" s="21">
        <f>EXP(-LN(2)/25)*BQ44+(1-EXP(-LN(2)/25))/(LN(2)/25)*Calculateur!BL45*Calculateur!BN45*VLOOKUP('Données projet'!$B$11,Paramètres!$A$1:$I$89,3,0)*0.475*44/12</f>
        <v>6.8315931569854085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12.672434701826216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195.80903373714432</v>
      </c>
      <c r="CE45" s="59">
        <f t="shared" si="40"/>
        <v>388.30721786668977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46.479764876315407</v>
      </c>
      <c r="CL45" s="21">
        <f>EXP(-LN(2)/25)*CL44+(1-EXP(-LN(2)/25))/(LN(2)/25)*Calculateur!CG45*Calculateur!CI45*VLOOKUP('Données projet'!$B$12,Paramètres!$A$1:$I$89,3,0)*0.475*44/12</f>
        <v>37.029039735731615</v>
      </c>
      <c r="CM45" s="21">
        <f>EXP(-LN(2)/2)*CM44+(1-EXP(-LN(2)/2))/(LN(2)/2)*CG45*CJ45*VLOOKUP('Données projet'!$B$12,Paramètres!$A$1:$I$89,3,0)*0.475*44/12</f>
        <v>2.7858993834900003</v>
      </c>
      <c r="CN45" s="22">
        <f t="shared" si="12"/>
        <v>86.29470399553702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72.638639486636521</v>
      </c>
      <c r="CZ45" s="59">
        <f t="shared" si="42"/>
        <v>334.50638815329404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28.475900271285727</v>
      </c>
      <c r="DG45" s="21">
        <f>EXP(-LN(2)/25)*DG44+(1-EXP(-LN(2)/25))/(LN(2)/25)*Calculateur!DB45*Calculateur!DD45*VLOOKUP('Données projet'!$B$13,Paramètres!$A$1:$I$89,3,0)*0.475*44/12</f>
        <v>23.08421933621776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51.560119607503488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68.016800235358346</v>
      </c>
      <c r="DU45" s="59">
        <f t="shared" si="44"/>
        <v>311.30433899203405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26.328537300008438</v>
      </c>
      <c r="EB45" s="21">
        <f>EXP(-LN(2)/25)*EB44+(1-EXP(-LN(2)/25))/(LN(2)/25)*Calculateur!DW45*Calculateur!DY45*VLOOKUP('Données projet'!$B$14,Paramètres!$A$1:$I$89,3,0)*0.475*44/12</f>
        <v>21.343442140371835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47.671979440380269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439.06700232017681</v>
      </c>
      <c r="T46" s="59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693.72396607035341</v>
      </c>
      <c r="AN46" s="59">
        <f ca="1">AVERAGE(OFFSET($AM$3,0,0,'Données projet'!$E$10+1,1))-AVERAGE(OFFSET($H$3,0,0,'Données projet'!$E$10+1,1))</f>
        <v>487.04124684635974</v>
      </c>
      <c r="AO46" s="59">
        <f t="shared" si="36"/>
        <v>306.61893266146666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221.59999999999991</v>
      </c>
      <c r="BE46" s="13">
        <f>BD46*VLOOKUP('Données projet'!$B$11,Paramètres!$A$1:$I$89,3,0)*VLOOKUP('Données projet'!$B$11,Paramètres!$A$1:$I$89,5,0)</f>
        <v>231.61631999999994</v>
      </c>
      <c r="BF46" s="13">
        <f t="shared" si="37"/>
        <v>56.632025137557321</v>
      </c>
      <c r="BG46" s="20">
        <f t="shared" si="7"/>
        <v>502.03253444791227</v>
      </c>
      <c r="BH46" s="59">
        <f t="shared" si="8"/>
        <v>795.36586778124558</v>
      </c>
      <c r="BI46" s="59">
        <f ca="1">AVERAGE(OFFSET($BH$3,0,0,'Données projet'!$E$11+1,1))-AVERAGE(OFFSET($H$3,0,0,'Données projet'!$E$11+1,1))</f>
        <v>356.31271939877655</v>
      </c>
      <c r="BJ46" s="59">
        <f t="shared" si="38"/>
        <v>499.70544707812991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5.7263062047080489</v>
      </c>
      <c r="BQ46" s="21">
        <f>EXP(-LN(2)/25)*BQ45+(1-EXP(-LN(2)/25))/(LN(2)/25)*Calculateur!BL46*Calculateur!BN46*VLOOKUP('Données projet'!$B$11,Paramètres!$A$1:$I$89,3,0)*0.475*44/12</f>
        <v>6.6447828828497721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12.37108908755782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195.80903373714432</v>
      </c>
      <c r="CE46" s="59">
        <f t="shared" si="40"/>
        <v>388.30721786668977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45.568325036948117</v>
      </c>
      <c r="CL46" s="21">
        <f>EXP(-LN(2)/25)*CL45+(1-EXP(-LN(2)/25))/(LN(2)/25)*Calculateur!CG46*Calculateur!CI46*VLOOKUP('Données projet'!$B$12,Paramètres!$A$1:$I$89,3,0)*0.475*44/12</f>
        <v>36.016478696885464</v>
      </c>
      <c r="CM46" s="21">
        <f>EXP(-LN(2)/2)*CM45+(1-EXP(-LN(2)/2))/(LN(2)/2)*CG46*CJ46*VLOOKUP('Données projet'!$B$12,Paramètres!$A$1:$I$89,3,0)*0.475*44/12</f>
        <v>1.9699283457692014</v>
      </c>
      <c r="CN46" s="22">
        <f t="shared" si="12"/>
        <v>83.554732079602786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72.638639486636521</v>
      </c>
      <c r="CZ46" s="59">
        <f t="shared" si="42"/>
        <v>334.50638815329404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27.917505235549974</v>
      </c>
      <c r="DG46" s="21">
        <f>EXP(-LN(2)/25)*DG45+(1-EXP(-LN(2)/25))/(LN(2)/25)*Calculateur!DB46*Calculateur!DD46*VLOOKUP('Données projet'!$B$13,Paramètres!$A$1:$I$89,3,0)*0.475*44/12</f>
        <v>22.452980144522549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50.370485380072523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68.016800235358346</v>
      </c>
      <c r="DU46" s="59">
        <f t="shared" si="44"/>
        <v>311.30433899203405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25.812250742377348</v>
      </c>
      <c r="EB46" s="21">
        <f>EXP(-LN(2)/25)*EB45+(1-EXP(-LN(2)/25))/(LN(2)/25)*Calculateur!DW46*Calculateur!DY46*VLOOKUP('Données projet'!$B$14,Paramètres!$A$1:$I$89,3,0)*0.475*44/12</f>
        <v>20.759804592640524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46.572055335017872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439.06700232017681</v>
      </c>
      <c r="T47" s="59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9">
        <f t="shared" si="5"/>
        <v>718.3094596593628</v>
      </c>
      <c r="AN47" s="59">
        <f ca="1">AVERAGE(OFFSET($AM$3,0,0,'Données projet'!$E$10+1,1))-AVERAGE(OFFSET($H$3,0,0,'Données projet'!$E$10+1,1))</f>
        <v>487.04124684635974</v>
      </c>
      <c r="AO47" s="59">
        <f t="shared" si="36"/>
        <v>306.61893266146666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232.7999999999999</v>
      </c>
      <c r="BE47" s="13">
        <f>BD47*VLOOKUP('Données projet'!$B$11,Paramètres!$A$1:$I$89,3,0)*VLOOKUP('Données projet'!$B$11,Paramètres!$A$1:$I$89,5,0)</f>
        <v>243.32255999999992</v>
      </c>
      <c r="BF47" s="13">
        <f t="shared" si="37"/>
        <v>59.153822415931941</v>
      </c>
      <c r="BG47" s="20">
        <f t="shared" si="7"/>
        <v>526.81303270774799</v>
      </c>
      <c r="BH47" s="59">
        <f t="shared" si="8"/>
        <v>820.14636604108136</v>
      </c>
      <c r="BI47" s="59">
        <f ca="1">AVERAGE(OFFSET($BH$3,0,0,'Données projet'!$E$11+1,1))-AVERAGE(OFFSET($H$3,0,0,'Données projet'!$E$11+1,1))</f>
        <v>356.31271939877655</v>
      </c>
      <c r="BJ47" s="59">
        <f t="shared" si="38"/>
        <v>499.70544707812991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5.6140168327356328</v>
      </c>
      <c r="BQ47" s="21">
        <f>EXP(-LN(2)/25)*BQ46+(1-EXP(-LN(2)/25))/(LN(2)/25)*Calculateur!BL47*Calculateur!BN47*VLOOKUP('Données projet'!$B$11,Paramètres!$A$1:$I$89,3,0)*0.475*44/12</f>
        <v>6.4630809454843003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12.077097778219933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195.80903373714432</v>
      </c>
      <c r="CE47" s="59">
        <f t="shared" si="40"/>
        <v>388.30721786668977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44.674757976907415</v>
      </c>
      <c r="CL47" s="21">
        <f>EXP(-LN(2)/25)*CL46+(1-EXP(-LN(2)/25))/(LN(2)/25)*Calculateur!CG47*Calculateur!CI47*VLOOKUP('Données projet'!$B$12,Paramètres!$A$1:$I$89,3,0)*0.475*44/12</f>
        <v>35.031606192894834</v>
      </c>
      <c r="CM47" s="21">
        <f>EXP(-LN(2)/2)*CM46+(1-EXP(-LN(2)/2))/(LN(2)/2)*CG47*CJ47*VLOOKUP('Données projet'!$B$12,Paramètres!$A$1:$I$89,3,0)*0.475*44/12</f>
        <v>1.3929496917450004</v>
      </c>
      <c r="CN47" s="22">
        <f t="shared" si="12"/>
        <v>81.099313861547245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72.638639486636521</v>
      </c>
      <c r="CZ47" s="59">
        <f t="shared" si="42"/>
        <v>334.50638815329404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27.370059985877656</v>
      </c>
      <c r="DG47" s="21">
        <f>EXP(-LN(2)/25)*DG46+(1-EXP(-LN(2)/25))/(LN(2)/25)*Calculateur!DB47*Calculateur!DD47*VLOOKUP('Données projet'!$B$13,Paramètres!$A$1:$I$89,3,0)*0.475*44/12</f>
        <v>21.839002221719671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49.209062207597327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68.016800235358346</v>
      </c>
      <c r="DU47" s="59">
        <f t="shared" si="44"/>
        <v>311.30433899203405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25.3060882492377</v>
      </c>
      <c r="EB47" s="21">
        <f>EXP(-LN(2)/25)*EB46+(1-EXP(-LN(2)/25))/(LN(2)/25)*Calculateur!DW47*Calculateur!DY47*VLOOKUP('Données projet'!$B$14,Paramètres!$A$1:$I$89,3,0)*0.475*44/12</f>
        <v>20.192126644344093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45.498214893581789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439.06700232017681</v>
      </c>
      <c r="T48" s="59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9">
        <f t="shared" si="5"/>
        <v>742.86436319127711</v>
      </c>
      <c r="AN48" s="59">
        <f ca="1">AVERAGE(OFFSET($AM$3,0,0,'Données projet'!$E$10+1,1))-AVERAGE(OFFSET($H$3,0,0,'Données projet'!$E$10+1,1))</f>
        <v>487.04124684635974</v>
      </c>
      <c r="AO48" s="59">
        <f t="shared" si="36"/>
        <v>306.61893266146666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244</v>
      </c>
      <c r="BB48" s="12">
        <f>VLOOKUP(A48,'Données projet'!$A$87:$I$107,9,0)</f>
        <v>11.2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243.99999999999989</v>
      </c>
      <c r="BE48" s="13">
        <f>BD48*VLOOKUP('Données projet'!$B$11,Paramètres!$A$1:$I$89,3,0)*VLOOKUP('Données projet'!$B$11,Paramètres!$A$1:$I$89,5,0)</f>
        <v>255.0287999999999</v>
      </c>
      <c r="BF48" s="13">
        <f t="shared" si="37"/>
        <v>61.661531359449384</v>
      </c>
      <c r="BG48" s="20">
        <f t="shared" si="7"/>
        <v>551.56899378437413</v>
      </c>
      <c r="BH48" s="59">
        <f t="shared" si="8"/>
        <v>844.9023271177075</v>
      </c>
      <c r="BI48" s="59">
        <f ca="1">AVERAGE(OFFSET($BH$3,0,0,'Données projet'!$E$11+1,1))-AVERAGE(OFFSET($H$3,0,0,'Données projet'!$E$11+1,1))</f>
        <v>356.31271939877655</v>
      </c>
      <c r="BJ48" s="59">
        <f t="shared" si="38"/>
        <v>499.70544707812991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41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5.5039293868578421</v>
      </c>
      <c r="BQ48" s="21">
        <f>EXP(-LN(2)/25)*BQ47+(1-EXP(-LN(2)/25))/(LN(2)/25)*Calculateur!BL48*Calculateur!BN48*VLOOKUP('Données projet'!$B$11,Paramètres!$A$1:$I$89,3,0)*0.475*44/12</f>
        <v>6.286347657151377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11.790277044009219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195.80903373714432</v>
      </c>
      <c r="CE48" s="59">
        <f t="shared" si="40"/>
        <v>388.30721786668977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43.798713221892022</v>
      </c>
      <c r="CL48" s="21">
        <f>EXP(-LN(2)/25)*CL47+(1-EXP(-LN(2)/25))/(LN(2)/25)*Calculateur!CG48*Calculateur!CI48*VLOOKUP('Données projet'!$B$12,Paramètres!$A$1:$I$89,3,0)*0.475*44/12</f>
        <v>34.073665079318019</v>
      </c>
      <c r="CM48" s="21">
        <f>EXP(-LN(2)/2)*CM47+(1-EXP(-LN(2)/2))/(LN(2)/2)*CG48*CJ48*VLOOKUP('Données projet'!$B$12,Paramètres!$A$1:$I$89,3,0)*0.475*44/12</f>
        <v>0.98496417288460092</v>
      </c>
      <c r="CN48" s="22">
        <f t="shared" si="12"/>
        <v>78.857342474094636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72.638639486636521</v>
      </c>
      <c r="CZ48" s="59">
        <f t="shared" si="42"/>
        <v>334.50638815329404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26.833349803642783</v>
      </c>
      <c r="DG48" s="21">
        <f>EXP(-LN(2)/25)*DG47+(1-EXP(-LN(2)/25))/(LN(2)/25)*Calculateur!DB48*Calculateur!DD48*VLOOKUP('Données projet'!$B$13,Paramètres!$A$1:$I$89,3,0)*0.475*44/12</f>
        <v>21.241813557503534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48.075163361146316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68.016800235358346</v>
      </c>
      <c r="DU48" s="59">
        <f t="shared" si="44"/>
        <v>311.30433899203405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24.809851293859882</v>
      </c>
      <c r="EB48" s="21">
        <f>EXP(-LN(2)/25)*EB47+(1-EXP(-LN(2)/25))/(LN(2)/25)*Calculateur!DW48*Calculateur!DY48*VLOOKUP('Données projet'!$B$14,Paramètres!$A$1:$I$89,3,0)*0.475*44/12</f>
        <v>19.639971879396715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44.449823173256597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439.06700232017681</v>
      </c>
      <c r="T49" s="59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9">
        <f t="shared" si="5"/>
        <v>706.23632525600931</v>
      </c>
      <c r="AN49" s="59">
        <f ca="1">AVERAGE(OFFSET($AM$3,0,0,'Données projet'!$E$10+1,1))-AVERAGE(OFFSET($H$3,0,0,'Données projet'!$E$10+1,1))</f>
        <v>487.04124684635974</v>
      </c>
      <c r="AO49" s="59">
        <f t="shared" si="36"/>
        <v>306.61893266146666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212.7999999999999</v>
      </c>
      <c r="BE49" s="13">
        <f>BD49*VLOOKUP('Données projet'!$B$11,Paramètres!$A$1:$I$89,3,0)*VLOOKUP('Données projet'!$B$11,Paramètres!$A$1:$I$89,5,0)</f>
        <v>222.4185599999999</v>
      </c>
      <c r="BF49" s="13">
        <f t="shared" si="37"/>
        <v>54.640212826336217</v>
      </c>
      <c r="BG49" s="20">
        <f t="shared" si="7"/>
        <v>482.54402933920204</v>
      </c>
      <c r="BH49" s="59">
        <f t="shared" si="8"/>
        <v>775.87736267253536</v>
      </c>
      <c r="BI49" s="59">
        <f ca="1">AVERAGE(OFFSET($BH$3,0,0,'Données projet'!$E$11+1,1))-AVERAGE(OFFSET($H$3,0,0,'Données projet'!$E$11+1,1))</f>
        <v>356.31271939877655</v>
      </c>
      <c r="BJ49" s="59">
        <f t="shared" si="38"/>
        <v>499.70544707812991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5.3960006886470033</v>
      </c>
      <c r="BQ49" s="21">
        <f>EXP(-LN(2)/25)*BQ48+(1-EXP(-LN(2)/25))/(LN(2)/25)*Calculateur!BL49*Calculateur!BN49*VLOOKUP('Données projet'!$B$11,Paramètres!$A$1:$I$89,3,0)*0.475*44/12</f>
        <v>6.1144471498819168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11.51044783852892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195.80903373714432</v>
      </c>
      <c r="CE49" s="59">
        <f t="shared" si="40"/>
        <v>388.30721786668977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42.939847170187939</v>
      </c>
      <c r="CL49" s="21">
        <f>EXP(-LN(2)/25)*CL48+(1-EXP(-LN(2)/25))/(LN(2)/25)*Calculateur!CG49*Calculateur!CI49*VLOOKUP('Données projet'!$B$12,Paramètres!$A$1:$I$89,3,0)*0.475*44/12</f>
        <v>33.141918915867898</v>
      </c>
      <c r="CM49" s="21">
        <f>EXP(-LN(2)/2)*CM48+(1-EXP(-LN(2)/2))/(LN(2)/2)*CG49*CJ49*VLOOKUP('Données projet'!$B$12,Paramètres!$A$1:$I$89,3,0)*0.475*44/12</f>
        <v>0.6964748458725003</v>
      </c>
      <c r="CN49" s="22">
        <f t="shared" si="12"/>
        <v>76.778240931928337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72.638639486636521</v>
      </c>
      <c r="CZ49" s="59">
        <f t="shared" si="42"/>
        <v>334.50638815329404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26.307164180720648</v>
      </c>
      <c r="DG49" s="21">
        <f>EXP(-LN(2)/25)*DG48+(1-EXP(-LN(2)/25))/(LN(2)/25)*Calculateur!DB49*Calculateur!DD49*VLOOKUP('Données projet'!$B$13,Paramètres!$A$1:$I$89,3,0)*0.475*44/12</f>
        <v>20.660955048715174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46.968119229435821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68.016800235358346</v>
      </c>
      <c r="DU49" s="59">
        <f t="shared" si="44"/>
        <v>311.30433899203405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24.323345242502366</v>
      </c>
      <c r="EB49" s="21">
        <f>EXP(-LN(2)/25)*EB48+(1-EXP(-LN(2)/25))/(LN(2)/25)*Calculateur!DW49*Calculateur!DY49*VLOOKUP('Données projet'!$B$14,Paramètres!$A$1:$I$89,3,0)*0.475*44/12</f>
        <v>19.102915815533379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43.426261058035749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439.06700232017681</v>
      </c>
      <c r="T50" s="59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487.04124684635974</v>
      </c>
      <c r="AO50" s="59">
        <f t="shared" si="36"/>
        <v>306.61893266146666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222.59999999999991</v>
      </c>
      <c r="BE50" s="13">
        <f>BD50*VLOOKUP('Données projet'!$B$11,Paramètres!$A$1:$I$89,3,0)*VLOOKUP('Données projet'!$B$11,Paramètres!$A$1:$I$89,5,0)</f>
        <v>232.66151999999991</v>
      </c>
      <c r="BF50" s="13">
        <f t="shared" si="37"/>
        <v>56.857778463998805</v>
      </c>
      <c r="BG50" s="20">
        <f t="shared" si="7"/>
        <v>504.24611149146443</v>
      </c>
      <c r="BH50" s="59">
        <f t="shared" si="8"/>
        <v>797.57944482479775</v>
      </c>
      <c r="BI50" s="59">
        <f ca="1">AVERAGE(OFFSET($BH$3,0,0,'Données projet'!$E$11+1,1))-AVERAGE(OFFSET($H$3,0,0,'Données projet'!$E$11+1,1))</f>
        <v>356.31271939877655</v>
      </c>
      <c r="BJ50" s="59">
        <f t="shared" si="38"/>
        <v>499.70544707812991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5.2901884063780731</v>
      </c>
      <c r="BQ50" s="21">
        <f>EXP(-LN(2)/25)*BQ49+(1-EXP(-LN(2)/25))/(LN(2)/25)*Calculateur!BL50*Calculateur!BN50*VLOOKUP('Données projet'!$B$11,Paramètres!$A$1:$I$89,3,0)*0.475*44/12</f>
        <v>5.9472472710235946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11.237435677401667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195.80903373714432</v>
      </c>
      <c r="CE50" s="59">
        <f t="shared" si="40"/>
        <v>388.30721786668977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42.097822957901208</v>
      </c>
      <c r="CL50" s="21">
        <f>EXP(-LN(2)/25)*CL49+(1-EXP(-LN(2)/25))/(LN(2)/25)*Calculateur!CG50*Calculateur!CI50*VLOOKUP('Données projet'!$B$12,Paramètres!$A$1:$I$89,3,0)*0.475*44/12</f>
        <v>32.235651400255719</v>
      </c>
      <c r="CM50" s="21">
        <f>EXP(-LN(2)/2)*CM49+(1-EXP(-LN(2)/2))/(LN(2)/2)*CG50*CJ50*VLOOKUP('Données projet'!$B$12,Paramètres!$A$1:$I$89,3,0)*0.475*44/12</f>
        <v>0.49248208644230052</v>
      </c>
      <c r="CN50" s="22">
        <f t="shared" si="12"/>
        <v>74.825956444599228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72.638639486636521</v>
      </c>
      <c r="CZ50" s="59">
        <f t="shared" si="42"/>
        <v>334.50638815329404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25.791296736922476</v>
      </c>
      <c r="DG50" s="21">
        <f>EXP(-LN(2)/25)*DG49+(1-EXP(-LN(2)/25))/(LN(2)/25)*Calculateur!DB50*Calculateur!DD50*VLOOKUP('Données projet'!$B$13,Paramètres!$A$1:$I$89,3,0)*0.475*44/12</f>
        <v>20.095980146395654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45.88727688331813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68.016800235358346</v>
      </c>
      <c r="DU50" s="59">
        <f t="shared" si="44"/>
        <v>311.30433899203405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23.846379278072583</v>
      </c>
      <c r="EB50" s="21">
        <f>EXP(-LN(2)/25)*EB49+(1-EXP(-LN(2)/25))/(LN(2)/25)*Calculateur!DW50*Calculateur!DY50*VLOOKUP('Données projet'!$B$14,Paramètres!$A$1:$I$89,3,0)*0.475*44/12</f>
        <v>18.580545577978935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42.426924856051514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439.06700232017681</v>
      </c>
      <c r="T51" s="59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9">
        <f t="shared" si="5"/>
        <v>753.62490353300643</v>
      </c>
      <c r="AN51" s="59">
        <f ca="1">AVERAGE(OFFSET($AM$3,0,0,'Données projet'!$E$10+1,1))-AVERAGE(OFFSET($H$3,0,0,'Données projet'!$E$10+1,1))</f>
        <v>487.04124684635974</v>
      </c>
      <c r="AO51" s="59">
        <f t="shared" si="36"/>
        <v>306.61893266146666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232.39999999999992</v>
      </c>
      <c r="BE51" s="13">
        <f>BD51*VLOOKUP('Données projet'!$B$11,Paramètres!$A$1:$I$89,3,0)*VLOOKUP('Données projet'!$B$11,Paramètres!$A$1:$I$89,5,0)</f>
        <v>242.90447999999995</v>
      </c>
      <c r="BF51" s="13">
        <f t="shared" si="37"/>
        <v>59.064005323726505</v>
      </c>
      <c r="BG51" s="20">
        <f t="shared" si="7"/>
        <v>525.92844527215686</v>
      </c>
      <c r="BH51" s="59">
        <f t="shared" si="8"/>
        <v>819.26177860549024</v>
      </c>
      <c r="BI51" s="59">
        <f ca="1">AVERAGE(OFFSET($BH$3,0,0,'Données projet'!$E$11+1,1))-AVERAGE(OFFSET($H$3,0,0,'Données projet'!$E$11+1,1))</f>
        <v>356.31271939877655</v>
      </c>
      <c r="BJ51" s="59">
        <f t="shared" si="38"/>
        <v>499.70544707812991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5.1864510384253171</v>
      </c>
      <c r="BQ51" s="21">
        <f>EXP(-LN(2)/25)*BQ50+(1-EXP(-LN(2)/25))/(LN(2)/25)*Calculateur!BL51*Calculateur!BN51*VLOOKUP('Données projet'!$B$11,Paramètres!$A$1:$I$89,3,0)*0.475*44/12</f>
        <v>5.7846194816453131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10.971070520070629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195.80903373714432</v>
      </c>
      <c r="CE51" s="59">
        <f t="shared" si="40"/>
        <v>388.30721786668977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41.272310326833363</v>
      </c>
      <c r="CL51" s="21">
        <f>EXP(-LN(2)/25)*CL50+(1-EXP(-LN(2)/25))/(LN(2)/25)*Calculateur!CG51*Calculateur!CI51*VLOOKUP('Données projet'!$B$12,Paramètres!$A$1:$I$89,3,0)*0.475*44/12</f>
        <v>31.354165817516495</v>
      </c>
      <c r="CM51" s="21">
        <f>EXP(-LN(2)/2)*CM50+(1-EXP(-LN(2)/2))/(LN(2)/2)*CG51*CJ51*VLOOKUP('Données projet'!$B$12,Paramètres!$A$1:$I$89,3,0)*0.475*44/12</f>
        <v>0.34823742293625021</v>
      </c>
      <c r="CN51" s="22">
        <f t="shared" si="12"/>
        <v>72.974713567286102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72.638639486636521</v>
      </c>
      <c r="CZ51" s="59">
        <f t="shared" si="42"/>
        <v>334.50638815329404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25.285545139049116</v>
      </c>
      <c r="DG51" s="21">
        <f>EXP(-LN(2)/25)*DG50+(1-EXP(-LN(2)/25))/(LN(2)/25)*Calculateur!DB51*Calculateur!DD51*VLOOKUP('Données projet'!$B$13,Paramètres!$A$1:$I$89,3,0)*0.475*44/12</f>
        <v>19.546454512490797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44.831999651539917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68.016800235358346</v>
      </c>
      <c r="DU51" s="59">
        <f t="shared" si="44"/>
        <v>311.30433899203405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23.378766325284754</v>
      </c>
      <c r="EB51" s="21">
        <f>EXP(-LN(2)/25)*EB50+(1-EXP(-LN(2)/25))/(LN(2)/25)*Calculateur!DW51*Calculateur!DY51*VLOOKUP('Données projet'!$B$14,Paramètres!$A$1:$I$89,3,0)*0.475*44/12</f>
        <v>18.072459582040675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41.45122590732543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439.06700232017681</v>
      </c>
      <c r="T52" s="59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9">
        <f t="shared" si="5"/>
        <v>777.27939223762587</v>
      </c>
      <c r="AN52" s="59">
        <f ca="1">AVERAGE(OFFSET($AM$3,0,0,'Données projet'!$E$10+1,1))-AVERAGE(OFFSET($H$3,0,0,'Données projet'!$E$10+1,1))</f>
        <v>487.04124684635974</v>
      </c>
      <c r="AO52" s="59">
        <f t="shared" si="36"/>
        <v>306.61893266146666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242.19999999999993</v>
      </c>
      <c r="BE52" s="13">
        <f>BD52*VLOOKUP('Données projet'!$B$11,Paramètres!$A$1:$I$89,3,0)*VLOOKUP('Données projet'!$B$11,Paramètres!$A$1:$I$89,5,0)</f>
        <v>253.14743999999996</v>
      </c>
      <c r="BF52" s="13">
        <f t="shared" si="37"/>
        <v>61.259426216625307</v>
      </c>
      <c r="BG52" s="20">
        <f t="shared" si="7"/>
        <v>547.59195866062225</v>
      </c>
      <c r="BH52" s="59">
        <f t="shared" si="8"/>
        <v>840.92529199395563</v>
      </c>
      <c r="BI52" s="59">
        <f ca="1">AVERAGE(OFFSET($BH$3,0,0,'Données projet'!$E$11+1,1))-AVERAGE(OFFSET($H$3,0,0,'Données projet'!$E$11+1,1))</f>
        <v>356.31271939877655</v>
      </c>
      <c r="BJ52" s="59">
        <f t="shared" si="38"/>
        <v>499.70544707812991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5.0847478969845676</v>
      </c>
      <c r="BQ52" s="21">
        <f>EXP(-LN(2)/25)*BQ51+(1-EXP(-LN(2)/25))/(LN(2)/25)*Calculateur!BL52*Calculateur!BN52*VLOOKUP('Données projet'!$B$11,Paramètres!$A$1:$I$89,3,0)*0.475*44/12</f>
        <v>5.6264387577198045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10.711186654704372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195.80903373714432</v>
      </c>
      <c r="CE52" s="59">
        <f t="shared" si="40"/>
        <v>388.30721786668977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40.462985494947773</v>
      </c>
      <c r="CL52" s="21">
        <f>EXP(-LN(2)/25)*CL51+(1-EXP(-LN(2)/25))/(LN(2)/25)*Calculateur!CG52*Calculateur!CI52*VLOOKUP('Données projet'!$B$12,Paramètres!$A$1:$I$89,3,0)*0.475*44/12</f>
        <v>30.496784504392586</v>
      </c>
      <c r="CM52" s="21">
        <f>EXP(-LN(2)/2)*CM51+(1-EXP(-LN(2)/2))/(LN(2)/2)*CG52*CJ52*VLOOKUP('Données projet'!$B$12,Paramètres!$A$1:$I$89,3,0)*0.475*44/12</f>
        <v>0.24624104322115029</v>
      </c>
      <c r="CN52" s="22">
        <f t="shared" si="12"/>
        <v>71.206011042561499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72.638639486636521</v>
      </c>
      <c r="CZ52" s="59">
        <f t="shared" si="42"/>
        <v>334.50638815329404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24.789711021532035</v>
      </c>
      <c r="DG52" s="21">
        <f>EXP(-LN(2)/25)*DG51+(1-EXP(-LN(2)/25))/(LN(2)/25)*Calculateur!DB52*Calculateur!DD52*VLOOKUP('Données projet'!$B$13,Paramètres!$A$1:$I$89,3,0)*0.475*44/12</f>
        <v>19.011955685943366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43.801666707475405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68.016800235358346</v>
      </c>
      <c r="DU52" s="59">
        <f t="shared" si="44"/>
        <v>311.30433899203405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22.920322977285355</v>
      </c>
      <c r="EB52" s="21">
        <f>EXP(-LN(2)/25)*EB51+(1-EXP(-LN(2)/25))/(LN(2)/25)*Calculateur!DW52*Calculateur!DY52*VLOOKUP('Données projet'!$B$14,Paramètres!$A$1:$I$89,3,0)*0.475*44/12</f>
        <v>17.578267224380429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40.498590201665785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439.06700232017681</v>
      </c>
      <c r="T53" s="59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9">
        <f t="shared" si="5"/>
        <v>800.90933500769279</v>
      </c>
      <c r="AN53" s="59">
        <f ca="1">AVERAGE(OFFSET($AM$3,0,0,'Données projet'!$E$10+1,1))-AVERAGE(OFFSET($H$3,0,0,'Données projet'!$E$10+1,1))</f>
        <v>487.04124684635974</v>
      </c>
      <c r="AO53" s="59">
        <f t="shared" si="36"/>
        <v>306.61893266146666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252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251.99999999999994</v>
      </c>
      <c r="BE53" s="13">
        <f>BD53*VLOOKUP('Données projet'!$B$11,Paramètres!$A$1:$I$89,3,0)*VLOOKUP('Données projet'!$B$11,Paramètres!$A$1:$I$89,5,0)</f>
        <v>263.39039999999994</v>
      </c>
      <c r="BF53" s="13">
        <f t="shared" si="37"/>
        <v>63.444528395882578</v>
      </c>
      <c r="BG53" s="20">
        <f t="shared" si="7"/>
        <v>569.2375002894953</v>
      </c>
      <c r="BH53" s="59">
        <f t="shared" si="8"/>
        <v>862.57083362282856</v>
      </c>
      <c r="BI53" s="59">
        <f ca="1">AVERAGE(OFFSET($BH$3,0,0,'Données projet'!$E$11+1,1))-AVERAGE(OFFSET($H$3,0,0,'Données projet'!$E$11+1,1))</f>
        <v>356.31271939877655</v>
      </c>
      <c r="BJ53" s="59">
        <f t="shared" si="38"/>
        <v>499.70544707812991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37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4.9850390921146808</v>
      </c>
      <c r="BQ53" s="21">
        <f>EXP(-LN(2)/25)*BQ52+(1-EXP(-LN(2)/25))/(LN(2)/25)*Calculateur!BL53*Calculateur!BN53*VLOOKUP('Données projet'!$B$11,Paramètres!$A$1:$I$89,3,0)*0.475*44/12</f>
        <v>5.4725834940084015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10.457622586123083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195.80903373714432</v>
      </c>
      <c r="CE53" s="59">
        <f t="shared" si="40"/>
        <v>388.30721786668977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39.669531029376053</v>
      </c>
      <c r="CL53" s="21">
        <f>EXP(-LN(2)/25)*CL52+(1-EXP(-LN(2)/25))/(LN(2)/25)*Calculateur!CG53*Calculateur!CI53*VLOOKUP('Données projet'!$B$12,Paramètres!$A$1:$I$89,3,0)*0.475*44/12</f>
        <v>29.662848328363776</v>
      </c>
      <c r="CM53" s="21">
        <f>EXP(-LN(2)/2)*CM52+(1-EXP(-LN(2)/2))/(LN(2)/2)*CG53*CJ53*VLOOKUP('Données projet'!$B$12,Paramètres!$A$1:$I$89,3,0)*0.475*44/12</f>
        <v>0.17411871146812513</v>
      </c>
      <c r="CN53" s="22">
        <f t="shared" si="12"/>
        <v>69.50649806920795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72.638639486636521</v>
      </c>
      <c r="CZ53" s="59">
        <f t="shared" si="42"/>
        <v>334.50638815329404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24.303599908630517</v>
      </c>
      <c r="DG53" s="21">
        <f>EXP(-LN(2)/25)*DG52+(1-EXP(-LN(2)/25))/(LN(2)/25)*Calculateur!DB53*Calculateur!DD53*VLOOKUP('Données projet'!$B$13,Paramètres!$A$1:$I$89,3,0)*0.475*44/12</f>
        <v>18.492072757915949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42.795672666546466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68.016800235358346</v>
      </c>
      <c r="DU53" s="59">
        <f t="shared" si="44"/>
        <v>311.30433899203405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22.470869423717392</v>
      </c>
      <c r="EB53" s="21">
        <f>EXP(-LN(2)/25)*EB52+(1-EXP(-LN(2)/25))/(LN(2)/25)*Calculateur!DW53*Calculateur!DY53*VLOOKUP('Données projet'!$B$14,Paramètres!$A$1:$I$89,3,0)*0.475*44/12</f>
        <v>17.09758858272885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39.568458006446242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439.06700232017681</v>
      </c>
      <c r="T54" s="59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9">
        <f t="shared" si="5"/>
        <v>762.65960293281341</v>
      </c>
      <c r="AN54" s="59">
        <f ca="1">AVERAGE(OFFSET($AM$3,0,0,'Données projet'!$E$10+1,1))-AVERAGE(OFFSET($H$3,0,0,'Données projet'!$E$10+1,1))</f>
        <v>487.04124684635974</v>
      </c>
      <c r="AO54" s="59">
        <f t="shared" si="36"/>
        <v>306.61893266146666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8.6</v>
      </c>
      <c r="BD54" s="12">
        <f>IF('Données projet'!$A$88&gt;35,BD53+BC54-BL53,IF(A54&lt;'Données projet'!$A$88,$BA$205^A54,IF(A54='Données projet'!$A$88,'Données projet'!$B$88,BD53+BC54-BL53)))</f>
        <v>223.59999999999997</v>
      </c>
      <c r="BE54" s="13">
        <f>BD54*VLOOKUP('Données projet'!$B$11,Paramètres!$A$1:$I$89,3,0)*VLOOKUP('Données projet'!$B$11,Paramètres!$A$1:$I$89,5,0)</f>
        <v>233.70671999999999</v>
      </c>
      <c r="BF54" s="13">
        <f t="shared" si="37"/>
        <v>57.083413771970164</v>
      </c>
      <c r="BG54" s="20">
        <f t="shared" si="7"/>
        <v>506.45948298618129</v>
      </c>
      <c r="BH54" s="59">
        <f t="shared" si="8"/>
        <v>799.7928163195146</v>
      </c>
      <c r="BI54" s="59">
        <f ca="1">AVERAGE(OFFSET($BH$3,0,0,'Données projet'!$E$11+1,1))-AVERAGE(OFFSET($H$3,0,0,'Données projet'!$E$11+1,1))</f>
        <v>356.31271939877655</v>
      </c>
      <c r="BJ54" s="59">
        <f t="shared" si="38"/>
        <v>499.70544707812991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4.887285516091926</v>
      </c>
      <c r="BQ54" s="21">
        <f>EXP(-LN(2)/25)*BQ53+(1-EXP(-LN(2)/25))/(LN(2)/25)*Calculateur!BL54*Calculateur!BN54*VLOOKUP('Données projet'!$B$11,Paramètres!$A$1:$I$89,3,0)*0.475*44/12</f>
        <v>5.3229354105740834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10.210220926666009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195.80903373714432</v>
      </c>
      <c r="CE54" s="59">
        <f t="shared" si="40"/>
        <v>388.30721786668977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38.89163572191476</v>
      </c>
      <c r="CL54" s="21">
        <f>EXP(-LN(2)/25)*CL53+(1-EXP(-LN(2)/25))/(LN(2)/25)*Calculateur!CG54*Calculateur!CI54*VLOOKUP('Données projet'!$B$12,Paramètres!$A$1:$I$89,3,0)*0.475*44/12</f>
        <v>28.851716180923269</v>
      </c>
      <c r="CM54" s="21">
        <f>EXP(-LN(2)/2)*CM53+(1-EXP(-LN(2)/2))/(LN(2)/2)*CG54*CJ54*VLOOKUP('Données projet'!$B$12,Paramètres!$A$1:$I$89,3,0)*0.475*44/12</f>
        <v>0.12312052161057517</v>
      </c>
      <c r="CN54" s="22">
        <f t="shared" si="12"/>
        <v>67.866472424448602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72.638639486636521</v>
      </c>
      <c r="CZ54" s="59">
        <f t="shared" si="42"/>
        <v>334.50638815329404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23.827021138154496</v>
      </c>
      <c r="DG54" s="21">
        <f>EXP(-LN(2)/25)*DG53+(1-EXP(-LN(2)/25))/(LN(2)/25)*Calculateur!DB54*Calculateur!DD54*VLOOKUP('Données projet'!$B$13,Paramètres!$A$1:$I$89,3,0)*0.475*44/12</f>
        <v>17.986406055894896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41.813427194049396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68.016800235358346</v>
      </c>
      <c r="DU54" s="59">
        <f t="shared" si="44"/>
        <v>311.30433899203405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22.030229380195301</v>
      </c>
      <c r="EB54" s="21">
        <f>EXP(-LN(2)/25)*EB53+(1-EXP(-LN(2)/25))/(LN(2)/25)*Calculateur!DW54*Calculateur!DY54*VLOOKUP('Données projet'!$B$14,Paramètres!$A$1:$I$89,3,0)*0.475*44/12</f>
        <v>16.630054123811025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38.66028350400633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439.06700232017681</v>
      </c>
      <c r="T55" s="59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487.04124684635974</v>
      </c>
      <c r="AO55" s="59">
        <f t="shared" si="36"/>
        <v>306.61893266146666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8.6</v>
      </c>
      <c r="BD55" s="12">
        <f>IF('Données projet'!$A$88&gt;35,BD54+BC55-BL54,IF(A55&lt;'Données projet'!$A$88,$BA$205^A55,IF(A55='Données projet'!$A$88,'Données projet'!$B$88,BD54+BC55-BL54)))</f>
        <v>232.19999999999996</v>
      </c>
      <c r="BE55" s="13">
        <f>BD55*VLOOKUP('Données projet'!$B$11,Paramètres!$A$1:$I$89,3,0)*VLOOKUP('Données projet'!$B$11,Paramètres!$A$1:$I$89,5,0)</f>
        <v>242.69543999999999</v>
      </c>
      <c r="BF55" s="13">
        <f t="shared" si="37"/>
        <v>59.019090031230249</v>
      </c>
      <c r="BG55" s="20">
        <f t="shared" si="7"/>
        <v>525.48613980439268</v>
      </c>
      <c r="BH55" s="59">
        <f t="shared" si="8"/>
        <v>818.81947313772594</v>
      </c>
      <c r="BI55" s="59">
        <f ca="1">AVERAGE(OFFSET($BH$3,0,0,'Données projet'!$E$11+1,1))-AVERAGE(OFFSET($H$3,0,0,'Données projet'!$E$11+1,1))</f>
        <v>356.31271939877655</v>
      </c>
      <c r="BJ55" s="59">
        <f t="shared" si="38"/>
        <v>499.70544707812991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4.791448828071184</v>
      </c>
      <c r="BQ55" s="21">
        <f>EXP(-LN(2)/25)*BQ54+(1-EXP(-LN(2)/25))/(LN(2)/25)*Calculateur!BL55*Calculateur!BN55*VLOOKUP('Données projet'!$B$11,Paramètres!$A$1:$I$89,3,0)*0.475*44/12</f>
        <v>5.1773794618509275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9.9688282899221115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195.80903373714432</v>
      </c>
      <c r="CE55" s="59">
        <f t="shared" si="40"/>
        <v>388.30721786668977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38.128994466963491</v>
      </c>
      <c r="CL55" s="21">
        <f>EXP(-LN(2)/25)*CL54+(1-EXP(-LN(2)/25))/(LN(2)/25)*Calculateur!CG55*Calculateur!CI55*VLOOKUP('Données projet'!$B$12,Paramètres!$A$1:$I$89,3,0)*0.475*44/12</f>
        <v>28.062764484710108</v>
      </c>
      <c r="CM55" s="21">
        <f>EXP(-LN(2)/2)*CM54+(1-EXP(-LN(2)/2))/(LN(2)/2)*CG55*CJ55*VLOOKUP('Données projet'!$B$12,Paramètres!$A$1:$I$89,3,0)*0.475*44/12</f>
        <v>8.705935573406258E-2</v>
      </c>
      <c r="CN55" s="22">
        <f t="shared" si="12"/>
        <v>66.278818307407647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72.638639486636521</v>
      </c>
      <c r="CZ55" s="59">
        <f t="shared" si="42"/>
        <v>334.50638815329404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23.35978778668316</v>
      </c>
      <c r="DG55" s="21">
        <f>EXP(-LN(2)/25)*DG54+(1-EXP(-LN(2)/25))/(LN(2)/25)*Calculateur!DB55*Calculateur!DD55*VLOOKUP('Données projet'!$B$13,Paramètres!$A$1:$I$89,3,0)*0.475*44/12</f>
        <v>17.494566836432465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40.854354623115626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68.016800235358346</v>
      </c>
      <c r="DU55" s="59">
        <f t="shared" si="44"/>
        <v>311.30433899203405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21.598230019162788</v>
      </c>
      <c r="EB55" s="21">
        <f>EXP(-LN(2)/25)*EB54+(1-EXP(-LN(2)/25))/(LN(2)/25)*Calculateur!DW55*Calculateur!DY55*VLOOKUP('Données projet'!$B$14,Paramètres!$A$1:$I$89,3,0)*0.475*44/12</f>
        <v>16.175304419258875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37.773534438421663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439.06700232017681</v>
      </c>
      <c r="T56" s="59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9">
        <f t="shared" si="5"/>
        <v>806.49115224821094</v>
      </c>
      <c r="AN56" s="59">
        <f ca="1">AVERAGE(OFFSET($AM$3,0,0,'Données projet'!$E$10+1,1))-AVERAGE(OFFSET($H$3,0,0,'Données projet'!$E$10+1,1))</f>
        <v>487.04124684635974</v>
      </c>
      <c r="AO56" s="59">
        <f t="shared" si="36"/>
        <v>306.61893266146666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8.6</v>
      </c>
      <c r="BD56" s="12">
        <f>IF('Données projet'!$A$88&gt;35,BD55+BC56-BL55,IF(A56&lt;'Données projet'!$A$88,$BA$205^A56,IF(A56='Données projet'!$A$88,'Données projet'!$B$88,BD55+BC56-BL55)))</f>
        <v>240.79999999999995</v>
      </c>
      <c r="BE56" s="13">
        <f>BD56*VLOOKUP('Données projet'!$B$11,Paramètres!$A$1:$I$89,3,0)*VLOOKUP('Données projet'!$B$11,Paramètres!$A$1:$I$89,5,0)</f>
        <v>251.68415999999999</v>
      </c>
      <c r="BF56" s="13">
        <f t="shared" si="37"/>
        <v>60.946437325817293</v>
      </c>
      <c r="BG56" s="20">
        <f t="shared" si="7"/>
        <v>544.49829034246511</v>
      </c>
      <c r="BH56" s="59">
        <f t="shared" si="8"/>
        <v>837.83162367579848</v>
      </c>
      <c r="BI56" s="59">
        <f ca="1">AVERAGE(OFFSET($BH$3,0,0,'Données projet'!$E$11+1,1))-AVERAGE(OFFSET($H$3,0,0,'Données projet'!$E$11+1,1))</f>
        <v>356.31271939877655</v>
      </c>
      <c r="BJ56" s="59">
        <f t="shared" si="38"/>
        <v>499.70544707812991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4.697491439047921</v>
      </c>
      <c r="BQ56" s="21">
        <f>EXP(-LN(2)/25)*BQ55+(1-EXP(-LN(2)/25))/(LN(2)/25)*Calculateur!BL56*Calculateur!BN56*VLOOKUP('Données projet'!$B$11,Paramètres!$A$1:$I$89,3,0)*0.475*44/12</f>
        <v>5.0358037482000606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9.7332951872479825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195.80903373714432</v>
      </c>
      <c r="CE56" s="59">
        <f t="shared" si="40"/>
        <v>388.30721786668977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37.381308141856586</v>
      </c>
      <c r="CL56" s="21">
        <f>EXP(-LN(2)/25)*CL55+(1-EXP(-LN(2)/25))/(LN(2)/25)*Calculateur!CG56*Calculateur!CI56*VLOOKUP('Données projet'!$B$12,Paramètres!$A$1:$I$89,3,0)*0.475*44/12</f>
        <v>27.295386714119065</v>
      </c>
      <c r="CM56" s="21">
        <f>EXP(-LN(2)/2)*CM55+(1-EXP(-LN(2)/2))/(LN(2)/2)*CG56*CJ56*VLOOKUP('Données projet'!$B$12,Paramètres!$A$1:$I$89,3,0)*0.475*44/12</f>
        <v>6.1560260805287592E-2</v>
      </c>
      <c r="CN56" s="22">
        <f t="shared" si="12"/>
        <v>64.738255116780948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72.638639486636521</v>
      </c>
      <c r="CZ56" s="59">
        <f t="shared" si="42"/>
        <v>334.50638815329404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22.901716596249972</v>
      </c>
      <c r="DG56" s="21">
        <f>EXP(-LN(2)/25)*DG55+(1-EXP(-LN(2)/25))/(LN(2)/25)*Calculateur!DB56*Calculateur!DD56*VLOOKUP('Données projet'!$B$13,Paramètres!$A$1:$I$89,3,0)*0.475*44/12</f>
        <v>17.016176986290933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39.917893582540906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68.016800235358346</v>
      </c>
      <c r="DU56" s="59">
        <f t="shared" si="44"/>
        <v>311.30433899203405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21.174701902106531</v>
      </c>
      <c r="EB56" s="21">
        <f>EXP(-LN(2)/25)*EB55+(1-EXP(-LN(2)/25))/(LN(2)/25)*Calculateur!DW56*Calculateur!DY56*VLOOKUP('Données projet'!$B$14,Paramètres!$A$1:$I$89,3,0)*0.475*44/12</f>
        <v>15.73298986929195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36.907691771398483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439.06700232017681</v>
      </c>
      <c r="T57" s="59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487.04124684635974</v>
      </c>
      <c r="AO57" s="59">
        <f t="shared" si="36"/>
        <v>306.61893266146666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8.6</v>
      </c>
      <c r="BD57" s="12">
        <f>IF('Données projet'!$A$88&gt;35,BD56+BC57-BL56,IF(A57&lt;'Données projet'!$A$88,$BA$205^A57,IF(A57='Données projet'!$A$88,'Données projet'!$B$88,BD56+BC57-BL56)))</f>
        <v>249.39999999999995</v>
      </c>
      <c r="BE57" s="13">
        <f>BD57*VLOOKUP('Données projet'!$B$11,Paramètres!$A$1:$I$89,3,0)*VLOOKUP('Données projet'!$B$11,Paramètres!$A$1:$I$89,5,0)</f>
        <v>260.67287999999996</v>
      </c>
      <c r="BF57" s="13">
        <f t="shared" si="37"/>
        <v>62.86578719746359</v>
      </c>
      <c r="BG57" s="20">
        <f t="shared" si="7"/>
        <v>563.49651203558233</v>
      </c>
      <c r="BH57" s="59">
        <f t="shared" si="8"/>
        <v>856.82984536891558</v>
      </c>
      <c r="BI57" s="59">
        <f ca="1">AVERAGE(OFFSET($BH$3,0,0,'Données projet'!$E$11+1,1))-AVERAGE(OFFSET($H$3,0,0,'Données projet'!$E$11+1,1))</f>
        <v>356.31271939877655</v>
      </c>
      <c r="BJ57" s="59">
        <f t="shared" si="38"/>
        <v>499.70544707812991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4.6053764971150555</v>
      </c>
      <c r="BQ57" s="21">
        <f>EXP(-LN(2)/25)*BQ56+(1-EXP(-LN(2)/25))/(LN(2)/25)*Calculateur!BL57*Calculateur!BN57*VLOOKUP('Données projet'!$B$11,Paramètres!$A$1:$I$89,3,0)*0.475*44/12</f>
        <v>4.8980994298841205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9.503475926999176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195.80903373714432</v>
      </c>
      <c r="CE57" s="59">
        <f t="shared" si="40"/>
        <v>388.30721786668977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36.648283489541399</v>
      </c>
      <c r="CL57" s="21">
        <f>EXP(-LN(2)/25)*CL56+(1-EXP(-LN(2)/25))/(LN(2)/25)*Calculateur!CG57*Calculateur!CI57*VLOOKUP('Données projet'!$B$12,Paramètres!$A$1:$I$89,3,0)*0.475*44/12</f>
        <v>26.548992929019477</v>
      </c>
      <c r="CM57" s="21">
        <f>EXP(-LN(2)/2)*CM56+(1-EXP(-LN(2)/2))/(LN(2)/2)*CG57*CJ57*VLOOKUP('Données projet'!$B$12,Paramètres!$A$1:$I$89,3,0)*0.475*44/12</f>
        <v>4.3529677867031297E-2</v>
      </c>
      <c r="CN57" s="22">
        <f t="shared" si="12"/>
        <v>63.240806096427903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72.638639486636521</v>
      </c>
      <c r="CZ57" s="59">
        <f t="shared" si="42"/>
        <v>334.50638815329404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22.452627902465341</v>
      </c>
      <c r="DG57" s="21">
        <f>EXP(-LN(2)/25)*DG56+(1-EXP(-LN(2)/25))/(LN(2)/25)*Calculateur!DB57*Calculateur!DD57*VLOOKUP('Données projet'!$B$13,Paramètres!$A$1:$I$89,3,0)*0.475*44/12</f>
        <v>16.55086873175895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39.003496634224291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68.016800235358346</v>
      </c>
      <c r="DU57" s="59">
        <f t="shared" si="44"/>
        <v>311.30433899203405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20.759478913099102</v>
      </c>
      <c r="EB57" s="21">
        <f>EXP(-LN(2)/25)*EB56+(1-EXP(-LN(2)/25))/(LN(2)/25)*Calculateur!DW57*Calculateur!DY57*VLOOKUP('Données projet'!$B$14,Paramètres!$A$1:$I$89,3,0)*0.475*44/12</f>
        <v>15.302770433954183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36.062249347053282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439.06700232017681</v>
      </c>
      <c r="T58" s="59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850.24366792757291</v>
      </c>
      <c r="AN58" s="59">
        <f ca="1">AVERAGE(OFFSET($AM$3,0,0,'Données projet'!$E$10+1,1))-AVERAGE(OFFSET($H$3,0,0,'Données projet'!$E$10+1,1))</f>
        <v>487.04124684635974</v>
      </c>
      <c r="AO58" s="59">
        <f t="shared" si="36"/>
        <v>306.61893266146666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258</v>
      </c>
      <c r="BB58" s="12">
        <f>VLOOKUP(A58,'Données projet'!$A$87:$I$107,9,0)</f>
        <v>8.6</v>
      </c>
      <c r="BC58" s="12">
        <f t="array" ref="BC58">INDEX(BB:BB,MIN(IF(ISNUMBER(BB58:BB254),ROW(BB58:BB254),"")))</f>
        <v>8.6</v>
      </c>
      <c r="BD58" s="12">
        <f>IF('Données projet'!$A$88&gt;35,BD57+BC58-BL57,IF(A58&lt;'Données projet'!$A$88,$BA$205^A58,IF(A58='Données projet'!$A$88,'Données projet'!$B$88,BD57+BC58-BL57)))</f>
        <v>257.99999999999994</v>
      </c>
      <c r="BE58" s="13">
        <f>BD58*VLOOKUP('Données projet'!$B$11,Paramètres!$A$1:$I$89,3,0)*VLOOKUP('Données projet'!$B$11,Paramètres!$A$1:$I$89,5,0)</f>
        <v>269.66159999999996</v>
      </c>
      <c r="BF58" s="13">
        <f t="shared" si="37"/>
        <v>64.777447026130091</v>
      </c>
      <c r="BG58" s="20">
        <f t="shared" si="7"/>
        <v>582.48134023717648</v>
      </c>
      <c r="BH58" s="59">
        <f t="shared" si="8"/>
        <v>875.81467357050974</v>
      </c>
      <c r="BI58" s="59">
        <f ca="1">AVERAGE(OFFSET($BH$3,0,0,'Données projet'!$E$11+1,1))-AVERAGE(OFFSET($H$3,0,0,'Données projet'!$E$11+1,1))</f>
        <v>356.31271939877655</v>
      </c>
      <c r="BJ58" s="59">
        <f t="shared" si="38"/>
        <v>499.70544707812991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258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4.5150678730089266</v>
      </c>
      <c r="BQ58" s="21">
        <f>EXP(-LN(2)/25)*BQ57+(1-EXP(-LN(2)/25))/(LN(2)/25)*Calculateur!BL58*Calculateur!BN58*VLOOKUP('Données projet'!$B$11,Paramètres!$A$1:$I$89,3,0)*0.475*44/12</f>
        <v>4.7641606433940851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9.2792285164030126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195.80903373714432</v>
      </c>
      <c r="CE58" s="59">
        <f t="shared" si="40"/>
        <v>388.30721786668977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35.929633003557221</v>
      </c>
      <c r="CL58" s="21">
        <f>EXP(-LN(2)/25)*CL57+(1-EXP(-LN(2)/25))/(LN(2)/25)*Calculateur!CG58*Calculateur!CI58*VLOOKUP('Données projet'!$B$12,Paramètres!$A$1:$I$89,3,0)*0.475*44/12</f>
        <v>25.823009321224578</v>
      </c>
      <c r="CM58" s="21">
        <f>EXP(-LN(2)/2)*CM57+(1-EXP(-LN(2)/2))/(LN(2)/2)*CG58*CJ58*VLOOKUP('Données projet'!$B$12,Paramètres!$A$1:$I$89,3,0)*0.475*44/12</f>
        <v>3.0780130402643803E-2</v>
      </c>
      <c r="CN58" s="22">
        <f t="shared" si="12"/>
        <v>61.78342245518445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72.638639486636521</v>
      </c>
      <c r="CZ58" s="59">
        <f t="shared" si="42"/>
        <v>334.50638815329404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22.012345564048772</v>
      </c>
      <c r="DG58" s="21">
        <f>EXP(-LN(2)/25)*DG57+(1-EXP(-LN(2)/25))/(LN(2)/25)*Calculateur!DB58*Calculateur!DD58*VLOOKUP('Données projet'!$B$13,Paramètres!$A$1:$I$89,3,0)*0.475*44/12</f>
        <v>16.098284355916643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38.110629919965419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68.016800235358346</v>
      </c>
      <c r="DU58" s="59">
        <f t="shared" si="44"/>
        <v>311.30433899203405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20.352398193645094</v>
      </c>
      <c r="EB58" s="21">
        <f>EXP(-LN(2)/25)*EB57+(1-EXP(-LN(2)/25))/(LN(2)/25)*Calculateur!DW58*Calculateur!DY58*VLOOKUP('Données projet'!$B$14,Paramètres!$A$1:$I$89,3,0)*0.475*44/12</f>
        <v>14.884315371699984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35.236713565345077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439.06700232017681</v>
      </c>
      <c r="T59" s="59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487.04124684635974</v>
      </c>
      <c r="AO59" s="59">
        <f t="shared" si="36"/>
        <v>306.61893266146666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-5.9412741393316544E-14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356.31271939877655</v>
      </c>
      <c r="BJ59" s="59">
        <f t="shared" si="38"/>
        <v>499.70544707812991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4.4265301459386972</v>
      </c>
      <c r="BQ59" s="21">
        <f>EXP(-LN(2)/25)*BQ58+(1-EXP(-LN(2)/25))/(LN(2)/25)*Calculateur!BL59*Calculateur!BN59*VLOOKUP('Données projet'!$B$11,Paramètres!$A$1:$I$89,3,0)*0.475*44/12</f>
        <v>4.6338844200641542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9.0604145660028514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195.80903373714432</v>
      </c>
      <c r="CE59" s="59">
        <f t="shared" si="40"/>
        <v>388.30721786668977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35.225074815269679</v>
      </c>
      <c r="CL59" s="21">
        <f>EXP(-LN(2)/25)*CL58+(1-EXP(-LN(2)/25))/(LN(2)/25)*Calculateur!CG59*Calculateur!CI59*VLOOKUP('Données projet'!$B$12,Paramètres!$A$1:$I$89,3,0)*0.475*44/12</f>
        <v>25.116877773362653</v>
      </c>
      <c r="CM59" s="21">
        <f>EXP(-LN(2)/2)*CM58+(1-EXP(-LN(2)/2))/(LN(2)/2)*CG59*CJ59*VLOOKUP('Données projet'!$B$12,Paramètres!$A$1:$I$89,3,0)*0.475*44/12</f>
        <v>2.1764838933515652E-2</v>
      </c>
      <c r="CN59" s="22">
        <f t="shared" si="12"/>
        <v>60.363717427565845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72.638639486636521</v>
      </c>
      <c r="CZ59" s="59">
        <f t="shared" si="42"/>
        <v>334.50638815329404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21.580696893742843</v>
      </c>
      <c r="DG59" s="21">
        <f>EXP(-LN(2)/25)*DG58+(1-EXP(-LN(2)/25))/(LN(2)/25)*Calculateur!DB59*Calculateur!DD59*VLOOKUP('Données projet'!$B$13,Paramètres!$A$1:$I$89,3,0)*0.475*44/12</f>
        <v>15.658075923632122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37.238772817374965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68.016800235358346</v>
      </c>
      <c r="DU59" s="59">
        <f t="shared" si="44"/>
        <v>311.30433899203405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19.953300078804858</v>
      </c>
      <c r="EB59" s="21">
        <f>EXP(-LN(2)/25)*EB58+(1-EXP(-LN(2)/25))/(LN(2)/25)*Calculateur!DW59*Calculateur!DY59*VLOOKUP('Données projet'!$B$14,Paramètres!$A$1:$I$89,3,0)*0.475*44/12</f>
        <v>14.477302985128722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34.430603063933582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439.06700232017681</v>
      </c>
      <c r="T60" s="59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487.04124684635974</v>
      </c>
      <c r="AO60" s="59">
        <f t="shared" si="36"/>
        <v>306.61893266146666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-5.9412741393316544E-14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356.31271939877655</v>
      </c>
      <c r="BJ60" s="59">
        <f t="shared" si="38"/>
        <v>499.70544707812991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4.3397285896936335</v>
      </c>
      <c r="BQ60" s="21">
        <f>EXP(-LN(2)/25)*BQ59+(1-EXP(-LN(2)/25))/(LN(2)/25)*Calculateur!BL60*Calculateur!BN60*VLOOKUP('Données projet'!$B$11,Paramètres!$A$1:$I$89,3,0)*0.475*44/12</f>
        <v>4.5071706069121094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8.8468991966057438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195.80903373714432</v>
      </c>
      <c r="CE60" s="59">
        <f t="shared" si="40"/>
        <v>388.30721786668977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34.534332583316392</v>
      </c>
      <c r="CL60" s="21">
        <f>EXP(-LN(2)/25)*CL59+(1-EXP(-LN(2)/25))/(LN(2)/25)*Calculateur!CG60*Calculateur!CI60*VLOOKUP('Données projet'!$B$12,Paramètres!$A$1:$I$89,3,0)*0.475*44/12</f>
        <v>24.430055429810853</v>
      </c>
      <c r="CM60" s="21">
        <f>EXP(-LN(2)/2)*CM59+(1-EXP(-LN(2)/2))/(LN(2)/2)*CG60*CJ60*VLOOKUP('Données projet'!$B$12,Paramètres!$A$1:$I$89,3,0)*0.475*44/12</f>
        <v>1.5390065201321903E-2</v>
      </c>
      <c r="CN60" s="22">
        <f t="shared" si="12"/>
        <v>58.979778078328572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72.638639486636521</v>
      </c>
      <c r="CZ60" s="59">
        <f t="shared" si="42"/>
        <v>334.50638815329404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21.15751259058192</v>
      </c>
      <c r="DG60" s="21">
        <f>EXP(-LN(2)/25)*DG59+(1-EXP(-LN(2)/25))/(LN(2)/25)*Calculateur!DB60*Calculateur!DD60*VLOOKUP('Données projet'!$B$13,Paramètres!$A$1:$I$89,3,0)*0.475*44/12</f>
        <v>15.229905014077977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36.387417604659895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68.016800235358346</v>
      </c>
      <c r="DU60" s="59">
        <f t="shared" si="44"/>
        <v>311.30433899203405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19.562028034570826</v>
      </c>
      <c r="EB60" s="21">
        <f>EXP(-LN(2)/25)*EB59+(1-EXP(-LN(2)/25))/(LN(2)/25)*Calculateur!DW60*Calculateur!DY60*VLOOKUP('Données projet'!$B$14,Paramètres!$A$1:$I$89,3,0)*0.475*44/12</f>
        <v>14.081420373672101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33.643448408242925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439.06700232017681</v>
      </c>
      <c r="T61" s="59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487.04124684635974</v>
      </c>
      <c r="AO61" s="59">
        <f t="shared" si="36"/>
        <v>306.61893266146666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-5.9412741393316544E-14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356.31271939877655</v>
      </c>
      <c r="BJ61" s="59">
        <f t="shared" si="38"/>
        <v>499.70544707812991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4.254629159022814</v>
      </c>
      <c r="BQ61" s="21">
        <f>EXP(-LN(2)/25)*BQ60+(1-EXP(-LN(2)/25))/(LN(2)/25)*Calculateur!BL61*Calculateur!BN61*VLOOKUP('Données projet'!$B$11,Paramètres!$A$1:$I$89,3,0)*0.475*44/12</f>
        <v>4.3839217896442966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8.6385509486671097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195.80903373714432</v>
      </c>
      <c r="CE61" s="59">
        <f t="shared" si="40"/>
        <v>388.30721786668977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33.857135385220552</v>
      </c>
      <c r="CL61" s="21">
        <f>EXP(-LN(2)/25)*CL60+(1-EXP(-LN(2)/25))/(LN(2)/25)*Calculateur!CG61*Calculateur!CI61*VLOOKUP('Données projet'!$B$12,Paramètres!$A$1:$I$89,3,0)*0.475*44/12</f>
        <v>23.762014279361896</v>
      </c>
      <c r="CM61" s="21">
        <f>EXP(-LN(2)/2)*CM60+(1-EXP(-LN(2)/2))/(LN(2)/2)*CG61*CJ61*VLOOKUP('Données projet'!$B$12,Paramètres!$A$1:$I$89,3,0)*0.475*44/12</f>
        <v>1.0882419466757828E-2</v>
      </c>
      <c r="CN61" s="22">
        <f t="shared" si="12"/>
        <v>57.630032084049212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72.638639486636521</v>
      </c>
      <c r="CZ61" s="59">
        <f t="shared" si="42"/>
        <v>334.50638815329404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20.742626673489045</v>
      </c>
      <c r="DG61" s="21">
        <f>EXP(-LN(2)/25)*DG60+(1-EXP(-LN(2)/25))/(LN(2)/25)*Calculateur!DB61*Calculateur!DD61*VLOOKUP('Données projet'!$B$13,Paramètres!$A$1:$I$89,3,0)*0.475*44/12</f>
        <v>14.813442460562118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35.556069134051164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68.016800235358346</v>
      </c>
      <c r="DU61" s="59">
        <f t="shared" si="44"/>
        <v>311.30433899203405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19.178428596471839</v>
      </c>
      <c r="EB61" s="21">
        <f>EXP(-LN(2)/25)*EB60+(1-EXP(-LN(2)/25))/(LN(2)/25)*Calculateur!DW61*Calculateur!DY61*VLOOKUP('Données projet'!$B$14,Paramètres!$A$1:$I$89,3,0)*0.475*44/12</f>
        <v>13.696363193044323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32.874791789516166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439.06700232017681</v>
      </c>
      <c r="T62" s="59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9">
        <f t="shared" si="5"/>
        <v>870.80779925686852</v>
      </c>
      <c r="AN62" s="59">
        <f ca="1">AVERAGE(OFFSET($AM$3,0,0,'Données projet'!$E$10+1,1))-AVERAGE(OFFSET($H$3,0,0,'Données projet'!$E$10+1,1))</f>
        <v>487.04124684635974</v>
      </c>
      <c r="AO62" s="59">
        <f t="shared" si="36"/>
        <v>306.61893266146666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-5.9412741393316544E-14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356.31271939877655</v>
      </c>
      <c r="BJ62" s="59">
        <f t="shared" si="38"/>
        <v>499.70544707812991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4.1711984762819219</v>
      </c>
      <c r="BQ62" s="21">
        <f>EXP(-LN(2)/25)*BQ61+(1-EXP(-LN(2)/25))/(LN(2)/25)*Calculateur!BL62*Calculateur!BN62*VLOOKUP('Données projet'!$B$11,Paramètres!$A$1:$I$89,3,0)*0.475*44/12</f>
        <v>4.2640432177660461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8.4352416940479671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195.80903373714432</v>
      </c>
      <c r="CE62" s="59">
        <f t="shared" si="40"/>
        <v>388.30721786668977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33.19321761112986</v>
      </c>
      <c r="CL62" s="21">
        <f>EXP(-LN(2)/25)*CL61+(1-EXP(-LN(2)/25))/(LN(2)/25)*Calculateur!CG62*Calculateur!CI62*VLOOKUP('Données projet'!$B$12,Paramètres!$A$1:$I$89,3,0)*0.475*44/12</f>
        <v>23.112240749302721</v>
      </c>
      <c r="CM62" s="21">
        <f>EXP(-LN(2)/2)*CM61+(1-EXP(-LN(2)/2))/(LN(2)/2)*CG62*CJ62*VLOOKUP('Données projet'!$B$12,Paramètres!$A$1:$I$89,3,0)*0.475*44/12</f>
        <v>7.6950326006609534E-3</v>
      </c>
      <c r="CN62" s="22">
        <f t="shared" si="12"/>
        <v>56.31315339303324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72.638639486636521</v>
      </c>
      <c r="CZ62" s="59">
        <f t="shared" si="42"/>
        <v>334.50638815329404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20.335876416174941</v>
      </c>
      <c r="DG62" s="21">
        <f>EXP(-LN(2)/25)*DG61+(1-EXP(-LN(2)/25))/(LN(2)/25)*Calculateur!DB62*Calculateur!DD62*VLOOKUP('Données projet'!$B$13,Paramètres!$A$1:$I$89,3,0)*0.475*44/12</f>
        <v>14.408368097472964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34.744244513647907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68.016800235358346</v>
      </c>
      <c r="DU62" s="59">
        <f t="shared" si="44"/>
        <v>311.30433899203405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18.802351309381418</v>
      </c>
      <c r="EB62" s="21">
        <f>EXP(-LN(2)/25)*EB61+(1-EXP(-LN(2)/25))/(LN(2)/25)*Calculateur!DW62*Calculateur!DY62*VLOOKUP('Données projet'!$B$14,Paramètres!$A$1:$I$89,3,0)*0.475*44/12</f>
        <v>13.321835421270089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32.124186730651509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439.06700232017681</v>
      </c>
      <c r="T63" s="59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9">
        <f t="shared" si="5"/>
        <v>890.92870637597116</v>
      </c>
      <c r="AN63" s="59">
        <f ca="1">AVERAGE(OFFSET($AM$3,0,0,'Données projet'!$E$10+1,1))-AVERAGE(OFFSET($H$3,0,0,'Données projet'!$E$10+1,1))</f>
        <v>487.04124684635974</v>
      </c>
      <c r="AO63" s="59">
        <f t="shared" si="36"/>
        <v>306.61893266146666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-5.9412741393316544E-14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356.31271939877655</v>
      </c>
      <c r="BJ63" s="59">
        <f t="shared" si="38"/>
        <v>499.70544707812991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4.0894038183418866</v>
      </c>
      <c r="BQ63" s="21">
        <f>EXP(-LN(2)/25)*BQ62+(1-EXP(-LN(2)/25))/(LN(2)/25)*Calculateur!BL63*Calculateur!BN63*VLOOKUP('Données projet'!$B$11,Paramètres!$A$1:$I$89,3,0)*0.475*44/12</f>
        <v>4.1474427317399467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8.2368465500818324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195.80903373714432</v>
      </c>
      <c r="CE63" s="59">
        <f t="shared" si="40"/>
        <v>388.30721786668977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32.542318859639231</v>
      </c>
      <c r="CL63" s="21">
        <f>EXP(-LN(2)/25)*CL62+(1-EXP(-LN(2)/25))/(LN(2)/25)*Calculateur!CG63*Calculateur!CI63*VLOOKUP('Données projet'!$B$12,Paramètres!$A$1:$I$89,3,0)*0.475*44/12</f>
        <v>22.48023531059312</v>
      </c>
      <c r="CM63" s="21">
        <f>EXP(-LN(2)/2)*CM62+(1-EXP(-LN(2)/2))/(LN(2)/2)*CG63*CJ63*VLOOKUP('Données projet'!$B$12,Paramètres!$A$1:$I$89,3,0)*0.475*44/12</f>
        <v>5.4412097333789147E-3</v>
      </c>
      <c r="CN63" s="22">
        <f t="shared" si="12"/>
        <v>55.027995379965731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72.638639486636521</v>
      </c>
      <c r="CZ63" s="59">
        <f t="shared" si="42"/>
        <v>334.50638815329404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19.937102283313603</v>
      </c>
      <c r="DG63" s="21">
        <f>EXP(-LN(2)/25)*DG62+(1-EXP(-LN(2)/25))/(LN(2)/25)*Calculateur!DB63*Calculateur!DD63*VLOOKUP('Données projet'!$B$13,Paramètres!$A$1:$I$89,3,0)*0.475*44/12</f>
        <v>14.014370514144419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33.951472797458024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68.016800235358346</v>
      </c>
      <c r="DU63" s="59">
        <f t="shared" si="44"/>
        <v>311.30433899203405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18.433648668506347</v>
      </c>
      <c r="EB63" s="21">
        <f>EXP(-LN(2)/25)*EB62+(1-EXP(-LN(2)/25))/(LN(2)/25)*Calculateur!DW63*Calculateur!DY63*VLOOKUP('Données projet'!$B$14,Paramètres!$A$1:$I$89,3,0)*0.475*44/12</f>
        <v>12.95754913111058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31.391197799616926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439.06700232017681</v>
      </c>
      <c r="T64" s="59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9">
        <f t="shared" si="5"/>
        <v>849.81508155944925</v>
      </c>
      <c r="AN64" s="59">
        <f ca="1">AVERAGE(OFFSET($AM$3,0,0,'Données projet'!$E$10+1,1))-AVERAGE(OFFSET($H$3,0,0,'Données projet'!$E$10+1,1))</f>
        <v>487.04124684635974</v>
      </c>
      <c r="AO64" s="59">
        <f t="shared" si="36"/>
        <v>306.61893266146666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-5.9412741393316544E-14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356.31271939877655</v>
      </c>
      <c r="BJ64" s="59">
        <f t="shared" si="38"/>
        <v>499.70544707812991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4.0092131037542407</v>
      </c>
      <c r="BQ64" s="21">
        <f>EXP(-LN(2)/25)*BQ63+(1-EXP(-LN(2)/25))/(LN(2)/25)*Calculateur!BL64*Calculateur!BN64*VLOOKUP('Données projet'!$B$11,Paramètres!$A$1:$I$89,3,0)*0.475*44/12</f>
        <v>4.0340306921359836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8.0432437958902234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195.80903373714432</v>
      </c>
      <c r="CE64" s="59">
        <f t="shared" si="40"/>
        <v>388.30721786668977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31.904183835656298</v>
      </c>
      <c r="CL64" s="21">
        <f>EXP(-LN(2)/25)*CL63+(1-EXP(-LN(2)/25))/(LN(2)/25)*Calculateur!CG64*Calculateur!CI64*VLOOKUP('Données projet'!$B$12,Paramètres!$A$1:$I$89,3,0)*0.475*44/12</f>
        <v>21.865512093840756</v>
      </c>
      <c r="CM64" s="21">
        <f>EXP(-LN(2)/2)*CM63+(1-EXP(-LN(2)/2))/(LN(2)/2)*CG64*CJ64*VLOOKUP('Données projet'!$B$12,Paramètres!$A$1:$I$89,3,0)*0.475*44/12</f>
        <v>3.8475163003304771E-3</v>
      </c>
      <c r="CN64" s="22">
        <f t="shared" si="12"/>
        <v>53.773543445797387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72.638639486636521</v>
      </c>
      <c r="CZ64" s="59">
        <f t="shared" si="42"/>
        <v>334.50638815329404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19.546147867969474</v>
      </c>
      <c r="DG64" s="21">
        <f>EXP(-LN(2)/25)*DG63+(1-EXP(-LN(2)/25))/(LN(2)/25)*Calculateur!DB64*Calculateur!DD64*VLOOKUP('Données projet'!$B$13,Paramètres!$A$1:$I$89,3,0)*0.475*44/12</f>
        <v>13.631146815451425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33.177294683420897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68.016800235358346</v>
      </c>
      <c r="DU64" s="59">
        <f t="shared" si="44"/>
        <v>311.30433899203405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18.072176061532431</v>
      </c>
      <c r="EB64" s="21">
        <f>EXP(-LN(2)/25)*EB63+(1-EXP(-LN(2)/25))/(LN(2)/25)*Calculateur!DW64*Calculateur!DY64*VLOOKUP('Données projet'!$B$14,Paramètres!$A$1:$I$89,3,0)*0.475*44/12</f>
        <v>12.603224268712468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30.675400330244898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439.06700232017681</v>
      </c>
      <c r="T65" s="59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9">
        <f t="shared" si="5"/>
        <v>868.66642561960771</v>
      </c>
      <c r="AN65" s="59">
        <f ca="1">AVERAGE(OFFSET($AM$3,0,0,'Données projet'!$E$10+1,1))-AVERAGE(OFFSET($H$3,0,0,'Données projet'!$E$10+1,1))</f>
        <v>487.04124684635974</v>
      </c>
      <c r="AO65" s="59">
        <f t="shared" si="36"/>
        <v>306.61893266146666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-5.9412741393316544E-14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356.31271939877655</v>
      </c>
      <c r="BJ65" s="59">
        <f t="shared" si="38"/>
        <v>499.70544707812991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3.9305948801681523</v>
      </c>
      <c r="BQ65" s="21">
        <f>EXP(-LN(2)/25)*BQ64+(1-EXP(-LN(2)/25))/(LN(2)/25)*Calculateur!BL65*Calculateur!BN65*VLOOKUP('Données projet'!$B$11,Paramètres!$A$1:$I$89,3,0)*0.475*44/12</f>
        <v>3.923719910719071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7.8543147908872228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195.80903373714432</v>
      </c>
      <c r="CE65" s="59">
        <f t="shared" si="40"/>
        <v>388.30721786668977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31.27856225026974</v>
      </c>
      <c r="CL65" s="21">
        <f>EXP(-LN(2)/25)*CL64+(1-EXP(-LN(2)/25))/(LN(2)/25)*Calculateur!CG65*Calculateur!CI65*VLOOKUP('Données projet'!$B$12,Paramètres!$A$1:$I$89,3,0)*0.475*44/12</f>
        <v>21.267598515777372</v>
      </c>
      <c r="CM65" s="21">
        <f>EXP(-LN(2)/2)*CM64+(1-EXP(-LN(2)/2))/(LN(2)/2)*CG65*CJ65*VLOOKUP('Données projet'!$B$12,Paramètres!$A$1:$I$89,3,0)*0.475*44/12</f>
        <v>2.7206048666894578E-3</v>
      </c>
      <c r="CN65" s="22">
        <f t="shared" si="12"/>
        <v>52.548881370913797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72.638639486636521</v>
      </c>
      <c r="CZ65" s="59">
        <f t="shared" si="42"/>
        <v>334.50638815329404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19.162859830251595</v>
      </c>
      <c r="DG65" s="21">
        <f>EXP(-LN(2)/25)*DG64+(1-EXP(-LN(2)/25))/(LN(2)/25)*Calculateur!DB65*Calculateur!DD65*VLOOKUP('Données projet'!$B$13,Paramètres!$A$1:$I$89,3,0)*0.475*44/12</f>
        <v>13.258402388952049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32.421262219203641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68.016800235358346</v>
      </c>
      <c r="DU65" s="59">
        <f t="shared" si="44"/>
        <v>311.30433899203405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17.717791711904752</v>
      </c>
      <c r="EB65" s="21">
        <f>EXP(-LN(2)/25)*EB64+(1-EXP(-LN(2)/25))/(LN(2)/25)*Calculateur!DW65*Calculateur!DY65*VLOOKUP('Données projet'!$B$14,Paramètres!$A$1:$I$89,3,0)*0.475*44/12</f>
        <v>12.258588438309767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29.976380150214517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439.06700232017681</v>
      </c>
      <c r="T66" s="59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487.04124684635974</v>
      </c>
      <c r="AO66" s="59">
        <f t="shared" si="36"/>
        <v>306.61893266146666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-5.9412741393316544E-14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356.31271939877655</v>
      </c>
      <c r="BJ66" s="59">
        <f t="shared" si="38"/>
        <v>499.70544707812991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3.8535183119942054</v>
      </c>
      <c r="BQ66" s="21">
        <f>EXP(-LN(2)/25)*BQ65+(1-EXP(-LN(2)/25))/(LN(2)/25)*Calculateur!BL66*Calculateur!BN66*VLOOKUP('Données projet'!$B$11,Paramètres!$A$1:$I$89,3,0)*0.475*44/12</f>
        <v>3.8164255834209957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7.6699438954152015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195.80903373714432</v>
      </c>
      <c r="CE66" s="59">
        <f t="shared" si="40"/>
        <v>388.30721786668977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30.665208722581124</v>
      </c>
      <c r="CL66" s="21">
        <f>EXP(-LN(2)/25)*CL65+(1-EXP(-LN(2)/25))/(LN(2)/25)*Calculateur!CG66*Calculateur!CI66*VLOOKUP('Données projet'!$B$12,Paramètres!$A$1:$I$89,3,0)*0.475*44/12</f>
        <v>20.68603491594904</v>
      </c>
      <c r="CM66" s="21">
        <f>EXP(-LN(2)/2)*CM65+(1-EXP(-LN(2)/2))/(LN(2)/2)*CG66*CJ66*VLOOKUP('Données projet'!$B$12,Paramètres!$A$1:$I$89,3,0)*0.475*44/12</f>
        <v>1.9237581501652388E-3</v>
      </c>
      <c r="CN66" s="22">
        <f t="shared" si="12"/>
        <v>51.353167396680327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72.638639486636521</v>
      </c>
      <c r="CZ66" s="59">
        <f t="shared" si="42"/>
        <v>334.50638815329404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18.787087837170745</v>
      </c>
      <c r="DG66" s="21">
        <f>EXP(-LN(2)/25)*DG65+(1-EXP(-LN(2)/25))/(LN(2)/25)*Calculateur!DB66*Calculateur!DD66*VLOOKUP('Données projet'!$B$13,Paramètres!$A$1:$I$89,3,0)*0.475*44/12</f>
        <v>12.895850678397077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31.68293851556782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68.016800235358346</v>
      </c>
      <c r="DU66" s="59">
        <f t="shared" si="44"/>
        <v>311.30433899203405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17.370356623220161</v>
      </c>
      <c r="EB66" s="21">
        <f>EXP(-LN(2)/25)*EB65+(1-EXP(-LN(2)/25))/(LN(2)/25)*Calculateur!DW66*Calculateur!DY66*VLOOKUP('Données projet'!$B$14,Paramètres!$A$1:$I$89,3,0)*0.475*44/12</f>
        <v>11.923376692813038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29.293733316033197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439.06700232017681</v>
      </c>
      <c r="T67" s="59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487.04124684635974</v>
      </c>
      <c r="AO67" s="59">
        <f t="shared" si="36"/>
        <v>306.61893266146666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-5.9412741393316544E-14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356.31271939877655</v>
      </c>
      <c r="BJ67" s="59">
        <f t="shared" si="38"/>
        <v>499.70544707812991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3.7779531683100851</v>
      </c>
      <c r="BQ67" s="21">
        <f>EXP(-LN(2)/25)*BQ66+(1-EXP(-LN(2)/25))/(LN(2)/25)*Calculateur!BL67*Calculateur!BN67*VLOOKUP('Données projet'!$B$11,Paramètres!$A$1:$I$89,3,0)*0.475*44/12</f>
        <v>3.7120652251452495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7.490018393455335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195.80903373714432</v>
      </c>
      <c r="CE67" s="59">
        <f t="shared" si="40"/>
        <v>388.30721786668977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30.06388268346177</v>
      </c>
      <c r="CL67" s="21">
        <f>EXP(-LN(2)/25)*CL66+(1-EXP(-LN(2)/25))/(LN(2)/25)*Calculateur!CG67*Calculateur!CI67*VLOOKUP('Données projet'!$B$12,Paramètres!$A$1:$I$89,3,0)*0.475*44/12</f>
        <v>20.120374203341115</v>
      </c>
      <c r="CM67" s="21">
        <f>EXP(-LN(2)/2)*CM66+(1-EXP(-LN(2)/2))/(LN(2)/2)*CG67*CJ67*VLOOKUP('Données projet'!$B$12,Paramètres!$A$1:$I$89,3,0)*0.475*44/12</f>
        <v>1.3603024333447291E-3</v>
      </c>
      <c r="CN67" s="22">
        <f t="shared" si="12"/>
        <v>50.185617189236233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72.638639486636521</v>
      </c>
      <c r="CZ67" s="59">
        <f t="shared" si="42"/>
        <v>334.50638815329404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18.418684503675927</v>
      </c>
      <c r="DG67" s="21">
        <f>EXP(-LN(2)/25)*DG66+(1-EXP(-LN(2)/25))/(LN(2)/25)*Calculateur!DB67*Calculateur!DD67*VLOOKUP('Données projet'!$B$13,Paramètres!$A$1:$I$89,3,0)*0.475*44/12</f>
        <v>12.543212963432994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30.961897467108919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68.016800235358346</v>
      </c>
      <c r="DU67" s="59">
        <f t="shared" si="44"/>
        <v>311.30433899203405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17.029734524710197</v>
      </c>
      <c r="EB67" s="21">
        <f>EXP(-LN(2)/25)*EB66+(1-EXP(-LN(2)/25))/(LN(2)/25)*Calculateur!DW67*Calculateur!DY67*VLOOKUP('Données projet'!$B$14,Paramètres!$A$1:$I$89,3,0)*0.475*44/12</f>
        <v>11.597331330124936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28.627065854835131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439.06700232017681</v>
      </c>
      <c r="T68" s="59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487.04124684635974</v>
      </c>
      <c r="AO68" s="59">
        <f t="shared" si="36"/>
        <v>306.61893266146666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-5.9412741393316544E-14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356.31271939877655</v>
      </c>
      <c r="BJ68" s="59">
        <f t="shared" si="38"/>
        <v>499.70544707812991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3.7038698110034241</v>
      </c>
      <c r="BQ68" s="21">
        <f>EXP(-LN(2)/25)*BQ67+(1-EXP(-LN(2)/25))/(LN(2)/25)*Calculateur!BL68*Calculateur!BN68*VLOOKUP('Données projet'!$B$11,Paramètres!$A$1:$I$89,3,0)*0.475*44/12</f>
        <v>3.6105586063546267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7.3144284173580507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195.80903373714432</v>
      </c>
      <c r="CE68" s="59">
        <f t="shared" si="40"/>
        <v>388.30721786668977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29.474348281196878</v>
      </c>
      <c r="CL68" s="21">
        <f>EXP(-LN(2)/25)*CL67+(1-EXP(-LN(2)/25))/(LN(2)/25)*Calculateur!CG68*Calculateur!CI68*VLOOKUP('Données projet'!$B$12,Paramètres!$A$1:$I$89,3,0)*0.475*44/12</f>
        <v>19.570181512666259</v>
      </c>
      <c r="CM68" s="21">
        <f>EXP(-LN(2)/2)*CM67+(1-EXP(-LN(2)/2))/(LN(2)/2)*CG68*CJ68*VLOOKUP('Données projet'!$B$12,Paramètres!$A$1:$I$89,3,0)*0.475*44/12</f>
        <v>9.618790750826196E-4</v>
      </c>
      <c r="CN68" s="22">
        <f t="shared" ref="CN68:CN131" si="66">SUM(CK68:CM68)</f>
        <v>49.045491672938219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72.638639486636521</v>
      </c>
      <c r="CZ68" s="59">
        <f t="shared" si="42"/>
        <v>334.50638815329404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18.057505334847097</v>
      </c>
      <c r="DG68" s="21">
        <f>EXP(-LN(2)/25)*DG67+(1-EXP(-LN(2)/25))/(LN(2)/25)*Calculateur!DB68*Calculateur!DD68*VLOOKUP('Données projet'!$B$13,Paramètres!$A$1:$I$89,3,0)*0.475*44/12</f>
        <v>12.200218145329018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30.257723480176114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68.016800235358346</v>
      </c>
      <c r="DU68" s="59">
        <f t="shared" si="44"/>
        <v>311.30433899203405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16.695791817793047</v>
      </c>
      <c r="EB68" s="21">
        <f>EXP(-LN(2)/25)*EB67+(1-EXP(-LN(2)/25))/(LN(2)/25)*Calculateur!DW68*Calculateur!DY68*VLOOKUP('Données projet'!$B$14,Paramètres!$A$1:$I$89,3,0)*0.475*44/12</f>
        <v>11.280201695025522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27.975993512818569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439.06700232017681</v>
      </c>
      <c r="T69" s="59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487.04124684635974</v>
      </c>
      <c r="AO69" s="59">
        <f t="shared" ref="AO69:AO132" si="90">$AO$3</f>
        <v>306.61893266146666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-5.9412741393316544E-14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356.31271939877655</v>
      </c>
      <c r="BJ69" s="59">
        <f t="shared" ref="BJ69:BJ132" si="92">$BJ$3</f>
        <v>499.70544707812991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3.6312391831471604</v>
      </c>
      <c r="BQ69" s="21">
        <f>EXP(-LN(2)/25)*BQ68+(1-EXP(-LN(2)/25))/(LN(2)/25)*Calculateur!BL69*Calculateur!BN69*VLOOKUP('Données projet'!$B$11,Paramètres!$A$1:$I$89,3,0)*0.475*44/12</f>
        <v>3.5118276913928343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7.1430668745399952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195.80903373714432</v>
      </c>
      <c r="CE69" s="59">
        <f t="shared" ref="CE69:CE132" si="94">$CE$3</f>
        <v>388.30721786668977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28.896374288979921</v>
      </c>
      <c r="CL69" s="21">
        <f>EXP(-LN(2)/25)*CL68+(1-EXP(-LN(2)/25))/(LN(2)/25)*Calculateur!CG69*Calculateur!CI69*VLOOKUP('Données projet'!$B$12,Paramètres!$A$1:$I$89,3,0)*0.475*44/12</f>
        <v>19.035033870051283</v>
      </c>
      <c r="CM69" s="21">
        <f>EXP(-LN(2)/2)*CM68+(1-EXP(-LN(2)/2))/(LN(2)/2)*CG69*CJ69*VLOOKUP('Données projet'!$B$12,Paramètres!$A$1:$I$89,3,0)*0.475*44/12</f>
        <v>6.8015121667236466E-4</v>
      </c>
      <c r="CN69" s="22">
        <f t="shared" si="66"/>
        <v>47.932088310247877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72.638639486636521</v>
      </c>
      <c r="CZ69" s="59">
        <f t="shared" ref="CZ69:CZ132" si="96">$CZ$3</f>
        <v>334.50638815329404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17.703408669221457</v>
      </c>
      <c r="DG69" s="21">
        <f>EXP(-LN(2)/25)*DG68+(1-EXP(-LN(2)/25))/(LN(2)/25)*Calculateur!DB69*Calculateur!DD69*VLOOKUP('Données projet'!$B$13,Paramètres!$A$1:$I$89,3,0)*0.475*44/12</f>
        <v>11.866602538563408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29.570011207784866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68.016800235358346</v>
      </c>
      <c r="DU69" s="59">
        <f t="shared" ref="DU69:DU132" si="98">$DU$3</f>
        <v>311.30433899203405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16.368397523673604</v>
      </c>
      <c r="EB69" s="21">
        <f>EXP(-LN(2)/25)*EB68+(1-EXP(-LN(2)/25))/(LN(2)/25)*Calculateur!DW69*Calculateur!DY69*VLOOKUP('Données projet'!$B$14,Paramètres!$A$1:$I$89,3,0)*0.475*44/12</f>
        <v>10.971743986475023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27.340141510148626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439.06700232017681</v>
      </c>
      <c r="T70" s="59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9">
        <f t="shared" si="59"/>
        <v>900.34213188128092</v>
      </c>
      <c r="AN70" s="59">
        <f ca="1">AVERAGE(OFFSET($AM$3,0,0,'Données projet'!$E$10+1,1))-AVERAGE(OFFSET($H$3,0,0,'Données projet'!$E$10+1,1))</f>
        <v>487.04124684635974</v>
      </c>
      <c r="AO70" s="59">
        <f t="shared" si="90"/>
        <v>306.61893266146666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-5.9412741393316544E-14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356.31271939877655</v>
      </c>
      <c r="BJ70" s="59">
        <f t="shared" si="92"/>
        <v>499.70544707812991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3.5600327976028492</v>
      </c>
      <c r="BQ70" s="21">
        <f>EXP(-LN(2)/25)*BQ69+(1-EXP(-LN(2)/25))/(LN(2)/25)*Calculateur!BL70*Calculateur!BN70*VLOOKUP('Données projet'!$B$11,Paramètres!$A$1:$I$89,3,0)*0.475*44/12</f>
        <v>3.4157965784927056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6.9758293760955548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195.80903373714432</v>
      </c>
      <c r="CE70" s="59">
        <f t="shared" si="94"/>
        <v>388.30721786668977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28.32973401422101</v>
      </c>
      <c r="CL70" s="21">
        <f>EXP(-LN(2)/25)*CL69+(1-EXP(-LN(2)/25))/(LN(2)/25)*Calculateur!CG70*Calculateur!CI70*VLOOKUP('Données projet'!$B$12,Paramètres!$A$1:$I$89,3,0)*0.475*44/12</f>
        <v>18.514519867865804</v>
      </c>
      <c r="CM70" s="21">
        <f>EXP(-LN(2)/2)*CM69+(1-EXP(-LN(2)/2))/(LN(2)/2)*CG70*CJ70*VLOOKUP('Données projet'!$B$12,Paramètres!$A$1:$I$89,3,0)*0.475*44/12</f>
        <v>4.8093953754130986E-4</v>
      </c>
      <c r="CN70" s="22">
        <f t="shared" si="66"/>
        <v>46.844734821624357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72.638639486636521</v>
      </c>
      <c r="CZ70" s="59">
        <f t="shared" si="96"/>
        <v>334.50638815329404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17.356255623231096</v>
      </c>
      <c r="DG70" s="21">
        <f>EXP(-LN(2)/25)*DG69+(1-EXP(-LN(2)/25))/(LN(2)/25)*Calculateur!DB70*Calculateur!DD70*VLOOKUP('Données projet'!$B$13,Paramètres!$A$1:$I$89,3,0)*0.475*44/12</f>
        <v>11.542109668108886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28.898365291339982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68.016800235358346</v>
      </c>
      <c r="DU70" s="59">
        <f t="shared" si="98"/>
        <v>311.30433899203405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16.047423231971042</v>
      </c>
      <c r="EB70" s="21">
        <f>EXP(-LN(2)/25)*EB69+(1-EXP(-LN(2)/25))/(LN(2)/25)*Calculateur!DW70*Calculateur!DY70*VLOOKUP('Données projet'!$B$14,Paramètres!$A$1:$I$89,3,0)*0.475*44/12</f>
        <v>10.671721070185923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26.719144302156963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439.06700232017681</v>
      </c>
      <c r="T71" s="59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487.04124684635974</v>
      </c>
      <c r="AO71" s="59">
        <f t="shared" si="90"/>
        <v>306.61893266146666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-5.9412741393316544E-14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356.31271939877655</v>
      </c>
      <c r="BJ71" s="59">
        <f t="shared" si="92"/>
        <v>499.70544707812991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3.4902227258474552</v>
      </c>
      <c r="BQ71" s="21">
        <f>EXP(-LN(2)/25)*BQ70+(1-EXP(-LN(2)/25))/(LN(2)/25)*Calculateur!BL71*Calculateur!BN71*VLOOKUP('Données projet'!$B$11,Paramètres!$A$1:$I$89,3,0)*0.475*44/12</f>
        <v>3.3223914414248874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6.8126141672723426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195.80903373714432</v>
      </c>
      <c r="CE71" s="59">
        <f t="shared" si="94"/>
        <v>388.30721786668977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27.774205209633681</v>
      </c>
      <c r="CL71" s="21">
        <f>EXP(-LN(2)/25)*CL70+(1-EXP(-LN(2)/25))/(LN(2)/25)*Calculateur!CG71*Calculateur!CI71*VLOOKUP('Données projet'!$B$12,Paramètres!$A$1:$I$89,3,0)*0.475*44/12</f>
        <v>18.008239348442729</v>
      </c>
      <c r="CM71" s="21">
        <f>EXP(-LN(2)/2)*CM70+(1-EXP(-LN(2)/2))/(LN(2)/2)*CG71*CJ71*VLOOKUP('Données projet'!$B$12,Paramètres!$A$1:$I$89,3,0)*0.475*44/12</f>
        <v>3.4007560833618239E-4</v>
      </c>
      <c r="CN71" s="22">
        <f t="shared" si="66"/>
        <v>45.782784633684741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72.638639486636521</v>
      </c>
      <c r="CZ71" s="59">
        <f t="shared" si="96"/>
        <v>334.50638815329404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17.015910036730158</v>
      </c>
      <c r="DG71" s="21">
        <f>EXP(-LN(2)/25)*DG70+(1-EXP(-LN(2)/25))/(LN(2)/25)*Calculateur!DB71*Calculateur!DD71*VLOOKUP('Données projet'!$B$13,Paramètres!$A$1:$I$89,3,0)*0.475*44/12</f>
        <v>11.22649007226128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28.24240010899144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68.016800235358346</v>
      </c>
      <c r="DU71" s="59">
        <f t="shared" si="98"/>
        <v>311.30433899203405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15.732743050353781</v>
      </c>
      <c r="EB71" s="21">
        <f>EXP(-LN(2)/25)*EB70+(1-EXP(-LN(2)/25))/(LN(2)/25)*Calculateur!DW71*Calculateur!DY71*VLOOKUP('Données projet'!$B$14,Paramètres!$A$1:$I$89,3,0)*0.475*44/12</f>
        <v>10.379902296320267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26.11264534667405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439.06700232017681</v>
      </c>
      <c r="T72" s="59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9">
        <f t="shared" si="59"/>
        <v>935.40225505936314</v>
      </c>
      <c r="AN72" s="59">
        <f ca="1">AVERAGE(OFFSET($AM$3,0,0,'Données projet'!$E$10+1,1))-AVERAGE(OFFSET($H$3,0,0,'Données projet'!$E$10+1,1))</f>
        <v>487.04124684635974</v>
      </c>
      <c r="AO72" s="59">
        <f t="shared" si="90"/>
        <v>306.61893266146666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-5.9412741393316544E-14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356.31271939877655</v>
      </c>
      <c r="BJ72" s="59">
        <f t="shared" si="92"/>
        <v>499.70544707812991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3.4217815870192454</v>
      </c>
      <c r="BQ72" s="21">
        <f>EXP(-LN(2)/25)*BQ71+(1-EXP(-LN(2)/25))/(LN(2)/25)*Calculateur!BL72*Calculateur!BN72*VLOOKUP('Données projet'!$B$11,Paramètres!$A$1:$I$89,3,0)*0.475*44/12</f>
        <v>3.2315404727421515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6.6533220597613969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195.80903373714432</v>
      </c>
      <c r="CE72" s="59">
        <f t="shared" si="94"/>
        <v>388.30721786668977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27.229569986065197</v>
      </c>
      <c r="CL72" s="21">
        <f>EXP(-LN(2)/25)*CL71+(1-EXP(-LN(2)/25))/(LN(2)/25)*Calculateur!CG72*Calculateur!CI72*VLOOKUP('Données projet'!$B$12,Paramètres!$A$1:$I$89,3,0)*0.475*44/12</f>
        <v>17.515803096447414</v>
      </c>
      <c r="CM72" s="21">
        <f>EXP(-LN(2)/2)*CM71+(1-EXP(-LN(2)/2))/(LN(2)/2)*CG72*CJ72*VLOOKUP('Données projet'!$B$12,Paramètres!$A$1:$I$89,3,0)*0.475*44/12</f>
        <v>2.4046976877065498E-4</v>
      </c>
      <c r="CN72" s="22">
        <f t="shared" si="66"/>
        <v>44.745613552281384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72.638639486636521</v>
      </c>
      <c r="CZ72" s="59">
        <f t="shared" si="96"/>
        <v>334.50638815329404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16.682238419590192</v>
      </c>
      <c r="DG72" s="21">
        <f>EXP(-LN(2)/25)*DG71+(1-EXP(-LN(2)/25))/(LN(2)/25)*Calculateur!DB72*Calculateur!DD72*VLOOKUP('Données projet'!$B$13,Paramètres!$A$1:$I$89,3,0)*0.475*44/12</f>
        <v>10.919501110859841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27.601739530450033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68.016800235358346</v>
      </c>
      <c r="DU72" s="59">
        <f t="shared" si="98"/>
        <v>311.30433899203405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15.424233555162076</v>
      </c>
      <c r="EB72" s="21">
        <f>EXP(-LN(2)/25)*EB71+(1-EXP(-LN(2)/25))/(LN(2)/25)*Calculateur!DW72*Calculateur!DY72*VLOOKUP('Données projet'!$B$14,Paramètres!$A$1:$I$89,3,0)*0.475*44/12</f>
        <v>10.096063322172052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25.520296877334125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439.06700232017681</v>
      </c>
      <c r="T73" s="59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9">
        <f t="shared" si="59"/>
        <v>952.91734953545892</v>
      </c>
      <c r="AN73" s="59">
        <f ca="1">AVERAGE(OFFSET($AM$3,0,0,'Données projet'!$E$10+1,1))-AVERAGE(OFFSET($H$3,0,0,'Données projet'!$E$10+1,1))</f>
        <v>487.04124684635974</v>
      </c>
      <c r="AO73" s="59">
        <f t="shared" si="90"/>
        <v>306.61893266146666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-5.9412741393316544E-14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356.31271939877655</v>
      </c>
      <c r="BJ73" s="59">
        <f t="shared" si="92"/>
        <v>499.70544707812991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3.3546825371784839</v>
      </c>
      <c r="BQ73" s="21">
        <f>EXP(-LN(2)/25)*BQ72+(1-EXP(-LN(2)/25))/(LN(2)/25)*Calculateur!BL73*Calculateur!BN73*VLOOKUP('Données projet'!$B$11,Paramètres!$A$1:$I$89,3,0)*0.475*44/12</f>
        <v>3.1431738285756898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6.4978563657541741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195.80903373714432</v>
      </c>
      <c r="CE73" s="59">
        <f t="shared" si="94"/>
        <v>388.30721786668977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26.695614727036208</v>
      </c>
      <c r="CL73" s="21">
        <f>EXP(-LN(2)/25)*CL72+(1-EXP(-LN(2)/25))/(LN(2)/25)*Calculateur!CG73*Calculateur!CI73*VLOOKUP('Données projet'!$B$12,Paramètres!$A$1:$I$89,3,0)*0.475*44/12</f>
        <v>17.036832539659006</v>
      </c>
      <c r="CM73" s="21">
        <f>EXP(-LN(2)/2)*CM72+(1-EXP(-LN(2)/2))/(LN(2)/2)*CG73*CJ73*VLOOKUP('Données projet'!$B$12,Paramètres!$A$1:$I$89,3,0)*0.475*44/12</f>
        <v>1.7003780416809122E-4</v>
      </c>
      <c r="CN73" s="22">
        <f t="shared" si="66"/>
        <v>43.732617304499385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72.638639486636521</v>
      </c>
      <c r="CZ73" s="59">
        <f t="shared" si="96"/>
        <v>334.50638815329404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16.35510989934275</v>
      </c>
      <c r="DG73" s="21">
        <f>EXP(-LN(2)/25)*DG72+(1-EXP(-LN(2)/25))/(LN(2)/25)*Calculateur!DB73*Calculateur!DD73*VLOOKUP('Données projet'!$B$13,Paramètres!$A$1:$I$89,3,0)*0.475*44/12</f>
        <v>10.620906778751772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26.976016678094524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68.016800235358346</v>
      </c>
      <c r="DU73" s="59">
        <f t="shared" si="98"/>
        <v>311.30433899203405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15.121773742998867</v>
      </c>
      <c r="EB73" s="21">
        <f>EXP(-LN(2)/25)*EB72+(1-EXP(-LN(2)/25))/(LN(2)/25)*Calculateur!DW73*Calculateur!DY73*VLOOKUP('Données projet'!$B$14,Paramètres!$A$1:$I$89,3,0)*0.475*44/12</f>
        <v>9.8199859396983609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24.941759682697228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439.06700232017681</v>
      </c>
      <c r="T74" s="59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9">
        <f t="shared" si="59"/>
        <v>909.32484671952011</v>
      </c>
      <c r="AN74" s="59">
        <f ca="1">AVERAGE(OFFSET($AM$3,0,0,'Données projet'!$E$10+1,1))-AVERAGE(OFFSET($H$3,0,0,'Données projet'!$E$10+1,1))</f>
        <v>487.04124684635974</v>
      </c>
      <c r="AO74" s="59">
        <f t="shared" si="90"/>
        <v>306.61893266146666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-5.9412741393316544E-14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356.31271939877655</v>
      </c>
      <c r="BJ74" s="59">
        <f t="shared" si="92"/>
        <v>499.70544707812991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3.2888992587787205</v>
      </c>
      <c r="BQ74" s="21">
        <f>EXP(-LN(2)/25)*BQ73+(1-EXP(-LN(2)/25))/(LN(2)/25)*Calculateur!BL74*Calculateur!BN74*VLOOKUP('Données projet'!$B$11,Paramètres!$A$1:$I$89,3,0)*0.475*44/12</f>
        <v>3.0572235749409598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6.3461228337196802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195.80903373714432</v>
      </c>
      <c r="CE74" s="59">
        <f t="shared" si="94"/>
        <v>388.30721786668977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26.172130004956227</v>
      </c>
      <c r="CL74" s="21">
        <f>EXP(-LN(2)/25)*CL73+(1-EXP(-LN(2)/25))/(LN(2)/25)*Calculateur!CG74*Calculateur!CI74*VLOOKUP('Données projet'!$B$12,Paramètres!$A$1:$I$89,3,0)*0.475*44/12</f>
        <v>16.570959457933945</v>
      </c>
      <c r="CM74" s="21">
        <f>EXP(-LN(2)/2)*CM73+(1-EXP(-LN(2)/2))/(LN(2)/2)*CG74*CJ74*VLOOKUP('Données projet'!$B$12,Paramètres!$A$1:$I$89,3,0)*0.475*44/12</f>
        <v>1.202348843853275E-4</v>
      </c>
      <c r="CN74" s="22">
        <f t="shared" si="66"/>
        <v>42.743209697774553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72.638639486636521</v>
      </c>
      <c r="CZ74" s="59">
        <f t="shared" si="96"/>
        <v>334.50638815329404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16.034396169848666</v>
      </c>
      <c r="DG74" s="21">
        <f>EXP(-LN(2)/25)*DG73+(1-EXP(-LN(2)/25))/(LN(2)/25)*Calculateur!DB74*Calculateur!DD74*VLOOKUP('Données projet'!$B$13,Paramètres!$A$1:$I$89,3,0)*0.475*44/12</f>
        <v>10.330477524357592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26.36487369420626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68.016800235358346</v>
      </c>
      <c r="DU74" s="59">
        <f t="shared" si="98"/>
        <v>311.30433899203405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14.82524498326991</v>
      </c>
      <c r="EB74" s="21">
        <f>EXP(-LN(2)/25)*EB73+(1-EXP(-LN(2)/25))/(LN(2)/25)*Calculateur!DW74*Calculateur!DY74*VLOOKUP('Données projet'!$B$14,Paramètres!$A$1:$I$89,3,0)*0.475*44/12</f>
        <v>9.551457907766693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24.376702891036601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439.06700232017681</v>
      </c>
      <c r="T75" s="59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9">
        <f t="shared" si="59"/>
        <v>925.57241165889513</v>
      </c>
      <c r="AN75" s="59">
        <f ca="1">AVERAGE(OFFSET($AM$3,0,0,'Données projet'!$E$10+1,1))-AVERAGE(OFFSET($H$3,0,0,'Données projet'!$E$10+1,1))</f>
        <v>487.04124684635974</v>
      </c>
      <c r="AO75" s="59">
        <f t="shared" si="90"/>
        <v>306.61893266146666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-5.9412741393316544E-14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356.31271939877655</v>
      </c>
      <c r="BJ75" s="59">
        <f t="shared" si="92"/>
        <v>499.70544707812991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3.2244059503445386</v>
      </c>
      <c r="BQ75" s="21">
        <f>EXP(-LN(2)/25)*BQ74+(1-EXP(-LN(2)/25))/(LN(2)/25)*Calculateur!BL75*Calculateur!BN75*VLOOKUP('Données projet'!$B$11,Paramètres!$A$1:$I$89,3,0)*0.475*44/12</f>
        <v>2.9736236355117986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6.1980295858563377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195.80903373714432</v>
      </c>
      <c r="CE75" s="59">
        <f t="shared" si="94"/>
        <v>388.30721786668977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25.658910498982081</v>
      </c>
      <c r="CL75" s="21">
        <f>EXP(-LN(2)/25)*CL74+(1-EXP(-LN(2)/25))/(LN(2)/25)*Calculateur!CG75*Calculateur!CI75*VLOOKUP('Données projet'!$B$12,Paramètres!$A$1:$I$89,3,0)*0.475*44/12</f>
        <v>16.117825700127856</v>
      </c>
      <c r="CM75" s="21">
        <f>EXP(-LN(2)/2)*CM74+(1-EXP(-LN(2)/2))/(LN(2)/2)*CG75*CJ75*VLOOKUP('Données projet'!$B$12,Paramètres!$A$1:$I$89,3,0)*0.475*44/12</f>
        <v>8.5018902084045623E-5</v>
      </c>
      <c r="CN75" s="22">
        <f t="shared" si="66"/>
        <v>41.776821218012017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72.638639486636521</v>
      </c>
      <c r="CZ75" s="59">
        <f t="shared" si="96"/>
        <v>334.50638815329404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15.7199714409739</v>
      </c>
      <c r="DG75" s="21">
        <f>EXP(-LN(2)/25)*DG74+(1-EXP(-LN(2)/25))/(LN(2)/25)*Calculateur!DB75*Calculateur!DD75*VLOOKUP('Données projet'!$B$13,Paramètres!$A$1:$I$89,3,0)*0.475*44/12</f>
        <v>10.047990073197832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25.767961514171731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68.016800235358346</v>
      </c>
      <c r="DU75" s="59">
        <f t="shared" si="98"/>
        <v>311.30433899203405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14.534530971654553</v>
      </c>
      <c r="EB75" s="21">
        <f>EXP(-LN(2)/25)*EB74+(1-EXP(-LN(2)/25))/(LN(2)/25)*Calculateur!DW75*Calculateur!DY75*VLOOKUP('Données projet'!$B$14,Paramètres!$A$1:$I$89,3,0)*0.475*44/12</f>
        <v>9.290272788989471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23.824803760644023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439.06700232017681</v>
      </c>
      <c r="T76" s="59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9">
        <f t="shared" si="59"/>
        <v>941.81134551289847</v>
      </c>
      <c r="AN76" s="59">
        <f ca="1">AVERAGE(OFFSET($AM$3,0,0,'Données projet'!$E$10+1,1))-AVERAGE(OFFSET($H$3,0,0,'Données projet'!$E$10+1,1))</f>
        <v>487.04124684635974</v>
      </c>
      <c r="AO76" s="59">
        <f t="shared" si="90"/>
        <v>306.61893266146666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-5.9412741393316544E-14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356.31271939877655</v>
      </c>
      <c r="BJ76" s="59">
        <f t="shared" si="92"/>
        <v>499.70544707812991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3.1611773163517172</v>
      </c>
      <c r="BQ76" s="21">
        <f>EXP(-LN(2)/25)*BQ75+(1-EXP(-LN(2)/25))/(LN(2)/25)*Calculateur!BL76*Calculateur!BN76*VLOOKUP('Données projet'!$B$11,Paramètres!$A$1:$I$89,3,0)*0.475*44/12</f>
        <v>2.8923097408226579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6.0534870571743751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195.80903373714432</v>
      </c>
      <c r="CE76" s="59">
        <f t="shared" si="94"/>
        <v>388.30721786668977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25.155754914487098</v>
      </c>
      <c r="CL76" s="21">
        <f>EXP(-LN(2)/25)*CL75+(1-EXP(-LN(2)/25))/(LN(2)/25)*Calculateur!CG76*Calculateur!CI76*VLOOKUP('Données projet'!$B$12,Paramètres!$A$1:$I$89,3,0)*0.475*44/12</f>
        <v>15.677082908758244</v>
      </c>
      <c r="CM76" s="21">
        <f>EXP(-LN(2)/2)*CM75+(1-EXP(-LN(2)/2))/(LN(2)/2)*CG76*CJ76*VLOOKUP('Données projet'!$B$12,Paramètres!$A$1:$I$89,3,0)*0.475*44/12</f>
        <v>6.0117442192663759E-5</v>
      </c>
      <c r="CN76" s="22">
        <f t="shared" si="66"/>
        <v>40.832897940687538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72.638639486636521</v>
      </c>
      <c r="CZ76" s="59">
        <f t="shared" si="96"/>
        <v>334.50638815329404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15.411712389252221</v>
      </c>
      <c r="DG76" s="21">
        <f>EXP(-LN(2)/25)*DG75+(1-EXP(-LN(2)/25))/(LN(2)/25)*Calculateur!DB76*Calculateur!DD76*VLOOKUP('Données projet'!$B$13,Paramètres!$A$1:$I$89,3,0)*0.475*44/12</f>
        <v>9.7732272562454039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25.184939645497625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68.016800235358346</v>
      </c>
      <c r="DU76" s="59">
        <f t="shared" si="98"/>
        <v>311.30433899203405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14.249517684488934</v>
      </c>
      <c r="EB76" s="21">
        <f>EXP(-LN(2)/25)*EB75+(1-EXP(-LN(2)/25))/(LN(2)/25)*Calculateur!DW76*Calculateur!DY76*VLOOKUP('Données projet'!$B$14,Paramètres!$A$1:$I$89,3,0)*0.475*44/12</f>
        <v>9.0362297910203413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23.285747475509275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439.06700232017681</v>
      </c>
      <c r="T77" s="59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9">
        <f t="shared" si="59"/>
        <v>958.04189470605093</v>
      </c>
      <c r="AN77" s="59">
        <f ca="1">AVERAGE(OFFSET($AM$3,0,0,'Données projet'!$E$10+1,1))-AVERAGE(OFFSET($H$3,0,0,'Données projet'!$E$10+1,1))</f>
        <v>487.04124684635974</v>
      </c>
      <c r="AO77" s="59">
        <f t="shared" si="90"/>
        <v>306.61893266146666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-5.9412741393316544E-14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356.31271939877655</v>
      </c>
      <c r="BJ77" s="59">
        <f t="shared" si="92"/>
        <v>499.70544707812991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3.099188557305836</v>
      </c>
      <c r="BQ77" s="21">
        <f>EXP(-LN(2)/25)*BQ76+(1-EXP(-LN(2)/25))/(LN(2)/25)*Calculateur!BL77*Calculateur!BN77*VLOOKUP('Données projet'!$B$11,Paramètres!$A$1:$I$89,3,0)*0.475*44/12</f>
        <v>2.8132193788599036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5.9124079361657396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195.80903373714432</v>
      </c>
      <c r="CE77" s="59">
        <f t="shared" si="94"/>
        <v>388.30721786668977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24.66246590410946</v>
      </c>
      <c r="CL77" s="21">
        <f>EXP(-LN(2)/25)*CL76+(1-EXP(-LN(2)/25))/(LN(2)/25)*Calculateur!CG77*Calculateur!CI77*VLOOKUP('Données projet'!$B$12,Paramètres!$A$1:$I$89,3,0)*0.475*44/12</f>
        <v>15.24839225219629</v>
      </c>
      <c r="CM77" s="21">
        <f>EXP(-LN(2)/2)*CM76+(1-EXP(-LN(2)/2))/(LN(2)/2)*CG77*CJ77*VLOOKUP('Données projet'!$B$12,Paramètres!$A$1:$I$89,3,0)*0.475*44/12</f>
        <v>4.2509451042022818E-5</v>
      </c>
      <c r="CN77" s="22">
        <f t="shared" si="66"/>
        <v>39.910900665756792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72.638639486636521</v>
      </c>
      <c r="CZ77" s="59">
        <f t="shared" si="96"/>
        <v>334.50638815329404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15.109498109515348</v>
      </c>
      <c r="DG77" s="21">
        <f>EXP(-LN(2)/25)*DG76+(1-EXP(-LN(2)/25))/(LN(2)/25)*Calculateur!DB77*Calculateur!DD77*VLOOKUP('Données projet'!$B$13,Paramètres!$A$1:$I$89,3,0)*0.475*44/12</f>
        <v>9.5059778429716886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24.615475952487039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68.016800235358346</v>
      </c>
      <c r="DU77" s="59">
        <f t="shared" si="98"/>
        <v>311.30433899203405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13.970093334043694</v>
      </c>
      <c r="EB77" s="21">
        <f>EXP(-LN(2)/25)*EB76+(1-EXP(-LN(2)/25))/(LN(2)/25)*Calculateur!DW77*Calculateur!DY77*VLOOKUP('Données projet'!$B$14,Paramètres!$A$1:$I$89,3,0)*0.475*44/12</f>
        <v>8.7891336121902182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22.759226946233913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439.06700232017681</v>
      </c>
      <c r="T78" s="59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487.04124684635974</v>
      </c>
      <c r="AO78" s="59">
        <f t="shared" si="90"/>
        <v>306.61893266146666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-5.9412741393316544E-14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356.31271939877655</v>
      </c>
      <c r="BJ78" s="59">
        <f t="shared" si="92"/>
        <v>499.70544707812991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3.0384153600154349</v>
      </c>
      <c r="BQ78" s="21">
        <f>EXP(-LN(2)/25)*BQ77+(1-EXP(-LN(2)/25))/(LN(2)/25)*Calculateur!BL78*Calculateur!BN78*VLOOKUP('Données projet'!$B$11,Paramètres!$A$1:$I$89,3,0)*0.475*44/12</f>
        <v>2.7362917470042021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5.774707107019637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195.80903373714432</v>
      </c>
      <c r="CE78" s="59">
        <f t="shared" si="94"/>
        <v>388.30721786668977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24.178849990348741</v>
      </c>
      <c r="CL78" s="21">
        <f>EXP(-LN(2)/25)*CL77+(1-EXP(-LN(2)/25))/(LN(2)/25)*Calculateur!CG78*Calculateur!CI78*VLOOKUP('Données projet'!$B$12,Paramètres!$A$1:$I$89,3,0)*0.475*44/12</f>
        <v>14.831424164181884</v>
      </c>
      <c r="CM78" s="21">
        <f>EXP(-LN(2)/2)*CM77+(1-EXP(-LN(2)/2))/(LN(2)/2)*CG78*CJ78*VLOOKUP('Données projet'!$B$12,Paramètres!$A$1:$I$89,3,0)*0.475*44/12</f>
        <v>3.0058721096331886E-5</v>
      </c>
      <c r="CN78" s="22">
        <f t="shared" si="66"/>
        <v>39.010304213251722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72.638639486636521</v>
      </c>
      <c r="CZ78" s="59">
        <f t="shared" si="96"/>
        <v>334.50638815329404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14.813210067471607</v>
      </c>
      <c r="DG78" s="21">
        <f>EXP(-LN(2)/25)*DG77+(1-EXP(-LN(2)/25))/(LN(2)/25)*Calculateur!DB78*Calculateur!DD78*VLOOKUP('Données projet'!$B$13,Paramètres!$A$1:$I$89,3,0)*0.475*44/12</f>
        <v>9.2460363789579798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24.059246446429587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68.016800235358346</v>
      </c>
      <c r="DU78" s="59">
        <f t="shared" si="98"/>
        <v>311.30433899203405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13.69614832467866</v>
      </c>
      <c r="EB78" s="21">
        <f>EXP(-LN(2)/25)*EB77+(1-EXP(-LN(2)/25))/(LN(2)/25)*Calculateur!DW78*Calculateur!DY78*VLOOKUP('Données projet'!$B$14,Paramètres!$A$1:$I$89,3,0)*0.475*44/12</f>
        <v>8.5487942913644286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22.24494261604309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439.06700232017681</v>
      </c>
      <c r="T79" s="59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487.04124684635974</v>
      </c>
      <c r="AO79" s="59">
        <f t="shared" si="90"/>
        <v>306.61893266146666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-5.9412741393316544E-14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356.31271939877655</v>
      </c>
      <c r="BJ79" s="59">
        <f t="shared" si="92"/>
        <v>499.70544707812991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2.9788338880559087</v>
      </c>
      <c r="BQ79" s="21">
        <f>EXP(-LN(2)/25)*BQ78+(1-EXP(-LN(2)/25))/(LN(2)/25)*Calculateur!BL79*Calculateur!BN79*VLOOKUP('Données projet'!$B$11,Paramètres!$A$1:$I$89,3,0)*0.475*44/12</f>
        <v>2.661467705287043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5.6403015933429517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195.80903373714432</v>
      </c>
      <c r="CE79" s="59">
        <f t="shared" si="94"/>
        <v>388.30721786668977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23.704717489680288</v>
      </c>
      <c r="CL79" s="21">
        <f>EXP(-LN(2)/25)*CL78+(1-EXP(-LN(2)/25))/(LN(2)/25)*Calculateur!CG79*Calculateur!CI79*VLOOKUP('Données projet'!$B$12,Paramètres!$A$1:$I$89,3,0)*0.475*44/12</f>
        <v>14.425858090461631</v>
      </c>
      <c r="CM79" s="21">
        <f>EXP(-LN(2)/2)*CM78+(1-EXP(-LN(2)/2))/(LN(2)/2)*CG79*CJ79*VLOOKUP('Données projet'!$B$12,Paramètres!$A$1:$I$89,3,0)*0.475*44/12</f>
        <v>2.1254725521011413E-5</v>
      </c>
      <c r="CN79" s="22">
        <f t="shared" si="66"/>
        <v>38.130596834867447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72.638639486636521</v>
      </c>
      <c r="CZ79" s="59">
        <f t="shared" si="96"/>
        <v>334.50638815329404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14.522732053214481</v>
      </c>
      <c r="DG79" s="21">
        <f>EXP(-LN(2)/25)*DG78+(1-EXP(-LN(2)/25))/(LN(2)/25)*Calculateur!DB79*Calculateur!DD79*VLOOKUP('Données projet'!$B$13,Paramètres!$A$1:$I$89,3,0)*0.475*44/12</f>
        <v>8.9932030279474535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23.515935081161935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68.016800235358346</v>
      </c>
      <c r="DU79" s="59">
        <f t="shared" si="98"/>
        <v>311.30433899203405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13.427575209857318</v>
      </c>
      <c r="EB79" s="21">
        <f>EXP(-LN(2)/25)*EB78+(1-EXP(-LN(2)/25))/(LN(2)/25)*Calculateur!DW79*Calculateur!DY79*VLOOKUP('Données projet'!$B$14,Paramètres!$A$1:$I$89,3,0)*0.475*44/12</f>
        <v>8.3150270619055142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21.742602271762834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439.06700232017681</v>
      </c>
      <c r="T80" s="59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9">
        <f t="shared" si="59"/>
        <v>945.22899200862457</v>
      </c>
      <c r="AN80" s="59">
        <f ca="1">AVERAGE(OFFSET($AM$3,0,0,'Données projet'!$E$10+1,1))-AVERAGE(OFFSET($H$3,0,0,'Données projet'!$E$10+1,1))</f>
        <v>487.04124684635974</v>
      </c>
      <c r="AO80" s="59">
        <f t="shared" si="90"/>
        <v>306.61893266146666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-5.9412741393316544E-14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356.31271939877655</v>
      </c>
      <c r="BJ80" s="59">
        <f t="shared" si="92"/>
        <v>499.70544707812991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2.9204207724203992</v>
      </c>
      <c r="BQ80" s="21">
        <f>EXP(-LN(2)/25)*BQ79+(1-EXP(-LN(2)/25))/(LN(2)/25)*Calculateur!BL80*Calculateur!BN80*VLOOKUP('Données projet'!$B$11,Paramètres!$A$1:$I$89,3,0)*0.475*44/12</f>
        <v>2.5886897309254651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5.5091105033458643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195.80903373714432</v>
      </c>
      <c r="CE80" s="59">
        <f t="shared" si="94"/>
        <v>388.30721786668977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23.239882438157672</v>
      </c>
      <c r="CL80" s="21">
        <f>EXP(-LN(2)/25)*CL79+(1-EXP(-LN(2)/25))/(LN(2)/25)*Calculateur!CG80*Calculateur!CI80*VLOOKUP('Données projet'!$B$12,Paramètres!$A$1:$I$89,3,0)*0.475*44/12</f>
        <v>14.031382242355052</v>
      </c>
      <c r="CM80" s="21">
        <f>EXP(-LN(2)/2)*CM79+(1-EXP(-LN(2)/2))/(LN(2)/2)*CG80*CJ80*VLOOKUP('Données projet'!$B$12,Paramètres!$A$1:$I$89,3,0)*0.475*44/12</f>
        <v>1.5029360548165945E-5</v>
      </c>
      <c r="CN80" s="22">
        <f t="shared" si="66"/>
        <v>37.271279709873269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72.638639486636521</v>
      </c>
      <c r="CZ80" s="59">
        <f t="shared" si="96"/>
        <v>334.50638815329404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14.237950135642844</v>
      </c>
      <c r="DG80" s="21">
        <f>EXP(-LN(2)/25)*DG79+(1-EXP(-LN(2)/25))/(LN(2)/25)*Calculateur!DB80*Calculateur!DD80*VLOOKUP('Données projet'!$B$13,Paramètres!$A$1:$I$89,3,0)*0.475*44/12</f>
        <v>8.747283418216238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22.985233553859082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68.016800235358346</v>
      </c>
      <c r="DU80" s="59">
        <f t="shared" si="98"/>
        <v>311.30433899203405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13.164268650004198</v>
      </c>
      <c r="EB80" s="21">
        <f>EXP(-LN(2)/25)*EB79+(1-EXP(-LN(2)/25))/(LN(2)/25)*Calculateur!DW80*Calculateur!DY80*VLOOKUP('Données projet'!$B$14,Paramètres!$A$1:$I$89,3,0)*0.475*44/12</f>
        <v>8.0876522096294394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21.251920859633636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439.06700232017681</v>
      </c>
      <c r="T81" s="59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9">
        <f t="shared" si="59"/>
        <v>960.60386205396253</v>
      </c>
      <c r="AN81" s="59">
        <f ca="1">AVERAGE(OFFSET($AM$3,0,0,'Données projet'!$E$10+1,1))-AVERAGE(OFFSET($H$3,0,0,'Données projet'!$E$10+1,1))</f>
        <v>487.04124684635974</v>
      </c>
      <c r="AO81" s="59">
        <f t="shared" si="90"/>
        <v>306.61893266146666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-5.9412741393316544E-14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356.31271939877655</v>
      </c>
      <c r="BJ81" s="59">
        <f t="shared" si="92"/>
        <v>499.70544707812991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2.8631531023540195</v>
      </c>
      <c r="BQ81" s="21">
        <f>EXP(-LN(2)/25)*BQ80+(1-EXP(-LN(2)/25))/(LN(2)/25)*Calculateur!BL81*Calculateur!BN81*VLOOKUP('Données projet'!$B$11,Paramètres!$A$1:$I$89,3,0)*0.475*44/12</f>
        <v>2.5179018741000316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5.3810549764540507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195.80903373714432</v>
      </c>
      <c r="CE81" s="59">
        <f t="shared" si="94"/>
        <v>388.30721786668977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22.78416251847403</v>
      </c>
      <c r="CL81" s="21">
        <f>EXP(-LN(2)/25)*CL80+(1-EXP(-LN(2)/25))/(LN(2)/25)*Calculateur!CG81*Calculateur!CI81*VLOOKUP('Données projet'!$B$12,Paramètres!$A$1:$I$89,3,0)*0.475*44/12</f>
        <v>13.647693357059531</v>
      </c>
      <c r="CM81" s="21">
        <f>EXP(-LN(2)/2)*CM80+(1-EXP(-LN(2)/2))/(LN(2)/2)*CG81*CJ81*VLOOKUP('Données projet'!$B$12,Paramètres!$A$1:$I$89,3,0)*0.475*44/12</f>
        <v>1.0627362760505708E-5</v>
      </c>
      <c r="CN81" s="22">
        <f t="shared" si="66"/>
        <v>36.43186650289632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72.638639486636521</v>
      </c>
      <c r="CZ81" s="59">
        <f t="shared" si="96"/>
        <v>334.50638815329404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13.958752617774968</v>
      </c>
      <c r="DG81" s="21">
        <f>EXP(-LN(2)/25)*DG80+(1-EXP(-LN(2)/25))/(LN(2)/25)*Calculateur!DB81*Calculateur!DD81*VLOOKUP('Données projet'!$B$13,Paramètres!$A$1:$I$89,3,0)*0.475*44/12</f>
        <v>8.5080884931454719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22.466841110920441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68.016800235358346</v>
      </c>
      <c r="DU81" s="59">
        <f t="shared" si="98"/>
        <v>311.30433899203405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12.906125371188654</v>
      </c>
      <c r="EB81" s="21">
        <f>EXP(-LN(2)/25)*EB80+(1-EXP(-LN(2)/25))/(LN(2)/25)*Calculateur!DW81*Calculateur!DY81*VLOOKUP('Données projet'!$B$14,Paramètres!$A$1:$I$89,3,0)*0.475*44/12</f>
        <v>7.8664949346459769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20.772620305834632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439.06700232017681</v>
      </c>
      <c r="T82" s="59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9">
        <f t="shared" si="59"/>
        <v>975.97144846392098</v>
      </c>
      <c r="AN82" s="59">
        <f ca="1">AVERAGE(OFFSET($AM$3,0,0,'Données projet'!$E$10+1,1))-AVERAGE(OFFSET($H$3,0,0,'Données projet'!$E$10+1,1))</f>
        <v>487.04124684635974</v>
      </c>
      <c r="AO82" s="59">
        <f t="shared" si="90"/>
        <v>306.61893266146666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-5.9412741393316544E-14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356.31271939877655</v>
      </c>
      <c r="BJ82" s="59">
        <f t="shared" si="92"/>
        <v>499.70544707812991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2.807008416367812</v>
      </c>
      <c r="BQ82" s="21">
        <f>EXP(-LN(2)/25)*BQ81+(1-EXP(-LN(2)/25))/(LN(2)/25)*Calculateur!BL82*Calculateur!BN82*VLOOKUP('Données projet'!$B$11,Paramètres!$A$1:$I$89,3,0)*0.475*44/12</f>
        <v>2.4490497149420616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5.2560581313098735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195.80903373714432</v>
      </c>
      <c r="CE82" s="59">
        <f t="shared" si="94"/>
        <v>388.30721786668977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22.337378988453679</v>
      </c>
      <c r="CL82" s="21">
        <f>EXP(-LN(2)/25)*CL81+(1-EXP(-LN(2)/25))/(LN(2)/25)*Calculateur!CG82*Calculateur!CI82*VLOOKUP('Données projet'!$B$12,Paramètres!$A$1:$I$89,3,0)*0.475*44/12</f>
        <v>13.274496464509737</v>
      </c>
      <c r="CM82" s="21">
        <f>EXP(-LN(2)/2)*CM81+(1-EXP(-LN(2)/2))/(LN(2)/2)*CG82*CJ82*VLOOKUP('Données projet'!$B$12,Paramètres!$A$1:$I$89,3,0)*0.475*44/12</f>
        <v>7.5146802740829741E-6</v>
      </c>
      <c r="CN82" s="22">
        <f t="shared" si="66"/>
        <v>35.611882967643695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72.638639486636521</v>
      </c>
      <c r="CZ82" s="59">
        <f t="shared" si="96"/>
        <v>334.50638815329404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13.68502999293881</v>
      </c>
      <c r="DG82" s="21">
        <f>EXP(-LN(2)/25)*DG81+(1-EXP(-LN(2)/25))/(LN(2)/25)*Calculateur!DB82*Calculateur!DD82*VLOOKUP('Données projet'!$B$13,Paramètres!$A$1:$I$89,3,0)*0.475*44/12</f>
        <v>8.2754343658794802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21.960464358818292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68.016800235358346</v>
      </c>
      <c r="DU82" s="59">
        <f t="shared" si="98"/>
        <v>311.30433899203405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12.65304412461883</v>
      </c>
      <c r="EB82" s="21">
        <f>EXP(-LN(2)/25)*EB81+(1-EXP(-LN(2)/25))/(LN(2)/25)*Calculateur!DW82*Calculateur!DY82*VLOOKUP('Données projet'!$B$14,Paramètres!$A$1:$I$89,3,0)*0.475*44/12</f>
        <v>7.6513852169770935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20.304429341595924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439.06700232017681</v>
      </c>
      <c r="T83" s="59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9">
        <f t="shared" si="59"/>
        <v>991.33193819028838</v>
      </c>
      <c r="AN83" s="59">
        <f ca="1">AVERAGE(OFFSET($AM$3,0,0,'Données projet'!$E$10+1,1))-AVERAGE(OFFSET($H$3,0,0,'Données projet'!$E$10+1,1))</f>
        <v>487.04124684635974</v>
      </c>
      <c r="AO83" s="59">
        <f t="shared" si="90"/>
        <v>306.61893266146666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-5.9412741393316544E-14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356.31271939877655</v>
      </c>
      <c r="BJ83" s="59">
        <f t="shared" si="92"/>
        <v>499.70544707812991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2.7519646934289166</v>
      </c>
      <c r="BQ83" s="21">
        <f>EXP(-LN(2)/25)*BQ82+(1-EXP(-LN(2)/25))/(LN(2)/25)*Calculateur!BL83*Calculateur!BN83*VLOOKUP('Données projet'!$B$11,Paramètres!$A$1:$I$89,3,0)*0.475*44/12</f>
        <v>2.3820803216970439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5.1340450151259605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195.80903373714432</v>
      </c>
      <c r="CE83" s="59">
        <f t="shared" si="94"/>
        <v>388.30721786668977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21.899356610945983</v>
      </c>
      <c r="CL83" s="21">
        <f>EXP(-LN(2)/25)*CL82+(1-EXP(-LN(2)/25))/(LN(2)/25)*Calculateur!CG83*Calculateur!CI83*VLOOKUP('Données projet'!$B$12,Paramètres!$A$1:$I$89,3,0)*0.475*44/12</f>
        <v>12.911504660612287</v>
      </c>
      <c r="CM83" s="21">
        <f>EXP(-LN(2)/2)*CM82+(1-EXP(-LN(2)/2))/(LN(2)/2)*CG83*CJ83*VLOOKUP('Données projet'!$B$12,Paramètres!$A$1:$I$89,3,0)*0.475*44/12</f>
        <v>5.3136813802528548E-6</v>
      </c>
      <c r="CN83" s="22">
        <f t="shared" si="66"/>
        <v>34.810866585239644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72.638639486636521</v>
      </c>
      <c r="CZ83" s="59">
        <f t="shared" si="96"/>
        <v>334.50638815329404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13.416674901821374</v>
      </c>
      <c r="DG83" s="21">
        <f>EXP(-LN(2)/25)*DG82+(1-EXP(-LN(2)/25))/(LN(2)/25)*Calculateur!DB83*Calculateur!DD83*VLOOKUP('Données projet'!$B$13,Paramètres!$A$1:$I$89,3,0)*0.475*44/12</f>
        <v>8.049142177958327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21.465817079779701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68.016800235358346</v>
      </c>
      <c r="DU83" s="59">
        <f t="shared" si="98"/>
        <v>311.30433899203405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12.404925646929922</v>
      </c>
      <c r="EB83" s="21">
        <f>EXP(-LN(2)/25)*EB82+(1-EXP(-LN(2)/25))/(LN(2)/25)*Calculateur!DW83*Calculateur!DY83*VLOOKUP('Données projet'!$B$14,Paramètres!$A$1:$I$89,3,0)*0.475*44/12</f>
        <v>7.4421576858499936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19.847083332779917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439.06700232017681</v>
      </c>
      <c r="T84" s="59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9">
        <f t="shared" si="59"/>
        <v>946.08334583533451</v>
      </c>
      <c r="AN84" s="59">
        <f ca="1">AVERAGE(OFFSET($AM$3,0,0,'Données projet'!$E$10+1,1))-AVERAGE(OFFSET($H$3,0,0,'Données projet'!$E$10+1,1))</f>
        <v>487.04124684635974</v>
      </c>
      <c r="AO84" s="59">
        <f t="shared" si="90"/>
        <v>306.61893266146666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-5.9412741393316544E-14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356.31271939877655</v>
      </c>
      <c r="BJ84" s="59">
        <f t="shared" si="92"/>
        <v>499.70544707812991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2.6980003443234972</v>
      </c>
      <c r="BQ84" s="21">
        <f>EXP(-LN(2)/25)*BQ83+(1-EXP(-LN(2)/25))/(LN(2)/25)*Calculateur!BL84*Calculateur!BN84*VLOOKUP('Données projet'!$B$11,Paramètres!$A$1:$I$89,3,0)*0.475*44/12</f>
        <v>2.3169422100320785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5.0149425543555761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195.80903373714432</v>
      </c>
      <c r="CE84" s="59">
        <f t="shared" si="94"/>
        <v>388.30721786668977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21.469923585093941</v>
      </c>
      <c r="CL84" s="21">
        <f>EXP(-LN(2)/25)*CL83+(1-EXP(-LN(2)/25))/(LN(2)/25)*Calculateur!CG84*Calculateur!CI84*VLOOKUP('Données projet'!$B$12,Paramètres!$A$1:$I$89,3,0)*0.475*44/12</f>
        <v>12.558438886681325</v>
      </c>
      <c r="CM84" s="21">
        <f>EXP(-LN(2)/2)*CM83+(1-EXP(-LN(2)/2))/(LN(2)/2)*CG84*CJ84*VLOOKUP('Données projet'!$B$12,Paramètres!$A$1:$I$89,3,0)*0.475*44/12</f>
        <v>3.7573401370414875E-6</v>
      </c>
      <c r="CN84" s="22">
        <f t="shared" si="66"/>
        <v>34.028366229115406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72.638639486636521</v>
      </c>
      <c r="CZ84" s="59">
        <f t="shared" si="96"/>
        <v>334.50638815329404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13.153582090360306</v>
      </c>
      <c r="DG84" s="21">
        <f>EXP(-LN(2)/25)*DG83+(1-EXP(-LN(2)/25))/(LN(2)/25)*Calculateur!DB84*Calculateur!DD84*VLOOKUP('Données projet'!$B$13,Paramètres!$A$1:$I$89,3,0)*0.475*44/12</f>
        <v>7.8290379618160664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20.982620052176372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68.016800235358346</v>
      </c>
      <c r="DU84" s="59">
        <f t="shared" si="98"/>
        <v>311.30433899203405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12.161672621251165</v>
      </c>
      <c r="EB84" s="21">
        <f>EXP(-LN(2)/25)*EB83+(1-EXP(-LN(2)/25))/(LN(2)/25)*Calculateur!DW84*Calculateur!DY84*VLOOKUP('Données projet'!$B$14,Paramètres!$A$1:$I$89,3,0)*0.475*44/12</f>
        <v>7.2386514925643617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19.400324113815529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439.06700232017681</v>
      </c>
      <c r="T85" s="59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9">
        <f t="shared" si="59"/>
        <v>960.60386205396253</v>
      </c>
      <c r="AN85" s="59">
        <f ca="1">AVERAGE(OFFSET($AM$3,0,0,'Données projet'!$E$10+1,1))-AVERAGE(OFFSET($H$3,0,0,'Données projet'!$E$10+1,1))</f>
        <v>487.04124684635974</v>
      </c>
      <c r="AO85" s="59">
        <f t="shared" si="90"/>
        <v>306.61893266146666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-5.9412741393316544E-14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356.31271939877655</v>
      </c>
      <c r="BJ85" s="59">
        <f t="shared" si="92"/>
        <v>499.70544707812991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2.6450942031890321</v>
      </c>
      <c r="BQ85" s="21">
        <f>EXP(-LN(2)/25)*BQ84+(1-EXP(-LN(2)/25))/(LN(2)/25)*Calculateur!BL85*Calculateur!BN85*VLOOKUP('Données projet'!$B$11,Paramètres!$A$1:$I$89,3,0)*0.475*44/12</f>
        <v>2.253585303456056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4.8986795066450881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195.80903373714432</v>
      </c>
      <c r="CE85" s="59">
        <f t="shared" si="94"/>
        <v>388.30721786668977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21.048911478950576</v>
      </c>
      <c r="CL85" s="21">
        <f>EXP(-LN(2)/25)*CL84+(1-EXP(-LN(2)/25))/(LN(2)/25)*Calculateur!CG85*Calculateur!CI85*VLOOKUP('Données projet'!$B$12,Paramètres!$A$1:$I$89,3,0)*0.475*44/12</f>
        <v>12.215027714905425</v>
      </c>
      <c r="CM85" s="21">
        <f>EXP(-LN(2)/2)*CM84+(1-EXP(-LN(2)/2))/(LN(2)/2)*CG85*CJ85*VLOOKUP('Données projet'!$B$12,Paramètres!$A$1:$I$89,3,0)*0.475*44/12</f>
        <v>2.6568406901264278E-6</v>
      </c>
      <c r="CN85" s="22">
        <f t="shared" si="66"/>
        <v>33.263941850696696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72.638639486636521</v>
      </c>
      <c r="CZ85" s="59">
        <f t="shared" si="96"/>
        <v>334.50638815329404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12.89564836846122</v>
      </c>
      <c r="DG85" s="21">
        <f>EXP(-LN(2)/25)*DG84+(1-EXP(-LN(2)/25))/(LN(2)/25)*Calculateur!DB85*Calculateur!DD85*VLOOKUP('Données projet'!$B$13,Paramètres!$A$1:$I$89,3,0)*0.475*44/12</f>
        <v>7.6149525070389927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20.510600875500213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68.016800235358346</v>
      </c>
      <c r="DU85" s="59">
        <f t="shared" si="98"/>
        <v>311.30433899203405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11.923189639036273</v>
      </c>
      <c r="EB85" s="21">
        <f>EXP(-LN(2)/25)*EB84+(1-EXP(-LN(2)/25))/(LN(2)/25)*Calculateur!DW85*Calculateur!DY85*VLOOKUP('Données projet'!$B$14,Paramètres!$A$1:$I$89,3,0)*0.475*44/12</f>
        <v>7.0407101868360513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18.963899825872325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439.06700232017681</v>
      </c>
      <c r="T86" s="59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9">
        <f t="shared" si="59"/>
        <v>975.1178815264052</v>
      </c>
      <c r="AN86" s="59">
        <f ca="1">AVERAGE(OFFSET($AM$3,0,0,'Données projet'!$E$10+1,1))-AVERAGE(OFFSET($H$3,0,0,'Données projet'!$E$10+1,1))</f>
        <v>487.04124684635974</v>
      </c>
      <c r="AO86" s="59">
        <f t="shared" si="90"/>
        <v>306.61893266146666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-5.9412741393316544E-14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356.31271939877655</v>
      </c>
      <c r="BJ86" s="59">
        <f t="shared" si="92"/>
        <v>499.70544707812991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2.5932255192126541</v>
      </c>
      <c r="BQ86" s="21">
        <f>EXP(-LN(2)/25)*BQ85+(1-EXP(-LN(2)/25))/(LN(2)/25)*Calculateur!BL86*Calculateur!BN86*VLOOKUP('Données projet'!$B$11,Paramètres!$A$1:$I$89,3,0)*0.475*44/12</f>
        <v>2.1919608948221496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4.7851864140348042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195.80903373714432</v>
      </c>
      <c r="CE86" s="59">
        <f t="shared" si="94"/>
        <v>388.30721786668977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20.636155163416653</v>
      </c>
      <c r="CL86" s="21">
        <f>EXP(-LN(2)/25)*CL85+(1-EXP(-LN(2)/25))/(LN(2)/25)*Calculateur!CG86*Calculateur!CI86*VLOOKUP('Données projet'!$B$12,Paramètres!$A$1:$I$89,3,0)*0.475*44/12</f>
        <v>11.881007139680946</v>
      </c>
      <c r="CM86" s="21">
        <f>EXP(-LN(2)/2)*CM85+(1-EXP(-LN(2)/2))/(LN(2)/2)*CG86*CJ86*VLOOKUP('Données projet'!$B$12,Paramètres!$A$1:$I$89,3,0)*0.475*44/12</f>
        <v>1.8786700685207442E-6</v>
      </c>
      <c r="CN86" s="22">
        <f t="shared" si="66"/>
        <v>32.517164181767669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72.638639486636521</v>
      </c>
      <c r="CZ86" s="59">
        <f t="shared" si="96"/>
        <v>334.50638815329404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12.64277256952454</v>
      </c>
      <c r="DG86" s="21">
        <f>EXP(-LN(2)/25)*DG85+(1-EXP(-LN(2)/25))/(LN(2)/25)*Calculateur!DB86*Calculateur!DD86*VLOOKUP('Données projet'!$B$13,Paramètres!$A$1:$I$89,3,0)*0.475*44/12</f>
        <v>7.4067212302810637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20.049493799805603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68.016800235358346</v>
      </c>
      <c r="DU86" s="59">
        <f t="shared" si="98"/>
        <v>311.30433899203405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11.689383162642359</v>
      </c>
      <c r="EB86" s="21">
        <f>EXP(-LN(2)/25)*EB85+(1-EXP(-LN(2)/25))/(LN(2)/25)*Calculateur!DW86*Calculateur!DY86*VLOOKUP('Données projet'!$B$14,Paramètres!$A$1:$I$89,3,0)*0.475*44/12</f>
        <v>6.8481815965221626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18.537564759164521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439.06700232017681</v>
      </c>
      <c r="T87" s="59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9">
        <f t="shared" si="59"/>
        <v>989.62556195307502</v>
      </c>
      <c r="AN87" s="59">
        <f ca="1">AVERAGE(OFFSET($AM$3,0,0,'Données projet'!$E$10+1,1))-AVERAGE(OFFSET($H$3,0,0,'Données projet'!$E$10+1,1))</f>
        <v>487.04124684635974</v>
      </c>
      <c r="AO87" s="59">
        <f t="shared" si="90"/>
        <v>306.61893266146666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-5.9412741393316544E-14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356.31271939877655</v>
      </c>
      <c r="BJ87" s="59">
        <f t="shared" si="92"/>
        <v>499.70544707812991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2.5423739484922798</v>
      </c>
      <c r="BQ87" s="21">
        <f>EXP(-LN(2)/25)*BQ86+(1-EXP(-LN(2)/25))/(LN(2)/25)*Calculateur!BL87*Calculateur!BN87*VLOOKUP('Données projet'!$B$11,Paramètres!$A$1:$I$89,3,0)*0.475*44/12</f>
        <v>2.1320216088830244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4.6743955573753038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195.80903373714432</v>
      </c>
      <c r="CE87" s="59">
        <f t="shared" si="94"/>
        <v>388.30721786668977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20.231492747473858</v>
      </c>
      <c r="CL87" s="21">
        <f>EXP(-LN(2)/25)*CL86+(1-EXP(-LN(2)/25))/(LN(2)/25)*Calculateur!CG87*Calculateur!CI87*VLOOKUP('Données projet'!$B$12,Paramètres!$A$1:$I$89,3,0)*0.475*44/12</f>
        <v>11.556120374651361</v>
      </c>
      <c r="CM87" s="21">
        <f>EXP(-LN(2)/2)*CM86+(1-EXP(-LN(2)/2))/(LN(2)/2)*CG87*CJ87*VLOOKUP('Données projet'!$B$12,Paramètres!$A$1:$I$89,3,0)*0.475*44/12</f>
        <v>1.3284203450632141E-6</v>
      </c>
      <c r="CN87" s="22">
        <f t="shared" si="66"/>
        <v>31.787614450545565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72.638639486636521</v>
      </c>
      <c r="CZ87" s="59">
        <f t="shared" si="96"/>
        <v>334.50638815329404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12.394855510766002</v>
      </c>
      <c r="DG87" s="21">
        <f>EXP(-LN(2)/25)*DG86+(1-EXP(-LN(2)/25))/(LN(2)/25)*Calculateur!DB87*Calculateur!DD87*VLOOKUP('Données projet'!$B$13,Paramètres!$A$1:$I$89,3,0)*0.475*44/12</f>
        <v>7.2041840487364865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19.599039559502486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68.016800235358346</v>
      </c>
      <c r="DU87" s="59">
        <f t="shared" si="98"/>
        <v>311.30433899203405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11.46016148864266</v>
      </c>
      <c r="EB87" s="21">
        <f>EXP(-LN(2)/25)*EB86+(1-EXP(-LN(2)/25))/(LN(2)/25)*Calculateur!DW87*Calculateur!DY87*VLOOKUP('Données projet'!$B$14,Paramètres!$A$1:$I$89,3,0)*0.475*44/12</f>
        <v>6.6609177106350455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18.121079199277705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439.06700232017681</v>
      </c>
      <c r="T88" s="59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9">
        <f t="shared" si="59"/>
        <v>1004.1270539314644</v>
      </c>
      <c r="AN88" s="59">
        <f ca="1">AVERAGE(OFFSET($AM$3,0,0,'Données projet'!$E$10+1,1))-AVERAGE(OFFSET($H$3,0,0,'Données projet'!$E$10+1,1))</f>
        <v>487.04124684635974</v>
      </c>
      <c r="AO88" s="59">
        <f t="shared" si="90"/>
        <v>306.61893266146666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-5.9412741393316544E-14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356.31271939877655</v>
      </c>
      <c r="BJ88" s="59">
        <f t="shared" si="92"/>
        <v>499.70544707812991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2.4925195460573364</v>
      </c>
      <c r="BQ88" s="21">
        <f>EXP(-LN(2)/25)*BQ87+(1-EXP(-LN(2)/25))/(LN(2)/25)*Calculateur!BL88*Calculateur!BN88*VLOOKUP('Données projet'!$B$11,Paramètres!$A$1:$I$89,3,0)*0.475*44/12</f>
        <v>2.0737213658699747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4.5662409119273111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195.80903373714432</v>
      </c>
      <c r="CE88" s="59">
        <f t="shared" si="94"/>
        <v>388.30721786668977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19.834765514687998</v>
      </c>
      <c r="CL88" s="21">
        <f>EXP(-LN(2)/25)*CL87+(1-EXP(-LN(2)/25))/(LN(2)/25)*Calculateur!CG88*Calculateur!CI88*VLOOKUP('Données projet'!$B$12,Paramètres!$A$1:$I$89,3,0)*0.475*44/12</f>
        <v>11.24011765529656</v>
      </c>
      <c r="CM88" s="21">
        <f>EXP(-LN(2)/2)*CM87+(1-EXP(-LN(2)/2))/(LN(2)/2)*CG88*CJ88*VLOOKUP('Données projet'!$B$12,Paramètres!$A$1:$I$89,3,0)*0.475*44/12</f>
        <v>9.3933503426037219E-7</v>
      </c>
      <c r="CN88" s="22">
        <f t="shared" si="66"/>
        <v>31.074884109319594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72.638639486636521</v>
      </c>
      <c r="CZ88" s="59">
        <f t="shared" si="96"/>
        <v>334.50638815329404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12.151799954315242</v>
      </c>
      <c r="DG88" s="21">
        <f>EXP(-LN(2)/25)*DG87+(1-EXP(-LN(2)/25))/(LN(2)/25)*Calculateur!DB88*Calculateur!DD88*VLOOKUP('Données projet'!$B$13,Paramètres!$A$1:$I$89,3,0)*0.475*44/12</f>
        <v>7.007185257072214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19.158985211387456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68.016800235358346</v>
      </c>
      <c r="DU88" s="59">
        <f t="shared" si="98"/>
        <v>311.30433899203405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11.23543471185868</v>
      </c>
      <c r="EB88" s="21">
        <f>EXP(-LN(2)/25)*EB87+(1-EXP(-LN(2)/25))/(LN(2)/25)*Calculateur!DW88*Calculateur!DY88*VLOOKUP('Données projet'!$B$14,Paramètres!$A$1:$I$89,3,0)*0.475*44/12</f>
        <v>6.4787745655552911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17.714209277413971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439.06700232017681</v>
      </c>
      <c r="T89" s="59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9">
        <f t="shared" si="59"/>
        <v>958.04189470605093</v>
      </c>
      <c r="AN89" s="59">
        <f ca="1">AVERAGE(OFFSET($AM$3,0,0,'Données projet'!$E$10+1,1))-AVERAGE(OFFSET($H$3,0,0,'Données projet'!$E$10+1,1))</f>
        <v>487.04124684635974</v>
      </c>
      <c r="AO89" s="59">
        <f t="shared" si="90"/>
        <v>306.61893266146666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-5.9412741393316544E-14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356.31271939877655</v>
      </c>
      <c r="BJ89" s="59">
        <f t="shared" si="92"/>
        <v>499.70544707812991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2.4436427580459594</v>
      </c>
      <c r="BQ89" s="21">
        <f>EXP(-LN(2)/25)*BQ88+(1-EXP(-LN(2)/25))/(LN(2)/25)*Calculateur!BL89*Calculateur!BN89*VLOOKUP('Données projet'!$B$11,Paramètres!$A$1:$I$89,3,0)*0.475*44/12</f>
        <v>2.0170153460679932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4.4606581041139526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195.80903373714432</v>
      </c>
      <c r="CE89" s="59">
        <f t="shared" si="94"/>
        <v>388.30721786668977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19.445817860957352</v>
      </c>
      <c r="CL89" s="21">
        <f>EXP(-LN(2)/25)*CL88+(1-EXP(-LN(2)/25))/(LN(2)/25)*Calculateur!CG89*Calculateur!CI89*VLOOKUP('Données projet'!$B$12,Paramètres!$A$1:$I$89,3,0)*0.475*44/12</f>
        <v>10.932756046920378</v>
      </c>
      <c r="CM89" s="21">
        <f>EXP(-LN(2)/2)*CM88+(1-EXP(-LN(2)/2))/(LN(2)/2)*CG89*CJ89*VLOOKUP('Données projet'!$B$12,Paramètres!$A$1:$I$89,3,0)*0.475*44/12</f>
        <v>6.6421017253160717E-7</v>
      </c>
      <c r="CN89" s="22">
        <f t="shared" si="66"/>
        <v>30.378574572087903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72.638639486636521</v>
      </c>
      <c r="CZ89" s="59">
        <f t="shared" si="96"/>
        <v>334.50638815329404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11.913510569077232</v>
      </c>
      <c r="DG89" s="21">
        <f>EXP(-LN(2)/25)*DG88+(1-EXP(-LN(2)/25))/(LN(2)/25)*Calculateur!DB89*Calculateur!DD89*VLOOKUP('Données projet'!$B$13,Paramètres!$A$1:$I$89,3,0)*0.475*44/12</f>
        <v>6.8155734077257168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18.729083976802947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68.016800235358346</v>
      </c>
      <c r="DU89" s="59">
        <f t="shared" si="98"/>
        <v>311.30433899203405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11.015114690097635</v>
      </c>
      <c r="EB89" s="21">
        <f>EXP(-LN(2)/25)*EB88+(1-EXP(-LN(2)/25))/(LN(2)/25)*Calculateur!DW89*Calculateur!DY89*VLOOKUP('Données projet'!$B$14,Paramètres!$A$1:$I$89,3,0)*0.475*44/12</f>
        <v>6.301612134356235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17.31672682445387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439.06700232017681</v>
      </c>
      <c r="T90" s="59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971.70339413822694</v>
      </c>
      <c r="AN90" s="59">
        <f ca="1">AVERAGE(OFFSET($AM$3,0,0,'Données projet'!$E$10+1,1))-AVERAGE(OFFSET($H$3,0,0,'Données projet'!$E$10+1,1))</f>
        <v>487.04124684635974</v>
      </c>
      <c r="AO90" s="59">
        <f t="shared" si="90"/>
        <v>306.61893266146666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-5.9412741393316544E-14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356.31271939877655</v>
      </c>
      <c r="BJ90" s="59">
        <f t="shared" si="92"/>
        <v>499.70544707812991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2.3957244140355884</v>
      </c>
      <c r="BQ90" s="21">
        <f>EXP(-LN(2)/25)*BQ89+(1-EXP(-LN(2)/25))/(LN(2)/25)*Calculateur!BL90*Calculateur!BN90*VLOOKUP('Données projet'!$B$11,Paramètres!$A$1:$I$89,3,0)*0.475*44/12</f>
        <v>1.9618599553595368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4.3575843693951253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195.80903373714432</v>
      </c>
      <c r="CE90" s="59">
        <f t="shared" si="94"/>
        <v>388.30721786668977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19.064497233481717</v>
      </c>
      <c r="CL90" s="21">
        <f>EXP(-LN(2)/25)*CL89+(1-EXP(-LN(2)/25))/(LN(2)/25)*Calculateur!CG90*Calculateur!CI90*VLOOKUP('Données projet'!$B$12,Paramètres!$A$1:$I$89,3,0)*0.475*44/12</f>
        <v>10.633799257888686</v>
      </c>
      <c r="CM90" s="21">
        <f>EXP(-LN(2)/2)*CM89+(1-EXP(-LN(2)/2))/(LN(2)/2)*CG90*CJ90*VLOOKUP('Données projet'!$B$12,Paramètres!$A$1:$I$89,3,0)*0.475*44/12</f>
        <v>4.6966751713018615E-7</v>
      </c>
      <c r="CN90" s="22">
        <f t="shared" si="66"/>
        <v>29.698296961037919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72.638639486636521</v>
      </c>
      <c r="CZ90" s="59">
        <f t="shared" si="96"/>
        <v>334.50638815329404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11.679893893341564</v>
      </c>
      <c r="DG90" s="21">
        <f>EXP(-LN(2)/25)*DG89+(1-EXP(-LN(2)/25))/(LN(2)/25)*Calculateur!DB90*Calculateur!DD90*VLOOKUP('Données projet'!$B$13,Paramètres!$A$1:$I$89,3,0)*0.475*44/12</f>
        <v>6.6292011944760292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18.309095087817592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68.016800235358346</v>
      </c>
      <c r="DU90" s="59">
        <f t="shared" si="98"/>
        <v>311.30433899203405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10.799115009581378</v>
      </c>
      <c r="EB90" s="21">
        <f>EXP(-LN(2)/25)*EB89+(1-EXP(-LN(2)/25))/(LN(2)/25)*Calculateur!DW90*Calculateur!DY90*VLOOKUP('Données projet'!$B$14,Paramètres!$A$1:$I$89,3,0)*0.475*44/12</f>
        <v>6.1292942191548843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16.928409228736264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439.06700232017681</v>
      </c>
      <c r="T91" s="59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9">
        <f t="shared" si="59"/>
        <v>985.35924613408997</v>
      </c>
      <c r="AN91" s="59">
        <f ca="1">AVERAGE(OFFSET($AM$3,0,0,'Données projet'!$E$10+1,1))-AVERAGE(OFFSET($H$3,0,0,'Données projet'!$E$10+1,1))</f>
        <v>487.04124684635974</v>
      </c>
      <c r="AO91" s="59">
        <f t="shared" si="90"/>
        <v>306.61893266146666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-5.9412741393316544E-14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356.31271939877655</v>
      </c>
      <c r="BJ91" s="59">
        <f t="shared" si="92"/>
        <v>499.70544707812991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2.3487457195239569</v>
      </c>
      <c r="BQ91" s="21">
        <f>EXP(-LN(2)/25)*BQ90+(1-EXP(-LN(2)/25))/(LN(2)/25)*Calculateur!BL91*Calculateur!BN91*VLOOKUP('Données projet'!$B$11,Paramètres!$A$1:$I$89,3,0)*0.475*44/12</f>
        <v>1.9082127917104992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4.2569585112344566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195.80903373714432</v>
      </c>
      <c r="CE91" s="59">
        <f t="shared" si="94"/>
        <v>388.30721786668977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18.690654070928264</v>
      </c>
      <c r="CL91" s="21">
        <f>EXP(-LN(2)/25)*CL90+(1-EXP(-LN(2)/25))/(LN(2)/25)*Calculateur!CG91*Calculateur!CI91*VLOOKUP('Données projet'!$B$12,Paramètres!$A$1:$I$89,3,0)*0.475*44/12</f>
        <v>10.34301745797452</v>
      </c>
      <c r="CM91" s="21">
        <f>EXP(-LN(2)/2)*CM90+(1-EXP(-LN(2)/2))/(LN(2)/2)*CG91*CJ91*VLOOKUP('Données projet'!$B$12,Paramètres!$A$1:$I$89,3,0)*0.475*44/12</f>
        <v>3.3210508626580364E-7</v>
      </c>
      <c r="CN91" s="22">
        <f t="shared" si="66"/>
        <v>29.033671861007871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72.638639486636521</v>
      </c>
      <c r="CZ91" s="59">
        <f t="shared" si="96"/>
        <v>334.50638815329404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11.450858298124972</v>
      </c>
      <c r="DG91" s="21">
        <f>EXP(-LN(2)/25)*DG90+(1-EXP(-LN(2)/25))/(LN(2)/25)*Calculateur!DB91*Calculateur!DD91*VLOOKUP('Données projet'!$B$13,Paramètres!$A$1:$I$89,3,0)*0.475*44/12</f>
        <v>6.4479253391985427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17.898783637323515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68.016800235358346</v>
      </c>
      <c r="DU91" s="59">
        <f t="shared" si="98"/>
        <v>311.30433899203405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10.587350951053249</v>
      </c>
      <c r="EB91" s="21">
        <f>EXP(-LN(2)/25)*EB90+(1-EXP(-LN(2)/25))/(LN(2)/25)*Calculateur!DW91*Calculateur!DY91*VLOOKUP('Données projet'!$B$14,Paramètres!$A$1:$I$89,3,0)*0.475*44/12</f>
        <v>5.96168834640652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16.549039297459771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439.06700232017681</v>
      </c>
      <c r="T92" s="59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999.00957777081771</v>
      </c>
      <c r="AN92" s="59">
        <f ca="1">AVERAGE(OFFSET($AM$3,0,0,'Données projet'!$E$10+1,1))-AVERAGE(OFFSET($H$3,0,0,'Données projet'!$E$10+1,1))</f>
        <v>487.04124684635974</v>
      </c>
      <c r="AO92" s="59">
        <f t="shared" si="90"/>
        <v>306.61893266146666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-5.9412741393316544E-14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356.31271939877655</v>
      </c>
      <c r="BJ92" s="59">
        <f t="shared" si="92"/>
        <v>499.70544707812991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2.3026882485575242</v>
      </c>
      <c r="BQ92" s="21">
        <f>EXP(-LN(2)/25)*BQ91+(1-EXP(-LN(2)/25))/(LN(2)/25)*Calculateur!BL92*Calculateur!BN92*VLOOKUP('Données projet'!$B$11,Paramètres!$A$1:$I$89,3,0)*0.475*44/12</f>
        <v>1.8560326125726261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4.15872086113015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195.80903373714432</v>
      </c>
      <c r="CE92" s="59">
        <f t="shared" si="94"/>
        <v>388.30721786668977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18.324141744770671</v>
      </c>
      <c r="CL92" s="21">
        <f>EXP(-LN(2)/25)*CL91+(1-EXP(-LN(2)/25))/(LN(2)/25)*Calculateur!CG92*Calculateur!CI92*VLOOKUP('Données projet'!$B$12,Paramètres!$A$1:$I$89,3,0)*0.475*44/12</f>
        <v>10.060187101670557</v>
      </c>
      <c r="CM92" s="21">
        <f>EXP(-LN(2)/2)*CM91+(1-EXP(-LN(2)/2))/(LN(2)/2)*CG92*CJ92*VLOOKUP('Données projet'!$B$12,Paramètres!$A$1:$I$89,3,0)*0.475*44/12</f>
        <v>2.3483375856509313E-7</v>
      </c>
      <c r="CN92" s="22">
        <f t="shared" si="66"/>
        <v>28.384329081274988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72.638639486636521</v>
      </c>
      <c r="CZ92" s="59">
        <f t="shared" si="96"/>
        <v>334.50638815329404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11.226313951232658</v>
      </c>
      <c r="DG92" s="21">
        <f>EXP(-LN(2)/25)*DG91+(1-EXP(-LN(2)/25))/(LN(2)/25)*Calculateur!DB92*Calculateur!DD92*VLOOKUP('Données projet'!$B$13,Paramètres!$A$1:$I$89,3,0)*0.475*44/12</f>
        <v>6.2716064817165016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17.497920432949158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68.016800235358346</v>
      </c>
      <c r="DU92" s="59">
        <f t="shared" si="98"/>
        <v>311.30433899203405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10.379739456549535</v>
      </c>
      <c r="EB92" s="21">
        <f>EXP(-LN(2)/25)*EB91+(1-EXP(-LN(2)/25))/(LN(2)/25)*Calculateur!DW92*Calculateur!DY92*VLOOKUP('Données projet'!$B$14,Paramètres!$A$1:$I$89,3,0)*0.475*44/12</f>
        <v>5.7986656650624688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16.178405121612002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439.06700232017681</v>
      </c>
      <c r="T93" s="59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1012.6545108115854</v>
      </c>
      <c r="AN93" s="59">
        <f ca="1">AVERAGE(OFFSET($AM$3,0,0,'Données projet'!$E$10+1,1))-AVERAGE(OFFSET($H$3,0,0,'Données projet'!$E$10+1,1))</f>
        <v>487.04124684635974</v>
      </c>
      <c r="AO93" s="59">
        <f t="shared" si="90"/>
        <v>306.61893266146666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-5.9412741393316544E-14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356.31271939877655</v>
      </c>
      <c r="BJ93" s="59">
        <f t="shared" si="92"/>
        <v>499.70544707812991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2.2575339365044598</v>
      </c>
      <c r="BQ93" s="21">
        <f>EXP(-LN(2)/25)*BQ92+(1-EXP(-LN(2)/25))/(LN(2)/25)*Calculateur!BL93*Calculateur!BN93*VLOOKUP('Données projet'!$B$11,Paramètres!$A$1:$I$89,3,0)*0.475*44/12</f>
        <v>1.8052793031773144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4.0628132396817742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195.80903373714432</v>
      </c>
      <c r="CE93" s="59">
        <f t="shared" si="94"/>
        <v>388.30721786668977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17.964816501778582</v>
      </c>
      <c r="CL93" s="21">
        <f>EXP(-LN(2)/25)*CL92+(1-EXP(-LN(2)/25))/(LN(2)/25)*Calculateur!CG93*Calculateur!CI93*VLOOKUP('Données projet'!$B$12,Paramètres!$A$1:$I$89,3,0)*0.475*44/12</f>
        <v>9.7850907563331297</v>
      </c>
      <c r="CM93" s="21">
        <f>EXP(-LN(2)/2)*CM92+(1-EXP(-LN(2)/2))/(LN(2)/2)*CG93*CJ93*VLOOKUP('Données projet'!$B$12,Paramètres!$A$1:$I$89,3,0)*0.475*44/12</f>
        <v>1.6605254313290185E-7</v>
      </c>
      <c r="CN93" s="22">
        <f t="shared" si="66"/>
        <v>27.749907424164256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72.638639486636521</v>
      </c>
      <c r="CZ93" s="59">
        <f t="shared" si="96"/>
        <v>334.50638815329404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11.006172782024374</v>
      </c>
      <c r="DG93" s="21">
        <f>EXP(-LN(2)/25)*DG92+(1-EXP(-LN(2)/25))/(LN(2)/25)*Calculateur!DB93*Calculateur!DD93*VLOOKUP('Données projet'!$B$13,Paramètres!$A$1:$I$89,3,0)*0.475*44/12</f>
        <v>6.1001090726645133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17.106281854688888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68.016800235358346</v>
      </c>
      <c r="DU93" s="59">
        <f t="shared" si="98"/>
        <v>311.30433899203405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10.176199096822531</v>
      </c>
      <c r="EB93" s="21">
        <f>EXP(-LN(2)/25)*EB92+(1-EXP(-LN(2)/25))/(LN(2)/25)*Calculateur!DW93*Calculateur!DY93*VLOOKUP('Données projet'!$B$14,Paramètres!$A$1:$I$89,3,0)*0.475*44/12</f>
        <v>5.6401008475127616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15.816299944335292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</v>
      </c>
      <c r="N94" s="13">
        <f>IF('Données projet'!$A$36&gt;35,N93+M94-V93,IF(A94&lt;'Données projet'!$A$36,$K$205^A94,IF(A94='Données projet'!$A$36,'Données projet'!$B$36,N93+M94-V93)))</f>
        <v>307.99999999999994</v>
      </c>
      <c r="O94" s="13">
        <f>N94*VLOOKUP('Données projet'!$B$9,Paramètres!$A$1:$I$89,3,0)*VLOOKUP('Données projet'!$B$9,Paramètres!$A$1:$I$89,5,0)</f>
        <v>278.67839999999995</v>
      </c>
      <c r="P94" s="13">
        <f t="shared" si="87"/>
        <v>66.687639951856809</v>
      </c>
      <c r="Q94" s="20">
        <f t="shared" si="54"/>
        <v>601.51251958281716</v>
      </c>
      <c r="R94" s="59">
        <f t="shared" si="55"/>
        <v>894.84585291615053</v>
      </c>
      <c r="S94" s="59">
        <f ca="1">AVERAGE(OFFSET($R$3,0,0,'Données projet'!$E$9+1,1))-AVERAGE(OFFSET($H$3,0,0,'Données projet'!$E$9+1,1))</f>
        <v>439.06700232017681</v>
      </c>
      <c r="T94" s="59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307.99999999999994</v>
      </c>
      <c r="AJ94" s="13">
        <f>AI94*VLOOKUP('Données projet'!$B$10,Paramètres!$A$1:$I$89,3,0)*VLOOKUP('Données projet'!$B$10,Paramètres!$A$1:$I$89,5,0)</f>
        <v>312.31199999999995</v>
      </c>
      <c r="AK94" s="13">
        <f t="shared" si="89"/>
        <v>73.751458791112015</v>
      </c>
      <c r="AL94" s="20">
        <f t="shared" si="58"/>
        <v>672.39385739452007</v>
      </c>
      <c r="AM94" s="59">
        <f t="shared" si="59"/>
        <v>965.72719072785344</v>
      </c>
      <c r="AN94" s="59">
        <f ca="1">AVERAGE(OFFSET($AM$3,0,0,'Données projet'!$E$10+1,1))-AVERAGE(OFFSET($H$3,0,0,'Données projet'!$E$10+1,1))</f>
        <v>487.04124684635974</v>
      </c>
      <c r="AO94" s="59">
        <f t="shared" si="90"/>
        <v>306.61893266146666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-5.9412741393316544E-14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356.31271939877655</v>
      </c>
      <c r="BJ94" s="59">
        <f t="shared" si="92"/>
        <v>499.70544707812991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2.213265072969345</v>
      </c>
      <c r="BQ94" s="21">
        <f>EXP(-LN(2)/25)*BQ93+(1-EXP(-LN(2)/25))/(LN(2)/25)*Calculateur!BL94*Calculateur!BN94*VLOOKUP('Données projet'!$B$11,Paramètres!$A$1:$I$89,3,0)*0.475*44/12</f>
        <v>1.7559138456964183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3.9691789186657633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195.80903373714432</v>
      </c>
      <c r="CE94" s="59">
        <f t="shared" si="94"/>
        <v>388.30721786668977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17.612537407634811</v>
      </c>
      <c r="CL94" s="21">
        <f>EXP(-LN(2)/25)*CL93+(1-EXP(-LN(2)/25))/(LN(2)/25)*Calculateur!CG94*Calculateur!CI94*VLOOKUP('Données projet'!$B$12,Paramètres!$A$1:$I$89,3,0)*0.475*44/12</f>
        <v>9.5175169350256414</v>
      </c>
      <c r="CM94" s="21">
        <f>EXP(-LN(2)/2)*CM93+(1-EXP(-LN(2)/2))/(LN(2)/2)*CG94*CJ94*VLOOKUP('Données projet'!$B$12,Paramètres!$A$1:$I$89,3,0)*0.475*44/12</f>
        <v>1.1741687928254658E-7</v>
      </c>
      <c r="CN94" s="22">
        <f t="shared" si="66"/>
        <v>27.130054460077329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72.638639486636521</v>
      </c>
      <c r="CZ94" s="59">
        <f t="shared" si="96"/>
        <v>334.50638815329404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10.790348446871409</v>
      </c>
      <c r="DG94" s="21">
        <f>EXP(-LN(2)/25)*DG93+(1-EXP(-LN(2)/25))/(LN(2)/25)*Calculateur!DB94*Calculateur!DD94*VLOOKUP('Données projet'!$B$13,Paramètres!$A$1:$I$89,3,0)*0.475*44/12</f>
        <v>5.9333012692817082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16.723649716153119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68.016800235358346</v>
      </c>
      <c r="DU94" s="59">
        <f t="shared" si="98"/>
        <v>311.30433899203405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9.9766500394024131</v>
      </c>
      <c r="EB94" s="21">
        <f>EXP(-LN(2)/25)*EB93+(1-EXP(-LN(2)/25))/(LN(2)/25)*Calculateur!DW94*Calculateur!DY94*VLOOKUP('Données projet'!$B$14,Paramètres!$A$1:$I$89,3,0)*0.475*44/12</f>
        <v>5.4858719932375122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15.462522032639924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</v>
      </c>
      <c r="N95" s="13">
        <f>IF('Données projet'!$A$36&gt;35,N94+M95-V94,IF(A95&lt;'Données projet'!$A$36,$K$205^A95,IF(A95='Données projet'!$A$36,'Données projet'!$B$36,N94+M95-V94)))</f>
        <v>313.99999999999994</v>
      </c>
      <c r="O95" s="13">
        <f>N95*VLOOKUP('Données projet'!$B$9,Paramètres!$A$1:$I$89,3,0)*VLOOKUP('Données projet'!$B$9,Paramètres!$A$1:$I$89,5,0)</f>
        <v>284.10719999999992</v>
      </c>
      <c r="P95" s="13">
        <f t="shared" si="87"/>
        <v>67.834241327943715</v>
      </c>
      <c r="Q95" s="20">
        <f t="shared" si="54"/>
        <v>612.96467697950186</v>
      </c>
      <c r="R95" s="59">
        <f t="shared" si="55"/>
        <v>906.29801031283523</v>
      </c>
      <c r="S95" s="59">
        <f ca="1">AVERAGE(OFFSET($R$3,0,0,'Données projet'!$E$9+1,1))-AVERAGE(OFFSET($H$3,0,0,'Données projet'!$E$9+1,1))</f>
        <v>439.06700232017681</v>
      </c>
      <c r="T95" s="59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313.99999999999994</v>
      </c>
      <c r="AJ95" s="13">
        <f>AI95*VLOOKUP('Données projet'!$B$10,Paramètres!$A$1:$I$89,3,0)*VLOOKUP('Données projet'!$B$10,Paramètres!$A$1:$I$89,5,0)</f>
        <v>318.39599999999996</v>
      </c>
      <c r="AK95" s="13">
        <f t="shared" si="89"/>
        <v>75.019512724334945</v>
      </c>
      <c r="AL95" s="20">
        <f t="shared" si="58"/>
        <v>685.19868466154992</v>
      </c>
      <c r="AM95" s="59">
        <f t="shared" si="59"/>
        <v>978.53201799488329</v>
      </c>
      <c r="AN95" s="59">
        <f ca="1">AVERAGE(OFFSET($AM$3,0,0,'Données projet'!$E$10+1,1))-AVERAGE(OFFSET($H$3,0,0,'Données projet'!$E$10+1,1))</f>
        <v>487.04124684635974</v>
      </c>
      <c r="AO95" s="59">
        <f t="shared" si="90"/>
        <v>306.61893266146666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-5.9412741393316544E-14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356.31271939877655</v>
      </c>
      <c r="BJ95" s="59">
        <f t="shared" si="92"/>
        <v>499.70544707812991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2.1698642948468132</v>
      </c>
      <c r="BQ95" s="21">
        <f>EXP(-LN(2)/25)*BQ94+(1-EXP(-LN(2)/25))/(LN(2)/25)*Calculateur!BL95*Calculateur!BN95*VLOOKUP('Données projet'!$B$11,Paramètres!$A$1:$I$89,3,0)*0.475*44/12</f>
        <v>1.7078982892463537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3.8777625840931669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195.80903373714432</v>
      </c>
      <c r="CE95" s="59">
        <f t="shared" si="94"/>
        <v>388.30721786668977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17.267166291658167</v>
      </c>
      <c r="CL95" s="21">
        <f>EXP(-LN(2)/25)*CL94+(1-EXP(-LN(2)/25))/(LN(2)/25)*Calculateur!CG95*Calculateur!CI95*VLOOKUP('Données projet'!$B$12,Paramètres!$A$1:$I$89,3,0)*0.475*44/12</f>
        <v>9.257259933932902</v>
      </c>
      <c r="CM95" s="21">
        <f>EXP(-LN(2)/2)*CM94+(1-EXP(-LN(2)/2))/(LN(2)/2)*CG95*CJ95*VLOOKUP('Données projet'!$B$12,Paramètres!$A$1:$I$89,3,0)*0.475*44/12</f>
        <v>8.3026271566450936E-8</v>
      </c>
      <c r="CN95" s="22">
        <f t="shared" si="66"/>
        <v>26.524426308617343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72.638639486636521</v>
      </c>
      <c r="CZ95" s="59">
        <f t="shared" si="96"/>
        <v>334.50638815329404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10.578756295290948</v>
      </c>
      <c r="DG95" s="21">
        <f>EXP(-LN(2)/25)*DG94+(1-EXP(-LN(2)/25))/(LN(2)/25)*Calculateur!DB95*Calculateur!DD95*VLOOKUP('Données projet'!$B$13,Paramètres!$A$1:$I$89,3,0)*0.475*44/12</f>
        <v>5.7710548340544472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16.349811129345394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68.016800235358346</v>
      </c>
      <c r="DU95" s="59">
        <f t="shared" si="98"/>
        <v>311.30433899203405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9.781014017285397</v>
      </c>
      <c r="EB95" s="21">
        <f>EXP(-LN(2)/25)*EB94+(1-EXP(-LN(2)/25))/(LN(2)/25)*Calculateur!DW95*Calculateur!DY95*VLOOKUP('Données projet'!$B$14,Paramètres!$A$1:$I$89,3,0)*0.475*44/12</f>
        <v>5.3358605350929622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15.116874552378359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</v>
      </c>
      <c r="N96" s="13">
        <f>IF('Données projet'!$A$36&gt;35,N95+M96-V95,IF(A96&lt;'Données projet'!$A$36,$K$205^A96,IF(A96='Données projet'!$A$36,'Données projet'!$B$36,N95+M96-V95)))</f>
        <v>319.99999999999994</v>
      </c>
      <c r="O96" s="13">
        <f>N96*VLOOKUP('Données projet'!$B$9,Paramètres!$A$1:$I$89,3,0)*VLOOKUP('Données projet'!$B$9,Paramètres!$A$1:$I$89,5,0)</f>
        <v>289.53599999999994</v>
      </c>
      <c r="P96" s="13">
        <f t="shared" si="87"/>
        <v>68.97829509904436</v>
      </c>
      <c r="Q96" s="20">
        <f t="shared" si="54"/>
        <v>624.41239729750214</v>
      </c>
      <c r="R96" s="59">
        <f t="shared" si="55"/>
        <v>917.7457306308354</v>
      </c>
      <c r="S96" s="59">
        <f ca="1">AVERAGE(OFFSET($R$3,0,0,'Données projet'!$E$9+1,1))-AVERAGE(OFFSET($H$3,0,0,'Données projet'!$E$9+1,1))</f>
        <v>439.06700232017681</v>
      </c>
      <c r="T96" s="59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319.99999999999994</v>
      </c>
      <c r="AJ96" s="13">
        <f>AI96*VLOOKUP('Données projet'!$B$10,Paramètres!$A$1:$I$89,3,0)*VLOOKUP('Données projet'!$B$10,Paramètres!$A$1:$I$89,5,0)</f>
        <v>324.47999999999996</v>
      </c>
      <c r="AK96" s="13">
        <f t="shared" si="89"/>
        <v>76.284749200165507</v>
      </c>
      <c r="AL96" s="20">
        <f t="shared" si="58"/>
        <v>697.99860485695478</v>
      </c>
      <c r="AM96" s="59">
        <f t="shared" si="59"/>
        <v>991.33193819028816</v>
      </c>
      <c r="AN96" s="59">
        <f ca="1">AVERAGE(OFFSET($AM$3,0,0,'Données projet'!$E$10+1,1))-AVERAGE(OFFSET($H$3,0,0,'Données projet'!$E$10+1,1))</f>
        <v>487.04124684635974</v>
      </c>
      <c r="AO96" s="59">
        <f t="shared" si="90"/>
        <v>306.61893266146666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-5.9412741393316544E-14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356.31271939877655</v>
      </c>
      <c r="BJ96" s="59">
        <f t="shared" si="92"/>
        <v>499.70544707812991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2.1273145795114035</v>
      </c>
      <c r="BQ96" s="21">
        <f>EXP(-LN(2)/25)*BQ95+(1-EXP(-LN(2)/25))/(LN(2)/25)*Calculateur!BL96*Calculateur!BN96*VLOOKUP('Données projet'!$B$11,Paramètres!$A$1:$I$89,3,0)*0.475*44/12</f>
        <v>1.6611957207124446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3.788510300223848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195.80903373714432</v>
      </c>
      <c r="CE96" s="59">
        <f t="shared" si="94"/>
        <v>388.30721786668977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16.928567692610248</v>
      </c>
      <c r="CL96" s="21">
        <f>EXP(-LN(2)/25)*CL95+(1-EXP(-LN(2)/25))/(LN(2)/25)*Calculateur!CG96*Calculateur!CI96*VLOOKUP('Données projet'!$B$12,Paramètres!$A$1:$I$89,3,0)*0.475*44/12</f>
        <v>9.0041196742213643</v>
      </c>
      <c r="CM96" s="21">
        <f>EXP(-LN(2)/2)*CM95+(1-EXP(-LN(2)/2))/(LN(2)/2)*CG96*CJ96*VLOOKUP('Données projet'!$B$12,Paramètres!$A$1:$I$89,3,0)*0.475*44/12</f>
        <v>5.8708439641273301E-8</v>
      </c>
      <c r="CN96" s="22">
        <f t="shared" si="66"/>
        <v>25.932687425540053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72.638639486636521</v>
      </c>
      <c r="CZ96" s="59">
        <f t="shared" si="96"/>
        <v>334.50638815329404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10.37131333674451</v>
      </c>
      <c r="DG96" s="21">
        <f>EXP(-LN(2)/25)*DG95+(1-EXP(-LN(2)/25))/(LN(2)/25)*Calculateur!DB96*Calculateur!DD96*VLOOKUP('Données projet'!$B$13,Paramètres!$A$1:$I$89,3,0)*0.475*44/12</f>
        <v>5.6132450361306443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15.984558372875155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68.016800235358346</v>
      </c>
      <c r="DU96" s="59">
        <f t="shared" si="98"/>
        <v>311.30433899203405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9.5892142982359037</v>
      </c>
      <c r="EB96" s="21">
        <f>EXP(-LN(2)/25)*EB95+(1-EXP(-LN(2)/25))/(LN(2)/25)*Calculateur!DW96*Calculateur!DY96*VLOOKUP('Données projet'!$B$14,Paramètres!$A$1:$I$89,3,0)*0.475*44/12</f>
        <v>5.1899511481601346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14.779165446396039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</v>
      </c>
      <c r="N97" s="13">
        <f>IF('Données projet'!$A$36&gt;35,N96+M97-V96,IF(A97&lt;'Données projet'!$A$36,$K$205^A97,IF(A97='Données projet'!$A$36,'Données projet'!$B$36,N96+M97-V96)))</f>
        <v>325.99999999999994</v>
      </c>
      <c r="O97" s="13">
        <f>N97*VLOOKUP('Données projet'!$B$9,Paramètres!$A$1:$I$89,3,0)*VLOOKUP('Données projet'!$B$9,Paramètres!$A$1:$I$89,5,0)</f>
        <v>294.96479999999997</v>
      </c>
      <c r="P97" s="13">
        <f t="shared" si="87"/>
        <v>70.119854541045001</v>
      </c>
      <c r="Q97" s="20">
        <f t="shared" si="54"/>
        <v>635.85577332565333</v>
      </c>
      <c r="R97" s="59">
        <f t="shared" si="55"/>
        <v>929.1891066589867</v>
      </c>
      <c r="S97" s="59">
        <f ca="1">AVERAGE(OFFSET($R$3,0,0,'Données projet'!$E$9+1,1))-AVERAGE(OFFSET($H$3,0,0,'Données projet'!$E$9+1,1))</f>
        <v>439.06700232017681</v>
      </c>
      <c r="T97" s="59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325.99999999999994</v>
      </c>
      <c r="AJ97" s="13">
        <f>AI97*VLOOKUP('Données projet'!$B$10,Paramètres!$A$1:$I$89,3,0)*VLOOKUP('Données projet'!$B$10,Paramètres!$A$1:$I$89,5,0)</f>
        <v>330.56399999999996</v>
      </c>
      <c r="AK97" s="13">
        <f t="shared" si="89"/>
        <v>77.547227137682853</v>
      </c>
      <c r="AL97" s="20">
        <f t="shared" si="58"/>
        <v>710.79372059813079</v>
      </c>
      <c r="AM97" s="59">
        <f t="shared" si="59"/>
        <v>1004.1270539314642</v>
      </c>
      <c r="AN97" s="59">
        <f ca="1">AVERAGE(OFFSET($AM$3,0,0,'Données projet'!$E$10+1,1))-AVERAGE(OFFSET($H$3,0,0,'Données projet'!$E$10+1,1))</f>
        <v>487.04124684635974</v>
      </c>
      <c r="AO97" s="59">
        <f t="shared" si="90"/>
        <v>306.61893266146666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-5.9412741393316544E-14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356.31271939877655</v>
      </c>
      <c r="BJ97" s="59">
        <f t="shared" si="92"/>
        <v>499.70544707812991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2.0855992381409574</v>
      </c>
      <c r="BQ97" s="21">
        <f>EXP(-LN(2)/25)*BQ96+(1-EXP(-LN(2)/25))/(LN(2)/25)*Calculateur!BL97*Calculateur!BN97*VLOOKUP('Données projet'!$B$11,Paramètres!$A$1:$I$89,3,0)*0.475*44/12</f>
        <v>1.6157702363710766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3.7013694745120338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195.80903373714432</v>
      </c>
      <c r="CE97" s="59">
        <f t="shared" si="94"/>
        <v>388.30721786668977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16.596608805564905</v>
      </c>
      <c r="CL97" s="21">
        <f>EXP(-LN(2)/25)*CL96+(1-EXP(-LN(2)/25))/(LN(2)/25)*Calculateur!CG97*Calculateur!CI97*VLOOKUP('Données projet'!$B$12,Paramètres!$A$1:$I$89,3,0)*0.475*44/12</f>
        <v>8.7579015482237068</v>
      </c>
      <c r="CM97" s="21">
        <f>EXP(-LN(2)/2)*CM96+(1-EXP(-LN(2)/2))/(LN(2)/2)*CG97*CJ97*VLOOKUP('Données projet'!$B$12,Paramètres!$A$1:$I$89,3,0)*0.475*44/12</f>
        <v>4.1513135783225475E-8</v>
      </c>
      <c r="CN97" s="22">
        <f t="shared" si="66"/>
        <v>25.354510395301748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72.638639486636521</v>
      </c>
      <c r="CZ97" s="59">
        <f t="shared" si="96"/>
        <v>334.50638815329404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10.167938208087458</v>
      </c>
      <c r="DG97" s="21">
        <f>EXP(-LN(2)/25)*DG96+(1-EXP(-LN(2)/25))/(LN(2)/25)*Calculateur!DB97*Calculateur!DD97*VLOOKUP('Données projet'!$B$13,Paramètres!$A$1:$I$89,3,0)*0.475*44/12</f>
        <v>5.4597505554299248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15.627688763517384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68.016800235358346</v>
      </c>
      <c r="DU97" s="59">
        <f t="shared" si="98"/>
        <v>311.30433899203405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9.4011756546906948</v>
      </c>
      <c r="EB97" s="21">
        <f>EXP(-LN(2)/25)*EB96+(1-EXP(-LN(2)/25))/(LN(2)/25)*Calculateur!DW97*Calculateur!DY97*VLOOKUP('Données projet'!$B$14,Paramètres!$A$1:$I$89,3,0)*0.475*44/12</f>
        <v>5.0480316610860267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14.449207315776722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332</v>
      </c>
      <c r="L98" s="12">
        <f>VLOOKUP(A98,'Données projet'!$A$35:$I$55,9,0)</f>
        <v>6</v>
      </c>
      <c r="M98" s="12">
        <f t="array" ref="M98">INDEX(L:L,MIN(IF(ISNUMBER(L98:L294),ROW(L98:L294),"")))</f>
        <v>6</v>
      </c>
      <c r="N98" s="13">
        <f>IF('Données projet'!$A$36&gt;35,N97+M98-V97,IF(A98&lt;'Données projet'!$A$36,$K$205^A98,IF(A98='Données projet'!$A$36,'Données projet'!$B$36,N97+M98-V97)))</f>
        <v>331.99999999999994</v>
      </c>
      <c r="O98" s="13">
        <f>N98*VLOOKUP('Données projet'!$B$9,Paramètres!$A$1:$I$89,3,0)*VLOOKUP('Données projet'!$B$9,Paramètres!$A$1:$I$89,5,0)</f>
        <v>300.39359999999994</v>
      </c>
      <c r="P98" s="13">
        <f t="shared" si="87"/>
        <v>71.258970856492667</v>
      </c>
      <c r="Q98" s="20">
        <f t="shared" si="54"/>
        <v>647.29489424172459</v>
      </c>
      <c r="R98" s="59">
        <f t="shared" si="55"/>
        <v>940.62822757505796</v>
      </c>
      <c r="S98" s="59">
        <f ca="1">AVERAGE(OFFSET($R$3,0,0,'Données projet'!$E$9+1,1))-AVERAGE(OFFSET($H$3,0,0,'Données projet'!$E$9+1,1))</f>
        <v>439.06700232017681</v>
      </c>
      <c r="T98" s="59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332</v>
      </c>
      <c r="AG98" s="12">
        <f>VLOOKUP(A98,'Données projet'!$A$61:$I$81,9,0)</f>
        <v>6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331.99999999999994</v>
      </c>
      <c r="AJ98" s="13">
        <f>AI98*VLOOKUP('Données projet'!$B$10,Paramètres!$A$1:$I$89,3,0)*VLOOKUP('Données projet'!$B$10,Paramètres!$A$1:$I$89,5,0)</f>
        <v>336.64799999999997</v>
      </c>
      <c r="AK98" s="13">
        <f t="shared" si="89"/>
        <v>78.807003163010378</v>
      </c>
      <c r="AL98" s="20">
        <f t="shared" si="58"/>
        <v>723.58413050890977</v>
      </c>
      <c r="AM98" s="59">
        <f t="shared" si="59"/>
        <v>1016.917463842243</v>
      </c>
      <c r="AN98" s="59">
        <f ca="1">AVERAGE(OFFSET($AM$3,0,0,'Données projet'!$E$10+1,1))-AVERAGE(OFFSET($H$3,0,0,'Données projet'!$E$10+1,1))</f>
        <v>487.04124684635974</v>
      </c>
      <c r="AO98" s="59">
        <f t="shared" si="90"/>
        <v>306.61893266146666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-5.9412741393316544E-14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356.31271939877655</v>
      </c>
      <c r="BJ98" s="59">
        <f t="shared" si="92"/>
        <v>499.70544707812991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2.0447019091709402</v>
      </c>
      <c r="BQ98" s="21">
        <f>EXP(-LN(2)/25)*BQ97+(1-EXP(-LN(2)/25))/(LN(2)/25)*Calculateur!BL98*Calculateur!BN98*VLOOKUP('Données projet'!$B$11,Paramètres!$A$1:$I$89,3,0)*0.475*44/12</f>
        <v>1.5715869142878458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3.616288823458786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195.80903373714432</v>
      </c>
      <c r="CE98" s="59">
        <f t="shared" si="94"/>
        <v>388.30721786668977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16.271159429819594</v>
      </c>
      <c r="CL98" s="21">
        <f>EXP(-LN(2)/25)*CL97+(1-EXP(-LN(2)/25))/(LN(2)/25)*Calculateur!CG98*Calculateur!CI98*VLOOKUP('Données projet'!$B$12,Paramètres!$A$1:$I$89,3,0)*0.475*44/12</f>
        <v>8.518416269829503</v>
      </c>
      <c r="CM98" s="21">
        <f>EXP(-LN(2)/2)*CM97+(1-EXP(-LN(2)/2))/(LN(2)/2)*CG98*CJ98*VLOOKUP('Données projet'!$B$12,Paramètres!$A$1:$I$89,3,0)*0.475*44/12</f>
        <v>2.9354219820636654E-8</v>
      </c>
      <c r="CN98" s="22">
        <f t="shared" si="66"/>
        <v>24.789575729003317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72.638639486636521</v>
      </c>
      <c r="CZ98" s="59">
        <f t="shared" si="96"/>
        <v>334.50638815329404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9.9685511416567891</v>
      </c>
      <c r="DG98" s="21">
        <f>EXP(-LN(2)/25)*DG97+(1-EXP(-LN(2)/25))/(LN(2)/25)*Calculateur!DB98*Calculateur!DD98*VLOOKUP('Données projet'!$B$13,Paramètres!$A$1:$I$89,3,0)*0.475*44/12</f>
        <v>5.3104533893758905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15.27900453103268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68.016800235358346</v>
      </c>
      <c r="DU98" s="59">
        <f t="shared" si="98"/>
        <v>311.30433899203405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9.2168243342531593</v>
      </c>
      <c r="EB98" s="21">
        <f>EXP(-LN(2)/25)*EB97+(1-EXP(-LN(2)/25))/(LN(2)/25)*Calculateur!DW98*Calculateur!DY98*VLOOKUP('Données projet'!$B$14,Paramètres!$A$1:$I$89,3,0)*0.475*44/12</f>
        <v>4.9099929698491813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14.126817304102341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5.8</v>
      </c>
      <c r="N99" s="13">
        <f>IF('Données projet'!$A$36&gt;35,N98+M99-V98,IF(A99&lt;'Données projet'!$A$36,$K$205^A99,IF(A99='Données projet'!$A$36,'Données projet'!$B$36,N98+M99-V98)))</f>
        <v>309.79999999999995</v>
      </c>
      <c r="O99" s="13">
        <f>N99*VLOOKUP('Données projet'!$B$9,Paramètres!$A$1:$I$89,3,0)*VLOOKUP('Données projet'!$B$9,Paramètres!$A$1:$I$89,5,0)</f>
        <v>280.30703999999997</v>
      </c>
      <c r="P99" s="13">
        <f t="shared" si="87"/>
        <v>67.03189112007388</v>
      </c>
      <c r="Q99" s="20">
        <f t="shared" ref="Q99:Q130" si="107">(O99+P99)*0.475*44/12</f>
        <v>604.94863836746197</v>
      </c>
      <c r="R99" s="59">
        <f t="shared" si="55"/>
        <v>898.28197170079534</v>
      </c>
      <c r="S99" s="59">
        <f ca="1">AVERAGE(OFFSET($R$3,0,0,'Données projet'!$E$9+1,1))-AVERAGE(OFFSET($H$3,0,0,'Données projet'!$E$9+1,1))</f>
        <v>439.06700232017681</v>
      </c>
      <c r="T99" s="59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5.8</v>
      </c>
      <c r="AI99" s="13">
        <f>IF('Données projet'!$A$62&gt;35,AI98+AH99-AQ98,IF(A99&lt;'Données projet'!$A$62,$AF$205^A99,IF(A99='Données projet'!$A$62,'Données projet'!$B$62,AI98+AH99-AQ98)))</f>
        <v>309.79999999999995</v>
      </c>
      <c r="AJ99" s="13">
        <f>AI99*VLOOKUP('Données projet'!$B$10,Paramètres!$A$1:$I$89,3,0)*VLOOKUP('Données projet'!$B$10,Paramètres!$A$1:$I$89,5,0)</f>
        <v>314.13719999999995</v>
      </c>
      <c r="AK99" s="13">
        <f t="shared" si="89"/>
        <v>74.132174405952824</v>
      </c>
      <c r="AL99" s="20">
        <f t="shared" si="58"/>
        <v>676.23582709036771</v>
      </c>
      <c r="AM99" s="59">
        <f t="shared" si="59"/>
        <v>969.56916042370108</v>
      </c>
      <c r="AN99" s="59">
        <f ca="1">AVERAGE(OFFSET($AM$3,0,0,'Données projet'!$E$10+1,1))-AVERAGE(OFFSET($H$3,0,0,'Données projet'!$E$10+1,1))</f>
        <v>487.04124684635974</v>
      </c>
      <c r="AO99" s="59">
        <f t="shared" si="90"/>
        <v>306.61893266146666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-5.9412741393316544E-14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356.31271939877655</v>
      </c>
      <c r="BJ99" s="59">
        <f t="shared" si="92"/>
        <v>499.70544707812991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2.0046065518771172</v>
      </c>
      <c r="BQ99" s="21">
        <f>EXP(-LN(2)/25)*BQ98+(1-EXP(-LN(2)/25))/(LN(2)/25)*Calculateur!BL99*Calculateur!BN99*VLOOKUP('Données projet'!$B$11,Paramètres!$A$1:$I$89,3,0)*0.475*44/12</f>
        <v>1.5286117874704808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3.5332183393475978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195.80903373714432</v>
      </c>
      <c r="CE99" s="59">
        <f t="shared" si="94"/>
        <v>388.30721786668977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15.952091917828128</v>
      </c>
      <c r="CL99" s="21">
        <f>EXP(-LN(2)/25)*CL98+(1-EXP(-LN(2)/25))/(LN(2)/25)*Calculateur!CG99*Calculateur!CI99*VLOOKUP('Données projet'!$B$12,Paramètres!$A$1:$I$89,3,0)*0.475*44/12</f>
        <v>8.2854797289669726</v>
      </c>
      <c r="CM99" s="21">
        <f>EXP(-LN(2)/2)*CM98+(1-EXP(-LN(2)/2))/(LN(2)/2)*CG99*CJ99*VLOOKUP('Données projet'!$B$12,Paramètres!$A$1:$I$89,3,0)*0.475*44/12</f>
        <v>2.0756567891612741E-8</v>
      </c>
      <c r="CN99" s="22">
        <f t="shared" si="66"/>
        <v>24.237571667551666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72.638639486636521</v>
      </c>
      <c r="CZ99" s="59">
        <f t="shared" si="96"/>
        <v>334.50638815329404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9.7730739339847243</v>
      </c>
      <c r="DG99" s="21">
        <f>EXP(-LN(2)/25)*DG98+(1-EXP(-LN(2)/25))/(LN(2)/25)*Calculateur!DB99*Calculateur!DD99*VLOOKUP('Données projet'!$B$13,Paramètres!$A$1:$I$89,3,0)*0.475*44/12</f>
        <v>5.1652387621788005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14.938312696163525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68.016800235358346</v>
      </c>
      <c r="DU99" s="59">
        <f t="shared" si="98"/>
        <v>311.30433899203405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9.0360880307662015</v>
      </c>
      <c r="EB99" s="21">
        <f>EXP(-LN(2)/25)*EB98+(1-EXP(-LN(2)/25))/(LN(2)/25)*Calculateur!DW99*Calculateur!DY99*VLOOKUP('Données projet'!$B$14,Paramètres!$A$1:$I$89,3,0)*0.475*44/12</f>
        <v>4.7757289538833474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13.81181698464955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5.8</v>
      </c>
      <c r="N100" s="13">
        <f>IF('Données projet'!$A$36&gt;35,N99+M100-V99,IF(A100&lt;'Données projet'!$A$36,$K$205^A100,IF(A100='Données projet'!$A$36,'Données projet'!$B$36,N99+M100-V99)))</f>
        <v>315.59999999999997</v>
      </c>
      <c r="O100" s="13">
        <f>N100*VLOOKUP('Données projet'!$B$9,Paramètres!$A$1:$I$89,3,0)*VLOOKUP('Données projet'!$B$9,Paramètres!$A$1:$I$89,5,0)</f>
        <v>285.55487999999997</v>
      </c>
      <c r="P100" s="13">
        <f t="shared" si="87"/>
        <v>68.139569194998018</v>
      </c>
      <c r="Q100" s="20">
        <f t="shared" si="107"/>
        <v>616.01783234795482</v>
      </c>
      <c r="R100" s="59">
        <f t="shared" si="55"/>
        <v>909.35116568128819</v>
      </c>
      <c r="S100" s="59">
        <f ca="1">AVERAGE(OFFSET($R$3,0,0,'Données projet'!$E$9+1,1))-AVERAGE(OFFSET($H$3,0,0,'Données projet'!$E$9+1,1))</f>
        <v>439.06700232017681</v>
      </c>
      <c r="T100" s="59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5.8</v>
      </c>
      <c r="AI100" s="13">
        <f>IF('Données projet'!$A$62&gt;35,AI99+AH100-AQ99,IF(A100&lt;'Données projet'!$A$62,$AF$205^A100,IF(A100='Données projet'!$A$62,'Données projet'!$B$62,AI99+AH100-AQ99)))</f>
        <v>315.59999999999997</v>
      </c>
      <c r="AJ100" s="13">
        <f>AI100*VLOOKUP('Données projet'!$B$10,Paramètres!$A$1:$I$89,3,0)*VLOOKUP('Données projet'!$B$10,Paramètres!$A$1:$I$89,5,0)</f>
        <v>320.01839999999999</v>
      </c>
      <c r="AK100" s="13">
        <f t="shared" si="89"/>
        <v>75.357182127856944</v>
      </c>
      <c r="AL100" s="20">
        <f t="shared" si="58"/>
        <v>688.61247220601751</v>
      </c>
      <c r="AM100" s="59">
        <f t="shared" si="59"/>
        <v>981.94580553935089</v>
      </c>
      <c r="AN100" s="59">
        <f ca="1">AVERAGE(OFFSET($AM$3,0,0,'Données projet'!$E$10+1,1))-AVERAGE(OFFSET($H$3,0,0,'Données projet'!$E$10+1,1))</f>
        <v>487.04124684635974</v>
      </c>
      <c r="AO100" s="59">
        <f t="shared" si="90"/>
        <v>306.61893266146666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-5.9412741393316544E-14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356.31271939877655</v>
      </c>
      <c r="BJ100" s="59">
        <f t="shared" si="92"/>
        <v>499.70544707812991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1.965297440084073</v>
      </c>
      <c r="BQ100" s="21">
        <f>EXP(-LN(2)/25)*BQ99+(1-EXP(-LN(2)/25))/(LN(2)/25)*Calculateur!BL100*Calculateur!BN100*VLOOKUP('Données projet'!$B$11,Paramètres!$A$1:$I$89,3,0)*0.475*44/12</f>
        <v>1.4868118177559002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3.4521092578399735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195.80903373714432</v>
      </c>
      <c r="CE100" s="59">
        <f t="shared" si="94"/>
        <v>388.30721786668977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15.639281125134849</v>
      </c>
      <c r="CL100" s="21">
        <f>EXP(-LN(2)/25)*CL99+(1-EXP(-LN(2)/25))/(LN(2)/25)*Calculateur!CG100*Calculateur!CI100*VLOOKUP('Données projet'!$B$12,Paramètres!$A$1:$I$89,3,0)*0.475*44/12</f>
        <v>8.058912850063928</v>
      </c>
      <c r="CM100" s="21">
        <f>EXP(-LN(2)/2)*CM99+(1-EXP(-LN(2)/2))/(LN(2)/2)*CG100*CJ100*VLOOKUP('Données projet'!$B$12,Paramètres!$A$1:$I$89,3,0)*0.475*44/12</f>
        <v>1.4677109910318329E-8</v>
      </c>
      <c r="CN100" s="22">
        <f t="shared" si="66"/>
        <v>23.698193989875886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72.638639486636521</v>
      </c>
      <c r="CZ100" s="59">
        <f t="shared" si="96"/>
        <v>334.50638815329404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9.5814299151257849</v>
      </c>
      <c r="DG100" s="21">
        <f>EXP(-LN(2)/25)*DG99+(1-EXP(-LN(2)/25))/(LN(2)/25)*Calculateur!DB100*Calculateur!DD100*VLOOKUP('Données projet'!$B$13,Paramètres!$A$1:$I$89,3,0)*0.475*44/12</f>
        <v>5.0239950365989197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14.605424951724704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68.016800235358346</v>
      </c>
      <c r="DU100" s="59">
        <f t="shared" si="98"/>
        <v>311.30433899203405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8.8588958559523618</v>
      </c>
      <c r="EB100" s="21">
        <f>EXP(-LN(2)/25)*EB99+(1-EXP(-LN(2)/25))/(LN(2)/25)*Calculateur!DW100*Calculateur!DY100*VLOOKUP('Données projet'!$B$14,Paramètres!$A$1:$I$89,3,0)*0.475*44/12</f>
        <v>4.6451363944947364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13.504032250447098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5.8</v>
      </c>
      <c r="N101" s="13">
        <f>IF('Données projet'!$A$36&gt;35,N100+M101-V100,IF(A101&lt;'Données projet'!$A$36,$K$205^A101,IF(A101='Données projet'!$A$36,'Données projet'!$B$36,N100+M101-V100)))</f>
        <v>321.39999999999998</v>
      </c>
      <c r="O101" s="13">
        <f>N101*VLOOKUP('Données projet'!$B$9,Paramètres!$A$1:$I$89,3,0)*VLOOKUP('Données projet'!$B$9,Paramètres!$A$1:$I$89,5,0)</f>
        <v>290.80271999999997</v>
      </c>
      <c r="P101" s="13">
        <f t="shared" si="87"/>
        <v>69.244880157128961</v>
      </c>
      <c r="Q101" s="20">
        <f t="shared" si="107"/>
        <v>627.08290360699959</v>
      </c>
      <c r="R101" s="59">
        <f t="shared" si="55"/>
        <v>920.41623694033296</v>
      </c>
      <c r="S101" s="59">
        <f ca="1">AVERAGE(OFFSET($R$3,0,0,'Données projet'!$E$9+1,1))-AVERAGE(OFFSET($H$3,0,0,'Données projet'!$E$9+1,1))</f>
        <v>439.06700232017681</v>
      </c>
      <c r="T101" s="59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5.8</v>
      </c>
      <c r="AI101" s="13">
        <f>IF('Données projet'!$A$62&gt;35,AI100+AH101-AQ100,IF(A101&lt;'Données projet'!$A$62,$AF$205^A101,IF(A101='Données projet'!$A$62,'Données projet'!$B$62,AI100+AH101-AQ100)))</f>
        <v>321.39999999999998</v>
      </c>
      <c r="AJ101" s="13">
        <f>AI101*VLOOKUP('Données projet'!$B$10,Paramètres!$A$1:$I$89,3,0)*VLOOKUP('Données projet'!$B$10,Paramètres!$A$1:$I$89,5,0)</f>
        <v>325.89960000000002</v>
      </c>
      <c r="AK101" s="13">
        <f t="shared" si="89"/>
        <v>76.579572003009503</v>
      </c>
      <c r="AL101" s="20">
        <f t="shared" si="58"/>
        <v>700.98455790524156</v>
      </c>
      <c r="AM101" s="59">
        <f t="shared" si="59"/>
        <v>994.31789123857493</v>
      </c>
      <c r="AN101" s="59">
        <f ca="1">AVERAGE(OFFSET($AM$3,0,0,'Données projet'!$E$10+1,1))-AVERAGE(OFFSET($H$3,0,0,'Données projet'!$E$10+1,1))</f>
        <v>487.04124684635974</v>
      </c>
      <c r="AO101" s="59">
        <f t="shared" si="90"/>
        <v>306.61893266146666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-5.9412741393316544E-14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356.31271939877655</v>
      </c>
      <c r="BJ101" s="59">
        <f t="shared" si="92"/>
        <v>499.70544707812991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1.9267591559970998</v>
      </c>
      <c r="BQ101" s="21">
        <f>EXP(-LN(2)/25)*BQ100+(1-EXP(-LN(2)/25))/(LN(2)/25)*Calculateur!BL101*Calculateur!BN101*VLOOKUP('Données projet'!$B$11,Paramètres!$A$1:$I$89,3,0)*0.475*44/12</f>
        <v>1.4461548704113298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3.3729140264084299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195.80903373714432</v>
      </c>
      <c r="CE101" s="59">
        <f t="shared" si="94"/>
        <v>388.30721786668977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15.33260436129054</v>
      </c>
      <c r="CL101" s="21">
        <f>EXP(-LN(2)/25)*CL100+(1-EXP(-LN(2)/25))/(LN(2)/25)*Calculateur!CG101*Calculateur!CI101*VLOOKUP('Données projet'!$B$12,Paramètres!$A$1:$I$89,3,0)*0.475*44/12</f>
        <v>7.8385414543791221</v>
      </c>
      <c r="CM101" s="21">
        <f>EXP(-LN(2)/2)*CM100+(1-EXP(-LN(2)/2))/(LN(2)/2)*CG101*CJ101*VLOOKUP('Données projet'!$B$12,Paramètres!$A$1:$I$89,3,0)*0.475*44/12</f>
        <v>1.0378283945806372E-8</v>
      </c>
      <c r="CN101" s="22">
        <f t="shared" si="66"/>
        <v>23.171145826047944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72.638639486636521</v>
      </c>
      <c r="CZ101" s="59">
        <f t="shared" si="96"/>
        <v>334.50638815329404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9.39354391858536</v>
      </c>
      <c r="DG101" s="21">
        <f>EXP(-LN(2)/25)*DG100+(1-EXP(-LN(2)/25))/(LN(2)/25)*Calculateur!DB101*Calculateur!DD101*VLOOKUP('Données projet'!$B$13,Paramètres!$A$1:$I$89,3,0)*0.475*44/12</f>
        <v>4.8866136281227055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14.280157546708065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68.016800235358346</v>
      </c>
      <c r="DU101" s="59">
        <f t="shared" si="98"/>
        <v>311.30433899203405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8.685178311610068</v>
      </c>
      <c r="EB101" s="21">
        <f>EXP(-LN(2)/25)*EB100+(1-EXP(-LN(2)/25))/(LN(2)/25)*Calculateur!DW101*Calculateur!DY101*VLOOKUP('Données projet'!$B$14,Paramètres!$A$1:$I$89,3,0)*0.475*44/12</f>
        <v>4.5181148955101715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13.20329320712024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5.8</v>
      </c>
      <c r="N102" s="13">
        <f>IF('Données projet'!$A$36&gt;35,N101+M102-V101,IF(A102&lt;'Données projet'!$A$36,$K$205^A102,IF(A102='Données projet'!$A$36,'Données projet'!$B$36,N101+M102-V101)))</f>
        <v>327.2</v>
      </c>
      <c r="O102" s="13">
        <f>N102*VLOOKUP('Données projet'!$B$9,Paramètres!$A$1:$I$89,3,0)*VLOOKUP('Données projet'!$B$9,Paramètres!$A$1:$I$89,5,0)</f>
        <v>296.05055999999996</v>
      </c>
      <c r="P102" s="13">
        <f t="shared" si="87"/>
        <v>70.34787165092402</v>
      </c>
      <c r="Q102" s="20">
        <f t="shared" si="107"/>
        <v>638.14393512535923</v>
      </c>
      <c r="R102" s="59">
        <f t="shared" si="55"/>
        <v>931.47726845869261</v>
      </c>
      <c r="S102" s="59">
        <f ca="1">AVERAGE(OFFSET($R$3,0,0,'Données projet'!$E$9+1,1))-AVERAGE(OFFSET($H$3,0,0,'Données projet'!$E$9+1,1))</f>
        <v>439.06700232017681</v>
      </c>
      <c r="T102" s="59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5.8</v>
      </c>
      <c r="AI102" s="13">
        <f>IF('Données projet'!$A$62&gt;35,AI101+AH102-AQ101,IF(A102&lt;'Données projet'!$A$62,$AF$205^A102,IF(A102='Données projet'!$A$62,'Données projet'!$B$62,AI101+AH102-AQ101)))</f>
        <v>327.2</v>
      </c>
      <c r="AJ102" s="13">
        <f>AI102*VLOOKUP('Données projet'!$B$10,Paramètres!$A$1:$I$89,3,0)*VLOOKUP('Données projet'!$B$10,Paramètres!$A$1:$I$89,5,0)</f>
        <v>331.7808</v>
      </c>
      <c r="AK102" s="13">
        <f t="shared" si="89"/>
        <v>77.799396722557162</v>
      </c>
      <c r="AL102" s="20">
        <f t="shared" si="58"/>
        <v>713.3521759584537</v>
      </c>
      <c r="AM102" s="59">
        <f t="shared" si="59"/>
        <v>1006.685509291787</v>
      </c>
      <c r="AN102" s="59">
        <f ca="1">AVERAGE(OFFSET($AM$3,0,0,'Données projet'!$E$10+1,1))-AVERAGE(OFFSET($H$3,0,0,'Données projet'!$E$10+1,1))</f>
        <v>487.04124684635974</v>
      </c>
      <c r="AO102" s="59">
        <f t="shared" si="90"/>
        <v>306.61893266146666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-5.9412741393316544E-14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356.31271939877655</v>
      </c>
      <c r="BJ102" s="59">
        <f t="shared" si="92"/>
        <v>499.70544707812991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1.8889765841550397</v>
      </c>
      <c r="BQ102" s="21">
        <f>EXP(-LN(2)/25)*BQ101+(1-EXP(-LN(2)/25))/(LN(2)/25)*Calculateur!BL102*Calculateur!BN102*VLOOKUP('Données projet'!$B$11,Paramètres!$A$1:$I$89,3,0)*0.475*44/12</f>
        <v>1.4066096894299527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3.2955862735849921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195.80903373714432</v>
      </c>
      <c r="CE102" s="59">
        <f t="shared" si="94"/>
        <v>388.30721786668977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15.031941341730864</v>
      </c>
      <c r="CL102" s="21">
        <f>EXP(-LN(2)/25)*CL101+(1-EXP(-LN(2)/25))/(LN(2)/25)*Calculateur!CG102*Calculateur!CI102*VLOOKUP('Données projet'!$B$12,Paramètres!$A$1:$I$89,3,0)*0.475*44/12</f>
        <v>7.6241961260981448</v>
      </c>
      <c r="CM102" s="21">
        <f>EXP(-LN(2)/2)*CM101+(1-EXP(-LN(2)/2))/(LN(2)/2)*CG102*CJ102*VLOOKUP('Données projet'!$B$12,Paramètres!$A$1:$I$89,3,0)*0.475*44/12</f>
        <v>7.338554955159166E-9</v>
      </c>
      <c r="CN102" s="22">
        <f t="shared" si="66"/>
        <v>22.656137475167565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72.638639486636521</v>
      </c>
      <c r="CZ102" s="59">
        <f t="shared" si="96"/>
        <v>334.50638815329404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9.2093422518379509</v>
      </c>
      <c r="DG102" s="21">
        <f>EXP(-LN(2)/25)*DG101+(1-EXP(-LN(2)/25))/(LN(2)/25)*Calculateur!DB102*Calculateur!DD102*VLOOKUP('Données projet'!$B$13,Paramètres!$A$1:$I$89,3,0)*0.475*44/12</f>
        <v>4.7529889214858478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13.962331173323799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68.016800235358346</v>
      </c>
      <c r="DU102" s="59">
        <f t="shared" si="98"/>
        <v>311.30433899203405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8.5148672623550858</v>
      </c>
      <c r="EB102" s="21">
        <f>EXP(-LN(2)/25)*EB101+(1-EXP(-LN(2)/25))/(LN(2)/25)*Calculateur!DW102*Calculateur!DY102*VLOOKUP('Données projet'!$B$14,Paramètres!$A$1:$I$89,3,0)*0.475*44/12</f>
        <v>4.39456680609511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12.909434068450196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5.8</v>
      </c>
      <c r="M103" s="12">
        <f t="array" ref="M103">INDEX(L:L,MIN(IF(ISNUMBER(L103:L299),ROW(L103:L299),"")))</f>
        <v>5.8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439.06700232017681</v>
      </c>
      <c r="T103" s="59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5.8</v>
      </c>
      <c r="AH103" s="12">
        <f t="array" ref="AH103">INDEX(AG:AG,MIN(IF(ISNUMBER(AG103:AG299),ROW(AG103:AG299),"")))</f>
        <v>5.8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9">
        <f t="shared" si="59"/>
        <v>1019.0487480295853</v>
      </c>
      <c r="AN103" s="59">
        <f ca="1">AVERAGE(OFFSET($AM$3,0,0,'Données projet'!$E$10+1,1))-AVERAGE(OFFSET($H$3,0,0,'Données projet'!$E$10+1,1))</f>
        <v>487.04124684635974</v>
      </c>
      <c r="AO103" s="59">
        <f t="shared" si="90"/>
        <v>306.61893266146666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-5.9412741393316544E-14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356.31271939877655</v>
      </c>
      <c r="BJ103" s="59">
        <f t="shared" si="92"/>
        <v>499.70544707812991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1.8519349055017091</v>
      </c>
      <c r="BQ103" s="21">
        <f>EXP(-LN(2)/25)*BQ102+(1-EXP(-LN(2)/25))/(LN(2)/25)*Calculateur!BL103*Calculateur!BN103*VLOOKUP('Données projet'!$B$11,Paramètres!$A$1:$I$89,3,0)*0.475*44/12</f>
        <v>1.3681458735021019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3.2200807790038111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195.80903373714432</v>
      </c>
      <c r="CE103" s="59">
        <f t="shared" si="94"/>
        <v>388.30721786668977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14.737174140598418</v>
      </c>
      <c r="CL103" s="21">
        <f>EXP(-LN(2)/25)*CL102+(1-EXP(-LN(2)/25))/(LN(2)/25)*Calculateur!CG103*Calculateur!CI103*VLOOKUP('Données projet'!$B$12,Paramètres!$A$1:$I$89,3,0)*0.475*44/12</f>
        <v>7.4157120820909421</v>
      </c>
      <c r="CM103" s="21">
        <f>EXP(-LN(2)/2)*CM102+(1-EXP(-LN(2)/2))/(LN(2)/2)*CG103*CJ103*VLOOKUP('Données projet'!$B$12,Paramètres!$A$1:$I$89,3,0)*0.475*44/12</f>
        <v>5.1891419729031868E-9</v>
      </c>
      <c r="CN103" s="22">
        <f t="shared" si="66"/>
        <v>22.152886227878504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72.638639486636521</v>
      </c>
      <c r="CZ103" s="59">
        <f t="shared" si="96"/>
        <v>334.50638815329404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9.0287526674235359</v>
      </c>
      <c r="DG103" s="21">
        <f>EXP(-LN(2)/25)*DG102+(1-EXP(-LN(2)/25))/(LN(2)/25)*Calculateur!DB103*Calculateur!DD103*VLOOKUP('Données projet'!$B$13,Paramètres!$A$1:$I$89,3,0)*0.475*44/12</f>
        <v>4.6230181894789935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13.65177085690253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68.016800235358346</v>
      </c>
      <c r="DU103" s="59">
        <f t="shared" si="98"/>
        <v>311.30433899203405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8.3478959088965112</v>
      </c>
      <c r="EB103" s="21">
        <f>EXP(-LN(2)/25)*EB102+(1-EXP(-LN(2)/25))/(LN(2)/25)*Calculateur!DW103*Calculateur!DY103*VLOOKUP('Données projet'!$B$14,Paramètres!$A$1:$I$89,3,0)*0.475*44/12</f>
        <v>4.2743971456822152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12.622293054578726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439.06700232017681</v>
      </c>
      <c r="T104" s="59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9">
        <f t="shared" si="59"/>
        <v>972.98386815977756</v>
      </c>
      <c r="AN104" s="59">
        <f ca="1">AVERAGE(OFFSET($AM$3,0,0,'Données projet'!$E$10+1,1))-AVERAGE(OFFSET($H$3,0,0,'Données projet'!$E$10+1,1))</f>
        <v>487.04124684635974</v>
      </c>
      <c r="AO104" s="59">
        <f t="shared" si="90"/>
        <v>306.61893266146666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-5.9412741393316544E-14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356.31271939877655</v>
      </c>
      <c r="BJ104" s="59">
        <f t="shared" si="92"/>
        <v>499.70544707812991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1.8156195915735773</v>
      </c>
      <c r="BQ104" s="21">
        <f>EXP(-LN(2)/25)*BQ103+(1-EXP(-LN(2)/25))/(LN(2)/25)*Calculateur!BL104*Calculateur!BN104*VLOOKUP('Données projet'!$B$11,Paramètres!$A$1:$I$89,3,0)*0.475*44/12</f>
        <v>1.3307338526435224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3.1463534442170999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195.80903373714432</v>
      </c>
      <c r="CE104" s="59">
        <f t="shared" si="94"/>
        <v>388.30721786668977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14.448187144489939</v>
      </c>
      <c r="CL104" s="21">
        <f>EXP(-LN(2)/25)*CL103+(1-EXP(-LN(2)/25))/(LN(2)/25)*Calculateur!CG104*Calculateur!CI104*VLOOKUP('Données projet'!$B$12,Paramètres!$A$1:$I$89,3,0)*0.475*44/12</f>
        <v>7.2129290452308155</v>
      </c>
      <c r="CM104" s="21">
        <f>EXP(-LN(2)/2)*CM103+(1-EXP(-LN(2)/2))/(LN(2)/2)*CG104*CJ104*VLOOKUP('Données projet'!$B$12,Paramètres!$A$1:$I$89,3,0)*0.475*44/12</f>
        <v>3.6692774775795834E-9</v>
      </c>
      <c r="CN104" s="22">
        <f t="shared" si="66"/>
        <v>21.661116193390033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72.638639486636521</v>
      </c>
      <c r="CZ104" s="59">
        <f t="shared" si="96"/>
        <v>334.50638815329404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8.8517043346107176</v>
      </c>
      <c r="DG104" s="21">
        <f>EXP(-LN(2)/25)*DG103+(1-EXP(-LN(2)/25))/(LN(2)/25)*Calculateur!DB104*Calculateur!DD104*VLOOKUP('Données projet'!$B$13,Paramètres!$A$1:$I$89,3,0)*0.475*44/12</f>
        <v>4.4966015139737294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13.348305848584447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68.016800235358346</v>
      </c>
      <c r="DU104" s="59">
        <f t="shared" si="98"/>
        <v>311.30433899203405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8.1841987618367895</v>
      </c>
      <c r="EB104" s="21">
        <f>EXP(-LN(2)/25)*EB103+(1-EXP(-LN(2)/25))/(LN(2)/25)*Calculateur!DW104*Calculateur!DY104*VLOOKUP('Données projet'!$B$14,Paramètres!$A$1:$I$89,3,0)*0.475*44/12</f>
        <v>4.157513530952758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12.341712292789548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439.06700232017681</v>
      </c>
      <c r="T105" s="59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9">
        <f t="shared" si="59"/>
        <v>984.50591840476886</v>
      </c>
      <c r="AN105" s="59">
        <f ca="1">AVERAGE(OFFSET($AM$3,0,0,'Données projet'!$E$10+1,1))-AVERAGE(OFFSET($H$3,0,0,'Données projet'!$E$10+1,1))</f>
        <v>487.04124684635974</v>
      </c>
      <c r="AO105" s="59">
        <f t="shared" si="90"/>
        <v>306.61893266146666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-5.9412741393316544E-14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356.31271939877655</v>
      </c>
      <c r="BJ105" s="59">
        <f t="shared" si="92"/>
        <v>499.70544707812991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1.7800163988014219</v>
      </c>
      <c r="BQ105" s="21">
        <f>EXP(-LN(2)/25)*BQ104+(1-EXP(-LN(2)/25))/(LN(2)/25)*Calculateur!BL105*Calculateur!BN105*VLOOKUP('Données projet'!$B$11,Paramètres!$A$1:$I$89,3,0)*0.475*44/12</f>
        <v>1.2943448654627334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3.0743612642641551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195.80903373714432</v>
      </c>
      <c r="CE105" s="59">
        <f t="shared" si="94"/>
        <v>388.30721786668977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14.164867007110486</v>
      </c>
      <c r="CL105" s="21">
        <f>EXP(-LN(2)/25)*CL104+(1-EXP(-LN(2)/25))/(LN(2)/25)*Calculateur!CG105*Calculateur!CI105*VLOOKUP('Données projet'!$B$12,Paramètres!$A$1:$I$89,3,0)*0.475*44/12</f>
        <v>7.0156911211775261</v>
      </c>
      <c r="CM105" s="21">
        <f>EXP(-LN(2)/2)*CM104+(1-EXP(-LN(2)/2))/(LN(2)/2)*CG105*CJ105*VLOOKUP('Données projet'!$B$12,Paramètres!$A$1:$I$89,3,0)*0.475*44/12</f>
        <v>2.5945709864515938E-9</v>
      </c>
      <c r="CN105" s="22">
        <f t="shared" si="66"/>
        <v>21.180558130882584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72.638639486636521</v>
      </c>
      <c r="CZ105" s="59">
        <f t="shared" si="96"/>
        <v>334.50638815329404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8.6781278116155374</v>
      </c>
      <c r="DG105" s="21">
        <f>EXP(-LN(2)/25)*DG104+(1-EXP(-LN(2)/25))/(LN(2)/25)*Calculateur!DB105*Calculateur!DD105*VLOOKUP('Données projet'!$B$13,Paramètres!$A$1:$I$89,3,0)*0.475*44/12</f>
        <v>4.3736417091081217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13.05176952072366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68.016800235358346</v>
      </c>
      <c r="DU105" s="59">
        <f t="shared" si="98"/>
        <v>311.30433899203405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8.0237116159855084</v>
      </c>
      <c r="EB105" s="21">
        <f>EXP(-LN(2)/25)*EB104+(1-EXP(-LN(2)/25))/(LN(2)/25)*Calculateur!DW105*Calculateur!DY105*VLOOKUP('Données projet'!$B$14,Paramètres!$A$1:$I$89,3,0)*0.475*44/12</f>
        <v>4.0438261048147206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12.067537720800228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439.06700232017681</v>
      </c>
      <c r="T106" s="59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9">
        <f t="shared" si="59"/>
        <v>996.02403317864309</v>
      </c>
      <c r="AN106" s="59">
        <f ca="1">AVERAGE(OFFSET($AM$3,0,0,'Données projet'!$E$10+1,1))-AVERAGE(OFFSET($H$3,0,0,'Données projet'!$E$10+1,1))</f>
        <v>487.04124684635974</v>
      </c>
      <c r="AO106" s="59">
        <f t="shared" si="90"/>
        <v>306.61893266146666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-5.9412741393316544E-14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356.31271939877655</v>
      </c>
      <c r="BJ106" s="59">
        <f t="shared" si="92"/>
        <v>499.70544707812991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1.7451113629237252</v>
      </c>
      <c r="BQ106" s="21">
        <f>EXP(-LN(2)/25)*BQ105+(1-EXP(-LN(2)/25))/(LN(2)/25)*Calculateur!BL106*Calculateur!BN106*VLOOKUP('Données projet'!$B$11,Paramètres!$A$1:$I$89,3,0)*0.475*44/12</f>
        <v>1.2589509370500167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3.0040622999737421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195.80903373714432</v>
      </c>
      <c r="CE106" s="59">
        <f t="shared" si="94"/>
        <v>388.30721786668977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13.887102604816823</v>
      </c>
      <c r="CL106" s="21">
        <f>EXP(-LN(2)/25)*CL105+(1-EXP(-LN(2)/25))/(LN(2)/25)*Calculateur!CG106*Calculateur!CI106*VLOOKUP('Données projet'!$B$12,Paramètres!$A$1:$I$89,3,0)*0.475*44/12</f>
        <v>6.8238466785297653</v>
      </c>
      <c r="CM106" s="21">
        <f>EXP(-LN(2)/2)*CM105+(1-EXP(-LN(2)/2))/(LN(2)/2)*CG106*CJ106*VLOOKUP('Données projet'!$B$12,Paramètres!$A$1:$I$89,3,0)*0.475*44/12</f>
        <v>1.8346387387897921E-9</v>
      </c>
      <c r="CN106" s="22">
        <f t="shared" si="66"/>
        <v>20.710949285181226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72.638639486636521</v>
      </c>
      <c r="CZ106" s="59">
        <f t="shared" si="96"/>
        <v>334.50638815329404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8.5079550183650685</v>
      </c>
      <c r="DG106" s="21">
        <f>EXP(-LN(2)/25)*DG105+(1-EXP(-LN(2)/25))/(LN(2)/25)*Calculateur!DB106*Calculateur!DD106*VLOOKUP('Données projet'!$B$13,Paramètres!$A$1:$I$89,3,0)*0.475*44/12</f>
        <v>4.2540442465727386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12.761999264937806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68.016800235358346</v>
      </c>
      <c r="DU106" s="59">
        <f t="shared" si="98"/>
        <v>311.30433899203405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7.866371525176878</v>
      </c>
      <c r="EB106" s="21">
        <f>EXP(-LN(2)/25)*EB105+(1-EXP(-LN(2)/25))/(LN(2)/25)*Calculateur!DW106*Calculateur!DY106*VLOOKUP('Données projet'!$B$14,Paramètres!$A$1:$I$89,3,0)*0.475*44/12</f>
        <v>3.9332474673229894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11.799618992499868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439.06700232017681</v>
      </c>
      <c r="T107" s="59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9">
        <f t="shared" si="59"/>
        <v>1007.5382860516456</v>
      </c>
      <c r="AN107" s="59">
        <f ca="1">AVERAGE(OFFSET($AM$3,0,0,'Données projet'!$E$10+1,1))-AVERAGE(OFFSET($H$3,0,0,'Données projet'!$E$10+1,1))</f>
        <v>487.04124684635974</v>
      </c>
      <c r="AO107" s="59">
        <f t="shared" si="90"/>
        <v>306.61893266146666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-5.9412741393316544E-14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356.31271939877655</v>
      </c>
      <c r="BJ107" s="59">
        <f t="shared" si="92"/>
        <v>499.70544707812991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1.7108907935096203</v>
      </c>
      <c r="BQ107" s="21">
        <f>EXP(-LN(2)/25)*BQ106+(1-EXP(-LN(2)/25))/(LN(2)/25)*Calculateur!BL107*Calculateur!BN107*VLOOKUP('Données projet'!$B$11,Paramètres!$A$1:$I$89,3,0)*0.475*44/12</f>
        <v>1.2245248574710317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2.9354156509806519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195.80903373714432</v>
      </c>
      <c r="CE107" s="59">
        <f t="shared" si="94"/>
        <v>388.30721786668977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13.614784993032581</v>
      </c>
      <c r="CL107" s="21">
        <f>EXP(-LN(2)/25)*CL106+(1-EXP(-LN(2)/25))/(LN(2)/25)*Calculateur!CG107*Calculateur!CI107*VLOOKUP('Données projet'!$B$12,Paramètres!$A$1:$I$89,3,0)*0.475*44/12</f>
        <v>6.6372482322548683</v>
      </c>
      <c r="CM107" s="21">
        <f>EXP(-LN(2)/2)*CM106+(1-EXP(-LN(2)/2))/(LN(2)/2)*CG107*CJ107*VLOOKUP('Données projet'!$B$12,Paramètres!$A$1:$I$89,3,0)*0.475*44/12</f>
        <v>1.2972854932257971E-9</v>
      </c>
      <c r="CN107" s="22">
        <f t="shared" si="66"/>
        <v>20.252033226584732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72.638639486636521</v>
      </c>
      <c r="CZ107" s="59">
        <f t="shared" si="96"/>
        <v>334.50638815329404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8.3411192097950853</v>
      </c>
      <c r="DG107" s="21">
        <f>EXP(-LN(2)/25)*DG106+(1-EXP(-LN(2)/25))/(LN(2)/25)*Calculateur!DB107*Calculateur!DD107*VLOOKUP('Données projet'!$B$13,Paramètres!$A$1:$I$89,3,0)*0.475*44/12</f>
        <v>4.1377171829397428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12.478836392734827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68.016800235358346</v>
      </c>
      <c r="DU107" s="59">
        <f t="shared" si="98"/>
        <v>311.30433899203405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7.7121167775810253</v>
      </c>
      <c r="EB107" s="21">
        <f>EXP(-LN(2)/25)*EB106+(1-EXP(-LN(2)/25))/(LN(2)/25)*Calculateur!DW107*Calculateur!DY107*VLOOKUP('Données projet'!$B$14,Paramètres!$A$1:$I$89,3,0)*0.475*44/12</f>
        <v>3.8256926084885476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11.537809386069572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439.06700232017681</v>
      </c>
      <c r="T108" s="59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9">
        <f t="shared" si="59"/>
        <v>1019.0487480295851</v>
      </c>
      <c r="AN108" s="59">
        <f ca="1">AVERAGE(OFFSET($AM$3,0,0,'Données projet'!$E$10+1,1))-AVERAGE(OFFSET($H$3,0,0,'Données projet'!$E$10+1,1))</f>
        <v>487.04124684635974</v>
      </c>
      <c r="AO108" s="59">
        <f t="shared" si="90"/>
        <v>306.61893266146666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-5.9412741393316544E-14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356.31271939877655</v>
      </c>
      <c r="BJ108" s="59">
        <f t="shared" si="92"/>
        <v>499.70544707812991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1.6773412685892395</v>
      </c>
      <c r="BQ108" s="21">
        <f>EXP(-LN(2)/25)*BQ107+(1-EXP(-LN(2)/25))/(LN(2)/25)*Calculateur!BL108*Calculateur!BN108*VLOOKUP('Données projet'!$B$11,Paramètres!$A$1:$I$89,3,0)*0.475*44/12</f>
        <v>1.1910401608485228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2.8683814294377621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195.80903373714432</v>
      </c>
      <c r="CE108" s="59">
        <f t="shared" si="94"/>
        <v>388.30721786668977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13.347807363518086</v>
      </c>
      <c r="CL108" s="21">
        <f>EXP(-LN(2)/25)*CL107+(1-EXP(-LN(2)/25))/(LN(2)/25)*Calculateur!CG108*Calculateur!CI108*VLOOKUP('Données projet'!$B$12,Paramètres!$A$1:$I$89,3,0)*0.475*44/12</f>
        <v>6.4557523303061437</v>
      </c>
      <c r="CM108" s="21">
        <f>EXP(-LN(2)/2)*CM107+(1-EXP(-LN(2)/2))/(LN(2)/2)*CG108*CJ108*VLOOKUP('Données projet'!$B$12,Paramètres!$A$1:$I$89,3,0)*0.475*44/12</f>
        <v>9.1731936939489616E-10</v>
      </c>
      <c r="CN108" s="22">
        <f t="shared" si="66"/>
        <v>19.803559694741548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72.638639486636521</v>
      </c>
      <c r="CZ108" s="59">
        <f t="shared" si="96"/>
        <v>334.50638815329404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8.1775549496713644</v>
      </c>
      <c r="DG108" s="21">
        <f>EXP(-LN(2)/25)*DG107+(1-EXP(-LN(2)/25))/(LN(2)/25)*Calculateur!DB108*Calculateur!DD108*VLOOKUP('Données projet'!$B$13,Paramètres!$A$1:$I$89,3,0)*0.475*44/12</f>
        <v>4.0245710889791662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12.20212603865053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68.016800235358346</v>
      </c>
      <c r="DU108" s="59">
        <f t="shared" si="98"/>
        <v>311.30433899203405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7.560886871499422</v>
      </c>
      <c r="EB108" s="21">
        <f>EXP(-LN(2)/25)*EB107+(1-EXP(-LN(2)/25))/(LN(2)/25)*Calculateur!DW108*Calculateur!DY108*VLOOKUP('Données projet'!$B$14,Paramètres!$A$1:$I$89,3,0)*0.475*44/12</f>
        <v>3.7210788429249977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11.28196571442442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439.06700232017681</v>
      </c>
      <c r="T109" s="59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9">
        <f t="shared" si="59"/>
        <v>974.26429265651404</v>
      </c>
      <c r="AN109" s="59">
        <f ca="1">AVERAGE(OFFSET($AM$3,0,0,'Données projet'!$E$10+1,1))-AVERAGE(OFFSET($H$3,0,0,'Données projet'!$E$10+1,1))</f>
        <v>487.04124684635974</v>
      </c>
      <c r="AO109" s="59">
        <f t="shared" si="90"/>
        <v>306.61893266146666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-5.9412741393316544E-14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356.31271939877655</v>
      </c>
      <c r="BJ109" s="59">
        <f t="shared" si="92"/>
        <v>499.70544707812991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1.6444496293893578</v>
      </c>
      <c r="BQ109" s="21">
        <f>EXP(-LN(2)/25)*BQ108+(1-EXP(-LN(2)/25))/(LN(2)/25)*Calculateur!BL109*Calculateur!BN109*VLOOKUP('Données projet'!$B$11,Paramètres!$A$1:$I$89,3,0)*0.475*44/12</f>
        <v>1.1584711050160401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2.8029207344053981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195.80903373714432</v>
      </c>
      <c r="CE109" s="59">
        <f t="shared" si="94"/>
        <v>388.30721786668977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13.086065002478096</v>
      </c>
      <c r="CL109" s="21">
        <f>EXP(-LN(2)/25)*CL108+(1-EXP(-LN(2)/25))/(LN(2)/25)*Calculateur!CG109*Calculateur!CI109*VLOOKUP('Données projet'!$B$12,Paramètres!$A$1:$I$89,3,0)*0.475*44/12</f>
        <v>6.2792194433406623</v>
      </c>
      <c r="CM109" s="21">
        <f>EXP(-LN(2)/2)*CM108+(1-EXP(-LN(2)/2))/(LN(2)/2)*CG109*CJ109*VLOOKUP('Données projet'!$B$12,Paramètres!$A$1:$I$89,3,0)*0.475*44/12</f>
        <v>6.4864274661289866E-10</v>
      </c>
      <c r="CN109" s="22">
        <f t="shared" si="66"/>
        <v>19.365284446467403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72.638639486636521</v>
      </c>
      <c r="CZ109" s="59">
        <f t="shared" si="96"/>
        <v>334.50638815329404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8.0171980849243223</v>
      </c>
      <c r="DG109" s="21">
        <f>EXP(-LN(2)/25)*DG108+(1-EXP(-LN(2)/25))/(LN(2)/25)*Calculateur!DB109*Calculateur!DD109*VLOOKUP('Données projet'!$B$13,Paramètres!$A$1:$I$89,3,0)*0.475*44/12</f>
        <v>3.9145189809080354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11.931717065832357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68.016800235358346</v>
      </c>
      <c r="DU109" s="59">
        <f t="shared" si="98"/>
        <v>311.30433899203405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7.4126224916349441</v>
      </c>
      <c r="EB109" s="21">
        <f>EXP(-LN(2)/25)*EB108+(1-EXP(-LN(2)/25))/(LN(2)/25)*Calculateur!DW109*Calculateur!DY109*VLOOKUP('Données projet'!$B$14,Paramètres!$A$1:$I$89,3,0)*0.475*44/12</f>
        <v>3.6193257462821817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11.031948237917126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439.06700232017681</v>
      </c>
      <c r="T110" s="59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9">
        <f t="shared" si="59"/>
        <v>984.93258496659951</v>
      </c>
      <c r="AN110" s="59">
        <f ca="1">AVERAGE(OFFSET($AM$3,0,0,'Données projet'!$E$10+1,1))-AVERAGE(OFFSET($H$3,0,0,'Données projet'!$E$10+1,1))</f>
        <v>487.04124684635974</v>
      </c>
      <c r="AO110" s="59">
        <f t="shared" si="90"/>
        <v>306.61893266146666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-5.9412741393316544E-14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356.31271939877655</v>
      </c>
      <c r="BJ110" s="59">
        <f t="shared" si="92"/>
        <v>499.70544707812991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1.6122029751722669</v>
      </c>
      <c r="BQ110" s="21">
        <f>EXP(-LN(2)/25)*BQ109+(1-EXP(-LN(2)/25))/(LN(2)/25)*Calculateur!BL110*Calculateur!BN110*VLOOKUP('Données projet'!$B$11,Paramètres!$A$1:$I$89,3,0)*0.475*44/12</f>
        <v>1.1267926517280289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2.7389956269002957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195.80903373714432</v>
      </c>
      <c r="CE110" s="59">
        <f t="shared" si="94"/>
        <v>388.30721786668977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12.829455249491023</v>
      </c>
      <c r="CL110" s="21">
        <f>EXP(-LN(2)/25)*CL109+(1-EXP(-LN(2)/25))/(LN(2)/25)*Calculateur!CG110*Calculateur!CI110*VLOOKUP('Données projet'!$B$12,Paramètres!$A$1:$I$89,3,0)*0.475*44/12</f>
        <v>6.1075138574527124</v>
      </c>
      <c r="CM110" s="21">
        <f>EXP(-LN(2)/2)*CM109+(1-EXP(-LN(2)/2))/(LN(2)/2)*CG110*CJ110*VLOOKUP('Données projet'!$B$12,Paramètres!$A$1:$I$89,3,0)*0.475*44/12</f>
        <v>4.5865968469744813E-10</v>
      </c>
      <c r="CN110" s="22">
        <f t="shared" si="66"/>
        <v>18.936969107402394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72.638639486636521</v>
      </c>
      <c r="CZ110" s="59">
        <f t="shared" si="96"/>
        <v>334.50638815329404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7.8599857204869403</v>
      </c>
      <c r="DG110" s="21">
        <f>EXP(-LN(2)/25)*DG109+(1-EXP(-LN(2)/25))/(LN(2)/25)*Calculateur!DB110*Calculateur!DD110*VLOOKUP('Données projet'!$B$13,Paramètres!$A$1:$I$89,3,0)*0.475*44/12</f>
        <v>3.8074762535194986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11.667461974006439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68.016800235358346</v>
      </c>
      <c r="DU110" s="59">
        <f t="shared" si="98"/>
        <v>311.30433899203405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7.2672654858272665</v>
      </c>
      <c r="EB110" s="21">
        <f>EXP(-LN(2)/25)*EB109+(1-EXP(-LN(2)/25))/(LN(2)/25)*Calculateur!DW110*Calculateur!DY110*VLOOKUP('Données projet'!$B$14,Paramètres!$A$1:$I$89,3,0)*0.475*44/12</f>
        <v>3.5203550934180265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10.787620579245292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439.06700232017681</v>
      </c>
      <c r="T111" s="59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9">
        <f t="shared" si="59"/>
        <v>995.59750564867431</v>
      </c>
      <c r="AN111" s="59">
        <f ca="1">AVERAGE(OFFSET($AM$3,0,0,'Données projet'!$E$10+1,1))-AVERAGE(OFFSET($H$3,0,0,'Données projet'!$E$10+1,1))</f>
        <v>487.04124684635974</v>
      </c>
      <c r="AO111" s="59">
        <f t="shared" si="90"/>
        <v>306.61893266146666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-5.9412741393316544E-14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356.31271939877655</v>
      </c>
      <c r="BJ111" s="59">
        <f t="shared" si="92"/>
        <v>499.70544707812991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1.5805886581758561</v>
      </c>
      <c r="BQ111" s="21">
        <f>EXP(-LN(2)/25)*BQ110+(1-EXP(-LN(2)/25))/(LN(2)/25)*Calculateur!BL111*Calculateur!BN111*VLOOKUP('Données projet'!$B$11,Paramètres!$A$1:$I$89,3,0)*0.475*44/12</f>
        <v>1.0959804474110757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2.6765691055869318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195.80903373714432</v>
      </c>
      <c r="CE111" s="59">
        <f t="shared" si="94"/>
        <v>388.30721786668977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12.577877457243533</v>
      </c>
      <c r="CL111" s="21">
        <f>EXP(-LN(2)/25)*CL110+(1-EXP(-LN(2)/25))/(LN(2)/25)*Calculateur!CG111*Calculateur!CI111*VLOOKUP('Données projet'!$B$12,Paramètres!$A$1:$I$89,3,0)*0.475*44/12</f>
        <v>5.9405035698404731</v>
      </c>
      <c r="CM111" s="21">
        <f>EXP(-LN(2)/2)*CM110+(1-EXP(-LN(2)/2))/(LN(2)/2)*CG111*CJ111*VLOOKUP('Données projet'!$B$12,Paramètres!$A$1:$I$89,3,0)*0.475*44/12</f>
        <v>3.2432137330644938E-10</v>
      </c>
      <c r="CN111" s="22">
        <f t="shared" si="66"/>
        <v>18.518381027408324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72.638639486636521</v>
      </c>
      <c r="CZ111" s="59">
        <f t="shared" si="96"/>
        <v>334.50638815329404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7.7058561946261008</v>
      </c>
      <c r="DG111" s="21">
        <f>EXP(-LN(2)/25)*DG110+(1-EXP(-LN(2)/25))/(LN(2)/25)*Calculateur!DB111*Calculateur!DD111*VLOOKUP('Données projet'!$B$13,Paramètres!$A$1:$I$89,3,0)*0.475*44/12</f>
        <v>3.7033606151405341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11.409216809766635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68.016800235358346</v>
      </c>
      <c r="DU111" s="59">
        <f t="shared" si="98"/>
        <v>311.30433899203405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7.1247588422444581</v>
      </c>
      <c r="EB111" s="21">
        <f>EXP(-LN(2)/25)*EB110+(1-EXP(-LN(2)/25))/(LN(2)/25)*Calculateur!DW111*Calculateur!DY111*VLOOKUP('Données projet'!$B$14,Paramètres!$A$1:$I$89,3,0)*0.475*44/12</f>
        <v>3.4240907982610822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10.548849640505541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439.06700232017681</v>
      </c>
      <c r="T112" s="59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9">
        <f t="shared" si="59"/>
        <v>1006.2591131032082</v>
      </c>
      <c r="AN112" s="59">
        <f ca="1">AVERAGE(OFFSET($AM$3,0,0,'Données projet'!$E$10+1,1))-AVERAGE(OFFSET($H$3,0,0,'Données projet'!$E$10+1,1))</f>
        <v>487.04124684635974</v>
      </c>
      <c r="AO112" s="59">
        <f t="shared" si="90"/>
        <v>306.61893266146666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-5.9412741393316544E-14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356.31271939877655</v>
      </c>
      <c r="BJ112" s="59">
        <f t="shared" si="92"/>
        <v>499.70544707812991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1.5495942786529158</v>
      </c>
      <c r="BQ112" s="21">
        <f>EXP(-LN(2)/25)*BQ111+(1-EXP(-LN(2)/25))/(LN(2)/25)*Calculateur!BL112*Calculateur!BN112*VLOOKUP('Données projet'!$B$11,Paramètres!$A$1:$I$89,3,0)*0.475*44/12</f>
        <v>1.0660108044415131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2.6156050830944286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195.80903373714432</v>
      </c>
      <c r="CE112" s="59">
        <f t="shared" si="94"/>
        <v>388.30721786668977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12.331232952054714</v>
      </c>
      <c r="CL112" s="21">
        <f>EXP(-LN(2)/25)*CL111+(1-EXP(-LN(2)/25))/(LN(2)/25)*Calculateur!CG112*Calculateur!CI112*VLOOKUP('Données projet'!$B$12,Paramètres!$A$1:$I$89,3,0)*0.475*44/12</f>
        <v>5.7780601873256803</v>
      </c>
      <c r="CM112" s="21">
        <f>EXP(-LN(2)/2)*CM111+(1-EXP(-LN(2)/2))/(LN(2)/2)*CG112*CJ112*VLOOKUP('Données projet'!$B$12,Paramètres!$A$1:$I$89,3,0)*0.475*44/12</f>
        <v>2.2932984234872412E-10</v>
      </c>
      <c r="CN112" s="22">
        <f t="shared" si="66"/>
        <v>18.109293139609726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72.638639486636521</v>
      </c>
      <c r="CZ112" s="59">
        <f t="shared" si="96"/>
        <v>334.50638815329404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7.5547490547576643</v>
      </c>
      <c r="DG112" s="21">
        <f>EXP(-LN(2)/25)*DG111+(1-EXP(-LN(2)/25))/(LN(2)/25)*Calculateur!DB112*Calculateur!DD112*VLOOKUP('Données projet'!$B$13,Paramètres!$A$1:$I$89,3,0)*0.475*44/12</f>
        <v>3.6020920243682455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11.156841079125909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68.016800235358346</v>
      </c>
      <c r="DU112" s="59">
        <f t="shared" si="98"/>
        <v>311.30433899203405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6.9850466670218383</v>
      </c>
      <c r="EB112" s="21">
        <f>EXP(-LN(2)/25)*EB111+(1-EXP(-LN(2)/25))/(LN(2)/25)*Calculateur!DW112*Calculateur!DY112*VLOOKUP('Données projet'!$B$14,Paramètres!$A$1:$I$89,3,0)*0.475*44/12</f>
        <v>3.3304588553175236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10.315505522339361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439.06700232017681</v>
      </c>
      <c r="T113" s="59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9">
        <f t="shared" si="59"/>
        <v>1016.9174638422428</v>
      </c>
      <c r="AN113" s="59">
        <f ca="1">AVERAGE(OFFSET($AM$3,0,0,'Données projet'!$E$10+1,1))-AVERAGE(OFFSET($H$3,0,0,'Données projet'!$E$10+1,1))</f>
        <v>487.04124684635974</v>
      </c>
      <c r="AO113" s="59">
        <f t="shared" si="90"/>
        <v>306.61893266146666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-5.9412741393316544E-14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356.31271939877655</v>
      </c>
      <c r="BJ113" s="59">
        <f t="shared" si="92"/>
        <v>499.70544707812991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1.5192076800077154</v>
      </c>
      <c r="BQ113" s="21">
        <f>EXP(-LN(2)/25)*BQ112+(1-EXP(-LN(2)/25))/(LN(2)/25)*Calculateur!BL113*Calculateur!BN113*VLOOKUP('Données projet'!$B$11,Paramètres!$A$1:$I$89,3,0)*0.475*44/12</f>
        <v>1.036860682934988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2.5560683629427032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195.80903373714432</v>
      </c>
      <c r="CE113" s="59">
        <f t="shared" si="94"/>
        <v>388.30721786668977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12.089424995174355</v>
      </c>
      <c r="CL113" s="21">
        <f>EXP(-LN(2)/25)*CL112+(1-EXP(-LN(2)/25))/(LN(2)/25)*Calculateur!CG113*Calculateur!CI113*VLOOKUP('Données projet'!$B$12,Paramètres!$A$1:$I$89,3,0)*0.475*44/12</f>
        <v>5.6200588276482799</v>
      </c>
      <c r="CM113" s="21">
        <f>EXP(-LN(2)/2)*CM112+(1-EXP(-LN(2)/2))/(LN(2)/2)*CG113*CJ113*VLOOKUP('Données projet'!$B$12,Paramètres!$A$1:$I$89,3,0)*0.475*44/12</f>
        <v>1.6216068665322472E-10</v>
      </c>
      <c r="CN113" s="22">
        <f t="shared" si="66"/>
        <v>17.709483822984794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72.638639486636521</v>
      </c>
      <c r="CZ113" s="59">
        <f t="shared" si="96"/>
        <v>334.50638815329404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7.4066050337357936</v>
      </c>
      <c r="DG113" s="21">
        <f>EXP(-LN(2)/25)*DG112+(1-EXP(-LN(2)/25))/(LN(2)/25)*Calculateur!DB113*Calculateur!DD113*VLOOKUP('Données projet'!$B$13,Paramètres!$A$1:$I$89,3,0)*0.475*44/12</f>
        <v>3.5035926285361088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10.910197662271901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68.016800235358346</v>
      </c>
      <c r="DU113" s="59">
        <f t="shared" si="98"/>
        <v>311.30433899203405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6.848074162339322</v>
      </c>
      <c r="EB113" s="21">
        <f>EXP(-LN(2)/25)*EB112+(1-EXP(-LN(2)/25))/(LN(2)/25)*Calculateur!DW113*Calculateur!DY113*VLOOKUP('Données projet'!$B$14,Paramètres!$A$1:$I$89,3,0)*0.475*44/12</f>
        <v>3.2393872827776464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10.087461445116968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4.5999999999999996</v>
      </c>
      <c r="N114" s="13">
        <f>IF('Données projet'!$A$36&gt;35,N113+M114-V113,IF(A114&lt;'Données projet'!$A$36,$K$205^A114,IF(A114='Données projet'!$A$36,'Données projet'!$B$36,N113+M114-V113)))</f>
        <v>311.59999999999991</v>
      </c>
      <c r="O114" s="13">
        <f>N114*VLOOKUP('Données projet'!$B$9,Paramètres!$A$1:$I$89,3,0)*VLOOKUP('Données projet'!$B$9,Paramètres!$A$1:$I$89,5,0)</f>
        <v>281.93567999999988</v>
      </c>
      <c r="P114" s="13">
        <f t="shared" si="87"/>
        <v>67.375909546040361</v>
      </c>
      <c r="Q114" s="20">
        <f t="shared" si="107"/>
        <v>608.38435179268674</v>
      </c>
      <c r="R114" s="59">
        <f t="shared" si="55"/>
        <v>901.71768512602011</v>
      </c>
      <c r="S114" s="59">
        <f ca="1">AVERAGE(OFFSET($R$3,0,0,'Données projet'!$E$9+1,1))-AVERAGE(OFFSET($H$3,0,0,'Données projet'!$E$9+1,1))</f>
        <v>439.06700232017681</v>
      </c>
      <c r="T114" s="59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4.5999999999999996</v>
      </c>
      <c r="AI114" s="13">
        <f>IF('Données projet'!$A$62&gt;35,AI113+AH114-AQ113,IF(A114&lt;'Données projet'!$A$62,$AF$205^A114,IF(A114='Données projet'!$A$62,'Données projet'!$B$62,AI113+AH114-AQ113)))</f>
        <v>311.59999999999991</v>
      </c>
      <c r="AJ114" s="13">
        <f>AI114*VLOOKUP('Données projet'!$B$10,Paramètres!$A$1:$I$89,3,0)*VLOOKUP('Données projet'!$B$10,Paramètres!$A$1:$I$89,5,0)</f>
        <v>315.96239999999989</v>
      </c>
      <c r="AK114" s="13">
        <f t="shared" si="89"/>
        <v>74.512632625562503</v>
      </c>
      <c r="AL114" s="20">
        <f t="shared" si="58"/>
        <v>680.07734848952111</v>
      </c>
      <c r="AM114" s="59">
        <f t="shared" si="59"/>
        <v>973.41068182285449</v>
      </c>
      <c r="AN114" s="59">
        <f ca="1">AVERAGE(OFFSET($AM$3,0,0,'Données projet'!$E$10+1,1))-AVERAGE(OFFSET($H$3,0,0,'Données projet'!$E$10+1,1))</f>
        <v>487.04124684635974</v>
      </c>
      <c r="AO114" s="59">
        <f t="shared" si="90"/>
        <v>306.61893266146666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-5.9412741393316544E-14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356.31271939877655</v>
      </c>
      <c r="BJ114" s="59">
        <f t="shared" si="92"/>
        <v>499.70544707812991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1.4894169440279523</v>
      </c>
      <c r="BQ114" s="21">
        <f>EXP(-LN(2)/25)*BQ113+(1-EXP(-LN(2)/25))/(LN(2)/25)*Calculateur!BL114*Calculateur!BN114*VLOOKUP('Données projet'!$B$11,Paramètres!$A$1:$I$89,3,0)*0.475*44/12</f>
        <v>1.0085076730339972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2.4979246170619493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195.80903373714432</v>
      </c>
      <c r="CE114" s="59">
        <f t="shared" si="94"/>
        <v>388.30721786668977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11.852358744840128</v>
      </c>
      <c r="CL114" s="21">
        <f>EXP(-LN(2)/25)*CL113+(1-EXP(-LN(2)/25))/(LN(2)/25)*Calculateur!CG114*Calculateur!CI114*VLOOKUP('Données projet'!$B$12,Paramètres!$A$1:$I$89,3,0)*0.475*44/12</f>
        <v>5.4663780234601891</v>
      </c>
      <c r="CM114" s="21">
        <f>EXP(-LN(2)/2)*CM113+(1-EXP(-LN(2)/2))/(LN(2)/2)*CG114*CJ114*VLOOKUP('Données projet'!$B$12,Paramètres!$A$1:$I$89,3,0)*0.475*44/12</f>
        <v>1.1466492117436207E-10</v>
      </c>
      <c r="CN114" s="22">
        <f t="shared" si="66"/>
        <v>17.318736768414983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72.638639486636521</v>
      </c>
      <c r="CZ114" s="59">
        <f t="shared" si="96"/>
        <v>334.50638815329404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7.2613660266072309</v>
      </c>
      <c r="DG114" s="21">
        <f>EXP(-LN(2)/25)*DG113+(1-EXP(-LN(2)/25))/(LN(2)/25)*Calculateur!DB114*Calculateur!DD114*VLOOKUP('Données projet'!$B$13,Paramètres!$A$1:$I$89,3,0)*0.475*44/12</f>
        <v>3.4077867038628602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10.669152730470092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68.016800235358346</v>
      </c>
      <c r="DU114" s="59">
        <f t="shared" si="98"/>
        <v>311.30433899203405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6.7137876049286511</v>
      </c>
      <c r="EB114" s="21">
        <f>EXP(-LN(2)/25)*EB113+(1-EXP(-LN(2)/25))/(LN(2)/25)*Calculateur!DW114*Calculateur!DY114*VLOOKUP('Données projet'!$B$14,Paramètres!$A$1:$I$89,3,0)*0.475*44/12</f>
        <v>3.1508060671781184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9.8645936721067695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4.5999999999999996</v>
      </c>
      <c r="N115" s="13">
        <f>IF('Données projet'!$A$36&gt;35,N114+M115-V114,IF(A115&lt;'Données projet'!$A$36,$K$205^A115,IF(A115='Données projet'!$A$36,'Données projet'!$B$36,N114+M115-V114)))</f>
        <v>316.19999999999993</v>
      </c>
      <c r="O115" s="13">
        <f>N115*VLOOKUP('Données projet'!$B$9,Paramètres!$A$1:$I$89,3,0)*VLOOKUP('Données projet'!$B$9,Paramètres!$A$1:$I$89,5,0)</f>
        <v>286.09775999999994</v>
      </c>
      <c r="P115" s="13">
        <f t="shared" si="87"/>
        <v>68.254020651723678</v>
      </c>
      <c r="Q115" s="20">
        <f t="shared" si="107"/>
        <v>617.16268463508527</v>
      </c>
      <c r="R115" s="59">
        <f t="shared" si="55"/>
        <v>910.49601796841853</v>
      </c>
      <c r="S115" s="59">
        <f ca="1">AVERAGE(OFFSET($R$3,0,0,'Données projet'!$E$9+1,1))-AVERAGE(OFFSET($H$3,0,0,'Données projet'!$E$9+1,1))</f>
        <v>439.06700232017681</v>
      </c>
      <c r="T115" s="59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4.5999999999999996</v>
      </c>
      <c r="AI115" s="13">
        <f>IF('Données projet'!$A$62&gt;35,AI114+AH115-AQ114,IF(A115&lt;'Données projet'!$A$62,$AF$205^A115,IF(A115='Données projet'!$A$62,'Données projet'!$B$62,AI114+AH115-AQ114)))</f>
        <v>316.19999999999993</v>
      </c>
      <c r="AJ115" s="13">
        <f>AI115*VLOOKUP('Données projet'!$B$10,Paramètres!$A$1:$I$89,3,0)*VLOOKUP('Données projet'!$B$10,Paramètres!$A$1:$I$89,5,0)</f>
        <v>320.62679999999995</v>
      </c>
      <c r="AK115" s="13">
        <f t="shared" si="89"/>
        <v>75.483756735990909</v>
      </c>
      <c r="AL115" s="20">
        <f t="shared" si="58"/>
        <v>689.89255298185071</v>
      </c>
      <c r="AM115" s="59">
        <f t="shared" si="59"/>
        <v>983.22588631518397</v>
      </c>
      <c r="AN115" s="59">
        <f ca="1">AVERAGE(OFFSET($AM$3,0,0,'Données projet'!$E$10+1,1))-AVERAGE(OFFSET($H$3,0,0,'Données projet'!$E$10+1,1))</f>
        <v>487.04124684635974</v>
      </c>
      <c r="AO115" s="59">
        <f t="shared" si="90"/>
        <v>306.61893266146666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-5.9412741393316544E-14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356.31271939877655</v>
      </c>
      <c r="BJ115" s="59">
        <f t="shared" si="92"/>
        <v>499.70544707812991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1.4602103862101976</v>
      </c>
      <c r="BQ115" s="21">
        <f>EXP(-LN(2)/25)*BQ114+(1-EXP(-LN(2)/25))/(LN(2)/25)*Calculateur!BL115*Calculateur!BN115*VLOOKUP('Données projet'!$B$11,Paramètres!$A$1:$I$89,3,0)*0.475*44/12</f>
        <v>0.98092997767976908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2.4411403638899669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195.80903373714432</v>
      </c>
      <c r="CE115" s="59">
        <f t="shared" si="94"/>
        <v>388.30721786668977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11.619941219078822</v>
      </c>
      <c r="CL115" s="21">
        <f>EXP(-LN(2)/25)*CL114+(1-EXP(-LN(2)/25))/(LN(2)/25)*Calculateur!CG115*Calculateur!CI115*VLOOKUP('Données projet'!$B$12,Paramètres!$A$1:$I$89,3,0)*0.475*44/12</f>
        <v>5.3168996289443431</v>
      </c>
      <c r="CM115" s="21">
        <f>EXP(-LN(2)/2)*CM114+(1-EXP(-LN(2)/2))/(LN(2)/2)*CG115*CJ115*VLOOKUP('Données projet'!$B$12,Paramètres!$A$1:$I$89,3,0)*0.475*44/12</f>
        <v>8.1080343326612372E-11</v>
      </c>
      <c r="CN115" s="22">
        <f t="shared" si="66"/>
        <v>16.936840848104247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72.638639486636521</v>
      </c>
      <c r="CZ115" s="59">
        <f t="shared" si="96"/>
        <v>334.50638815329404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7.1189750678214123</v>
      </c>
      <c r="DG115" s="21">
        <f>EXP(-LN(2)/25)*DG114+(1-EXP(-LN(2)/25))/(LN(2)/25)*Calculateur!DB115*Calculateur!DD115*VLOOKUP('Données projet'!$B$13,Paramètres!$A$1:$I$89,3,0)*0.475*44/12</f>
        <v>3.3146005972380159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10.433575665059429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68.016800235358346</v>
      </c>
      <c r="DU115" s="59">
        <f t="shared" si="98"/>
        <v>311.30433899203405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6.5821343250020909</v>
      </c>
      <c r="EB115" s="21">
        <f>EXP(-LN(2)/25)*EB114+(1-EXP(-LN(2)/25))/(LN(2)/25)*Calculateur!DW115*Calculateur!DY115*VLOOKUP('Données projet'!$B$14,Paramètres!$A$1:$I$89,3,0)*0.475*44/12</f>
        <v>3.064647109577443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9.646781434579534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4.5999999999999996</v>
      </c>
      <c r="N116" s="13">
        <f>IF('Données projet'!$A$36&gt;35,N115+M116-V115,IF(A116&lt;'Données projet'!$A$36,$K$205^A116,IF(A116='Données projet'!$A$36,'Données projet'!$B$36,N115+M116-V115)))</f>
        <v>320.79999999999995</v>
      </c>
      <c r="O116" s="13">
        <f>N116*VLOOKUP('Données projet'!$B$9,Paramètres!$A$1:$I$89,3,0)*VLOOKUP('Données projet'!$B$9,Paramètres!$A$1:$I$89,5,0)</f>
        <v>290.25983999999994</v>
      </c>
      <c r="P116" s="13">
        <f t="shared" si="87"/>
        <v>69.130646003237317</v>
      </c>
      <c r="Q116" s="20">
        <f t="shared" si="107"/>
        <v>625.93842978897146</v>
      </c>
      <c r="R116" s="59">
        <f t="shared" si="55"/>
        <v>919.27176312230472</v>
      </c>
      <c r="S116" s="59">
        <f ca="1">AVERAGE(OFFSET($R$3,0,0,'Données projet'!$E$9+1,1))-AVERAGE(OFFSET($H$3,0,0,'Données projet'!$E$9+1,1))</f>
        <v>439.06700232017681</v>
      </c>
      <c r="T116" s="59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4.5999999999999996</v>
      </c>
      <c r="AI116" s="13">
        <f>IF('Données projet'!$A$62&gt;35,AI115+AH116-AQ115,IF(A116&lt;'Données projet'!$A$62,$AF$205^A116,IF(A116='Données projet'!$A$62,'Données projet'!$B$62,AI115+AH116-AQ115)))</f>
        <v>320.79999999999995</v>
      </c>
      <c r="AJ116" s="13">
        <f>AI116*VLOOKUP('Données projet'!$B$10,Paramètres!$A$1:$I$89,3,0)*VLOOKUP('Données projet'!$B$10,Paramètres!$A$1:$I$89,5,0)</f>
        <v>325.2912</v>
      </c>
      <c r="AK116" s="13">
        <f t="shared" si="89"/>
        <v>76.453237715285965</v>
      </c>
      <c r="AL116" s="20">
        <f t="shared" si="58"/>
        <v>699.70489568745631</v>
      </c>
      <c r="AM116" s="59">
        <f t="shared" si="59"/>
        <v>993.03822902078969</v>
      </c>
      <c r="AN116" s="59">
        <f ca="1">AVERAGE(OFFSET($AM$3,0,0,'Données projet'!$E$10+1,1))-AVERAGE(OFFSET($H$3,0,0,'Données projet'!$E$10+1,1))</f>
        <v>487.04124684635974</v>
      </c>
      <c r="AO116" s="59">
        <f t="shared" si="90"/>
        <v>306.61893266146666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-5.9412741393316544E-14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356.31271939877655</v>
      </c>
      <c r="BJ116" s="59">
        <f t="shared" si="92"/>
        <v>499.70544707812991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1.4315765511770078</v>
      </c>
      <c r="BQ116" s="21">
        <f>EXP(-LN(2)/25)*BQ115+(1-EXP(-LN(2)/25))/(LN(2)/25)*Calculateur!BL116*Calculateur!BN116*VLOOKUP('Données projet'!$B$11,Paramètres!$A$1:$I$89,3,0)*0.475*44/12</f>
        <v>0.95410639585525026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2.385682947032258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195.80903373714432</v>
      </c>
      <c r="CE116" s="59">
        <f t="shared" si="94"/>
        <v>388.30721786668977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11.392081259237001</v>
      </c>
      <c r="CL116" s="21">
        <f>EXP(-LN(2)/25)*CL115+(1-EXP(-LN(2)/25))/(LN(2)/25)*Calculateur!CG116*Calculateur!CI116*VLOOKUP('Données projet'!$B$12,Paramètres!$A$1:$I$89,3,0)*0.475*44/12</f>
        <v>5.1715087289872601</v>
      </c>
      <c r="CM116" s="21">
        <f>EXP(-LN(2)/2)*CM115+(1-EXP(-LN(2)/2))/(LN(2)/2)*CG116*CJ116*VLOOKUP('Données projet'!$B$12,Paramètres!$A$1:$I$89,3,0)*0.475*44/12</f>
        <v>5.7332460587181049E-11</v>
      </c>
      <c r="CN116" s="22">
        <f t="shared" si="66"/>
        <v>16.563589988281596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72.638639486636521</v>
      </c>
      <c r="CZ116" s="59">
        <f t="shared" si="96"/>
        <v>334.50638815329404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6.9793763088874741</v>
      </c>
      <c r="DG116" s="21">
        <f>EXP(-LN(2)/25)*DG115+(1-EXP(-LN(2)/25))/(LN(2)/25)*Calculateur!DB116*Calculateur!DD116*VLOOKUP('Données projet'!$B$13,Paramètres!$A$1:$I$89,3,0)*0.475*44/12</f>
        <v>3.2239626695992727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10.203338978486746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68.016800235358346</v>
      </c>
      <c r="DU116" s="59">
        <f t="shared" si="98"/>
        <v>311.30433899203405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6.4530626855943192</v>
      </c>
      <c r="EB116" s="21">
        <f>EXP(-LN(2)/25)*EB115+(1-EXP(-LN(2)/25))/(LN(2)/25)*Calculateur!DW116*Calculateur!DY116*VLOOKUP('Données projet'!$B$14,Paramètres!$A$1:$I$89,3,0)*0.475*44/12</f>
        <v>2.9808441732032609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9.433906858797581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4.5999999999999996</v>
      </c>
      <c r="N117" s="13">
        <f>IF('Données projet'!$A$36&gt;35,N116+M117-V116,IF(A117&lt;'Données projet'!$A$36,$K$205^A117,IF(A117='Données projet'!$A$36,'Données projet'!$B$36,N116+M117-V116)))</f>
        <v>325.39999999999998</v>
      </c>
      <c r="O117" s="13">
        <f>N117*VLOOKUP('Données projet'!$B$9,Paramètres!$A$1:$I$89,3,0)*VLOOKUP('Données projet'!$B$9,Paramètres!$A$1:$I$89,5,0)</f>
        <v>294.42191999999994</v>
      </c>
      <c r="P117" s="13">
        <f t="shared" si="87"/>
        <v>70.005809366676559</v>
      </c>
      <c r="Q117" s="20">
        <f t="shared" si="107"/>
        <v>634.71162864696146</v>
      </c>
      <c r="R117" s="59">
        <f t="shared" si="55"/>
        <v>928.04496198029483</v>
      </c>
      <c r="S117" s="59">
        <f ca="1">AVERAGE(OFFSET($R$3,0,0,'Données projet'!$E$9+1,1))-AVERAGE(OFFSET($H$3,0,0,'Données projet'!$E$9+1,1))</f>
        <v>439.06700232017681</v>
      </c>
      <c r="T117" s="59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4.5999999999999996</v>
      </c>
      <c r="AI117" s="13">
        <f>IF('Données projet'!$A$62&gt;35,AI116+AH117-AQ116,IF(A117&lt;'Données projet'!$A$62,$AF$205^A117,IF(A117='Données projet'!$A$62,'Données projet'!$B$62,AI116+AH117-AQ116)))</f>
        <v>325.39999999999998</v>
      </c>
      <c r="AJ117" s="13">
        <f>AI117*VLOOKUP('Données projet'!$B$10,Paramètres!$A$1:$I$89,3,0)*VLOOKUP('Données projet'!$B$10,Paramètres!$A$1:$I$89,5,0)</f>
        <v>329.9556</v>
      </c>
      <c r="AK117" s="13">
        <f t="shared" si="89"/>
        <v>77.421101846941795</v>
      </c>
      <c r="AL117" s="20">
        <f t="shared" si="58"/>
        <v>709.51442238342361</v>
      </c>
      <c r="AM117" s="59">
        <f t="shared" si="59"/>
        <v>1002.8477557167569</v>
      </c>
      <c r="AN117" s="59">
        <f ca="1">AVERAGE(OFFSET($AM$3,0,0,'Données projet'!$E$10+1,1))-AVERAGE(OFFSET($H$3,0,0,'Données projet'!$E$10+1,1))</f>
        <v>487.04124684635974</v>
      </c>
      <c r="AO117" s="59">
        <f t="shared" si="90"/>
        <v>306.61893266146666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-5.9412741393316544E-14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356.31271939877655</v>
      </c>
      <c r="BJ117" s="59">
        <f t="shared" si="92"/>
        <v>499.70544707812991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1.403504208183904</v>
      </c>
      <c r="BQ117" s="21">
        <f>EXP(-LN(2)/25)*BQ116+(1-EXP(-LN(2)/25))/(LN(2)/25)*Calculateur!BL117*Calculateur!BN117*VLOOKUP('Données projet'!$B$11,Paramètres!$A$1:$I$89,3,0)*0.475*44/12</f>
        <v>0.92801630628631371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2.3315205144702178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195.80903373714432</v>
      </c>
      <c r="CE117" s="59">
        <f t="shared" si="94"/>
        <v>388.30721786668977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11.168689494226825</v>
      </c>
      <c r="CL117" s="21">
        <f>EXP(-LN(2)/25)*CL116+(1-EXP(-LN(2)/25))/(LN(2)/25)*Calculateur!CG117*Calculateur!CI117*VLOOKUP('Données projet'!$B$12,Paramètres!$A$1:$I$89,3,0)*0.475*44/12</f>
        <v>5.0300935508352786</v>
      </c>
      <c r="CM117" s="21">
        <f>EXP(-LN(2)/2)*CM116+(1-EXP(-LN(2)/2))/(LN(2)/2)*CG117*CJ117*VLOOKUP('Données projet'!$B$12,Paramètres!$A$1:$I$89,3,0)*0.475*44/12</f>
        <v>4.0540171663306192E-11</v>
      </c>
      <c r="CN117" s="22">
        <f t="shared" si="66"/>
        <v>16.198783045102644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72.638639486636521</v>
      </c>
      <c r="CZ117" s="59">
        <f t="shared" si="96"/>
        <v>334.50638815329404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6.8425149964693954</v>
      </c>
      <c r="DG117" s="21">
        <f>EXP(-LN(2)/25)*DG116+(1-EXP(-LN(2)/25))/(LN(2)/25)*Calculateur!DB117*Calculateur!DD117*VLOOKUP('Données projet'!$B$13,Paramètres!$A$1:$I$89,3,0)*0.475*44/12</f>
        <v>3.1358032408582521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9.9783182373276471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68.016800235358346</v>
      </c>
      <c r="DU117" s="59">
        <f t="shared" si="98"/>
        <v>311.30433899203405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6.3265220623094072</v>
      </c>
      <c r="EB117" s="21">
        <f>EXP(-LN(2)/25)*EB116+(1-EXP(-LN(2)/25))/(LN(2)/25)*Calculateur!DW117*Calculateur!DY117*VLOOKUP('Données projet'!$B$14,Paramètres!$A$1:$I$89,3,0)*0.475*44/12</f>
        <v>2.8993328325312353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9.2258548948406425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330</v>
      </c>
      <c r="L118" s="12">
        <f>VLOOKUP(A118,'Données projet'!$A$35:$I$55,9,0)</f>
        <v>4.5999999999999996</v>
      </c>
      <c r="M118" s="12">
        <f t="array" ref="M118">INDEX(L:L,MIN(IF(ISNUMBER(L118:L314),ROW(L118:L314),"")))</f>
        <v>4.5999999999999996</v>
      </c>
      <c r="N118" s="13">
        <f>IF('Données projet'!$A$36&gt;35,N117+M118-V117,IF(A118&lt;'Données projet'!$A$36,$K$205^A118,IF(A118='Données projet'!$A$36,'Données projet'!$B$36,N117+M118-V117)))</f>
        <v>330</v>
      </c>
      <c r="O118" s="13">
        <f>N118*VLOOKUP('Données projet'!$B$9,Paramètres!$A$1:$I$89,3,0)*VLOOKUP('Données projet'!$B$9,Paramètres!$A$1:$I$89,5,0)</f>
        <v>298.58399999999995</v>
      </c>
      <c r="P118" s="13">
        <f t="shared" si="87"/>
        <v>70.879533797607607</v>
      </c>
      <c r="Q118" s="20">
        <f t="shared" si="107"/>
        <v>643.48232136416652</v>
      </c>
      <c r="R118" s="59">
        <f t="shared" si="55"/>
        <v>936.81565469749989</v>
      </c>
      <c r="S118" s="59">
        <f ca="1">AVERAGE(OFFSET($R$3,0,0,'Données projet'!$E$9+1,1))-AVERAGE(OFFSET($H$3,0,0,'Données projet'!$E$9+1,1))</f>
        <v>439.06700232017681</v>
      </c>
      <c r="T118" s="59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330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330</v>
      </c>
      <c r="AG118" s="12">
        <f>VLOOKUP(A118,'Données projet'!$A$61:$I$81,9,0)</f>
        <v>4.5999999999999996</v>
      </c>
      <c r="AH118" s="12">
        <f t="array" ref="AH118">INDEX(AG:AG,MIN(IF(ISNUMBER(AG118:AG314),ROW(AG118:AG314),"")))</f>
        <v>4.5999999999999996</v>
      </c>
      <c r="AI118" s="13">
        <f>IF('Données projet'!$A$62&gt;35,AI117+AH118-AQ117,IF(A118&lt;'Données projet'!$A$62,$AF$205^A118,IF(A118='Données projet'!$A$62,'Données projet'!$B$62,AI117+AH118-AQ117)))</f>
        <v>330</v>
      </c>
      <c r="AJ118" s="13">
        <f>AI118*VLOOKUP('Données projet'!$B$10,Paramètres!$A$1:$I$89,3,0)*VLOOKUP('Données projet'!$B$10,Paramètres!$A$1:$I$89,5,0)</f>
        <v>334.62</v>
      </c>
      <c r="AK118" s="13">
        <f t="shared" si="89"/>
        <v>78.387374628661505</v>
      </c>
      <c r="AL118" s="20">
        <f t="shared" si="58"/>
        <v>719.32117747825214</v>
      </c>
      <c r="AM118" s="59">
        <f t="shared" si="59"/>
        <v>1012.6545108115854</v>
      </c>
      <c r="AN118" s="59">
        <f ca="1">AVERAGE(OFFSET($AM$3,0,0,'Données projet'!$E$10+1,1))-AVERAGE(OFFSET($H$3,0,0,'Données projet'!$E$10+1,1))</f>
        <v>487.04124684635974</v>
      </c>
      <c r="AO118" s="59">
        <f t="shared" si="90"/>
        <v>306.61893266146666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330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-5.9412741393316544E-14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356.31271939877655</v>
      </c>
      <c r="BJ118" s="59">
        <f t="shared" si="92"/>
        <v>499.70544707812991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1.3759823467144563</v>
      </c>
      <c r="BQ118" s="21">
        <f>EXP(-LN(2)/25)*BQ117+(1-EXP(-LN(2)/25))/(LN(2)/25)*Calculateur!BL118*Calculateur!BN118*VLOOKUP('Données projet'!$B$11,Paramètres!$A$1:$I$89,3,0)*0.475*44/12</f>
        <v>0.90263965158865789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2.2786219983031142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195.80903373714432</v>
      </c>
      <c r="CE118" s="59">
        <f t="shared" si="94"/>
        <v>388.30721786668977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10.949678305472977</v>
      </c>
      <c r="CL118" s="21">
        <f>EXP(-LN(2)/25)*CL117+(1-EXP(-LN(2)/25))/(LN(2)/25)*Calculateur!CG118*Calculateur!CI118*VLOOKUP('Données projet'!$B$12,Paramètres!$A$1:$I$89,3,0)*0.475*44/12</f>
        <v>4.8925453781665649</v>
      </c>
      <c r="CM118" s="21">
        <f>EXP(-LN(2)/2)*CM117+(1-EXP(-LN(2)/2))/(LN(2)/2)*CG118*CJ118*VLOOKUP('Données projet'!$B$12,Paramètres!$A$1:$I$89,3,0)*0.475*44/12</f>
        <v>2.8666230293590528E-11</v>
      </c>
      <c r="CN118" s="22">
        <f t="shared" si="66"/>
        <v>15.842223683668209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72.638639486636521</v>
      </c>
      <c r="CZ118" s="59">
        <f t="shared" si="96"/>
        <v>334.50638815329404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6.708337450910677</v>
      </c>
      <c r="DG118" s="21">
        <f>EXP(-LN(2)/25)*DG117+(1-EXP(-LN(2)/25))/(LN(2)/25)*Calculateur!DB118*Calculateur!DD118*VLOOKUP('Données projet'!$B$13,Paramètres!$A$1:$I$89,3,0)*0.475*44/12</f>
        <v>3.050054536332258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9.7583919872429341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68.016800235358346</v>
      </c>
      <c r="DU118" s="59">
        <f t="shared" si="98"/>
        <v>311.30433899203405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6.2024628234649528</v>
      </c>
      <c r="EB118" s="21">
        <f>EXP(-LN(2)/25)*EB117+(1-EXP(-LN(2)/25))/(LN(2)/25)*Calculateur!DW118*Calculateur!DY118*VLOOKUP('Données projet'!$B$14,Paramètres!$A$1:$I$89,3,0)*0.475*44/12</f>
        <v>2.8200504237563817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9.022513247221335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439.06700232017681</v>
      </c>
      <c r="T119" s="59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487.04124684635974</v>
      </c>
      <c r="AO119" s="59">
        <f t="shared" si="90"/>
        <v>306.61893266146666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-5.9412741393316544E-14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356.31271939877655</v>
      </c>
      <c r="BJ119" s="59">
        <f t="shared" si="92"/>
        <v>499.70544707812991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1.3490001721617466</v>
      </c>
      <c r="BQ119" s="21">
        <f>EXP(-LN(2)/25)*BQ118+(1-EXP(-LN(2)/25))/(LN(2)/25)*Calculateur!BL119*Calculateur!BN119*VLOOKUP('Données projet'!$B$11,Paramètres!$A$1:$I$89,3,0)*0.475*44/12</f>
        <v>0.87795692284820981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2.2269570950099564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195.80903373714432</v>
      </c>
      <c r="CE119" s="59">
        <f t="shared" si="94"/>
        <v>388.30721786668977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10.734961792546956</v>
      </c>
      <c r="CL119" s="21">
        <f>EXP(-LN(2)/25)*CL118+(1-EXP(-LN(2)/25))/(LN(2)/25)*Calculateur!CG119*Calculateur!CI119*VLOOKUP('Données projet'!$B$12,Paramètres!$A$1:$I$89,3,0)*0.475*44/12</f>
        <v>4.7587584675128207</v>
      </c>
      <c r="CM119" s="21">
        <f>EXP(-LN(2)/2)*CM118+(1-EXP(-LN(2)/2))/(LN(2)/2)*CG119*CJ119*VLOOKUP('Données projet'!$B$12,Paramètres!$A$1:$I$89,3,0)*0.475*44/12</f>
        <v>2.0270085831653099E-11</v>
      </c>
      <c r="CN119" s="22">
        <f t="shared" si="66"/>
        <v>15.493720260080048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72.638639486636521</v>
      </c>
      <c r="CZ119" s="59">
        <f t="shared" si="96"/>
        <v>334.50638815329404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6.5767910451801432</v>
      </c>
      <c r="DG119" s="21">
        <f>EXP(-LN(2)/25)*DG118+(1-EXP(-LN(2)/25))/(LN(2)/25)*Calculateur!DB119*Calculateur!DD119*VLOOKUP('Données projet'!$B$13,Paramètres!$A$1:$I$89,3,0)*0.475*44/12</f>
        <v>2.9666506346408554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9.5434416798209991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68.016800235358346</v>
      </c>
      <c r="DU119" s="59">
        <f t="shared" si="98"/>
        <v>311.30433899203405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6.0808363106255747</v>
      </c>
      <c r="EB119" s="21">
        <f>EXP(-LN(2)/25)*EB118+(1-EXP(-LN(2)/25))/(LN(2)/25)*Calculateur!DW119*Calculateur!DY119*VLOOKUP('Données projet'!$B$14,Paramètres!$A$1:$I$89,3,0)*0.475*44/12</f>
        <v>2.742935996618757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8.8237723072443313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439.06700232017681</v>
      </c>
      <c r="T120" s="59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487.04124684635974</v>
      </c>
      <c r="AO120" s="59">
        <f t="shared" si="90"/>
        <v>306.61893266146666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-5.9412741393316544E-14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356.31271939877655</v>
      </c>
      <c r="BJ120" s="59">
        <f t="shared" si="92"/>
        <v>499.70544707812991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1.3225471015945141</v>
      </c>
      <c r="BQ120" s="21">
        <f>EXP(-LN(2)/25)*BQ119+(1-EXP(-LN(2)/25))/(LN(2)/25)*Calculateur!BL120*Calculateur!BN120*VLOOKUP('Données projet'!$B$11,Paramètres!$A$1:$I$89,3,0)*0.475*44/12</f>
        <v>0.8539491446231775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2.1764962462176918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195.80903373714432</v>
      </c>
      <c r="CE120" s="59">
        <f t="shared" si="94"/>
        <v>388.30721786668977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10.524455739475274</v>
      </c>
      <c r="CL120" s="21">
        <f>EXP(-LN(2)/25)*CL119+(1-EXP(-LN(2)/25))/(LN(2)/25)*Calculateur!CG120*Calculateur!CI120*VLOOKUP('Données projet'!$B$12,Paramètres!$A$1:$I$89,3,0)*0.475*44/12</f>
        <v>4.628629966966451</v>
      </c>
      <c r="CM120" s="21">
        <f>EXP(-LN(2)/2)*CM119+(1-EXP(-LN(2)/2))/(LN(2)/2)*CG120*CJ120*VLOOKUP('Données projet'!$B$12,Paramètres!$A$1:$I$89,3,0)*0.475*44/12</f>
        <v>1.4333115146795267E-11</v>
      </c>
      <c r="CN120" s="22">
        <f t="shared" si="66"/>
        <v>15.153085706456059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72.638639486636521</v>
      </c>
      <c r="CZ120" s="59">
        <f t="shared" si="96"/>
        <v>334.50638815329404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6.4478241842306003</v>
      </c>
      <c r="DG120" s="21">
        <f>EXP(-LN(2)/25)*DG119+(1-EXP(-LN(2)/25))/(LN(2)/25)*Calculateur!DB120*Calculateur!DD120*VLOOKUP('Données projet'!$B$13,Paramètres!$A$1:$I$89,3,0)*0.475*44/12</f>
        <v>2.8855274170272249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9.3333516012578244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68.016800235358346</v>
      </c>
      <c r="DU120" s="59">
        <f t="shared" si="98"/>
        <v>311.30433899203405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5.9615948195181288</v>
      </c>
      <c r="EB120" s="21">
        <f>EXP(-LN(2)/25)*EB119+(1-EXP(-LN(2)/25))/(LN(2)/25)*Calculateur!DW120*Calculateur!DY120*VLOOKUP('Données projet'!$B$14,Paramètres!$A$1:$I$89,3,0)*0.475*44/12</f>
        <v>2.667930267546482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8.6295250870646107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439.06700232017681</v>
      </c>
      <c r="T121" s="59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487.04124684635974</v>
      </c>
      <c r="AO121" s="59">
        <f t="shared" si="90"/>
        <v>306.61893266146666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-5.9412741393316544E-14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356.31271939877655</v>
      </c>
      <c r="BJ121" s="59">
        <f t="shared" si="92"/>
        <v>499.70544707812991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1.296612759606325</v>
      </c>
      <c r="BQ121" s="21">
        <f>EXP(-LN(2)/25)*BQ120+(1-EXP(-LN(2)/25))/(LN(2)/25)*Calculateur!BL121*Calculateur!BN121*VLOOKUP('Données projet'!$B$11,Paramètres!$A$1:$I$89,3,0)*0.475*44/12</f>
        <v>0.83059786035622296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2.1272106199625478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195.80903373714432</v>
      </c>
      <c r="CE121" s="59">
        <f t="shared" si="94"/>
        <v>388.30721786668977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10.318077581708312</v>
      </c>
      <c r="CL121" s="21">
        <f>EXP(-LN(2)/25)*CL120+(1-EXP(-LN(2)/25))/(LN(2)/25)*Calculateur!CG121*Calculateur!CI121*VLOOKUP('Données projet'!$B$12,Paramètres!$A$1:$I$89,3,0)*0.475*44/12</f>
        <v>4.5020598371106821</v>
      </c>
      <c r="CM121" s="21">
        <f>EXP(-LN(2)/2)*CM120+(1-EXP(-LN(2)/2))/(LN(2)/2)*CG121*CJ121*VLOOKUP('Données projet'!$B$12,Paramètres!$A$1:$I$89,3,0)*0.475*44/12</f>
        <v>1.0135042915826551E-11</v>
      </c>
      <c r="CN121" s="22">
        <f t="shared" si="66"/>
        <v>14.82013741882913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72.638639486636521</v>
      </c>
      <c r="CZ121" s="59">
        <f t="shared" si="96"/>
        <v>334.50638815329404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6.3213862847622604</v>
      </c>
      <c r="DG121" s="21">
        <f>EXP(-LN(2)/25)*DG120+(1-EXP(-LN(2)/25))/(LN(2)/25)*Calculateur!DB121*Calculateur!DD121*VLOOKUP('Données projet'!$B$13,Paramètres!$A$1:$I$89,3,0)*0.475*44/12</f>
        <v>2.8066225180653235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9.1280088028275834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68.016800235358346</v>
      </c>
      <c r="DU121" s="59">
        <f t="shared" si="98"/>
        <v>311.30433899203405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5.8446915813211717</v>
      </c>
      <c r="EB121" s="21">
        <f>EXP(-LN(2)/25)*EB120+(1-EXP(-LN(2)/25))/(LN(2)/25)*Calculateur!DW121*Calculateur!DY121*VLOOKUP('Données projet'!$B$14,Paramètres!$A$1:$I$89,3,0)*0.475*44/12</f>
        <v>2.5949755740800682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8.4396671554012404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439.06700232017681</v>
      </c>
      <c r="T122" s="59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487.04124684635974</v>
      </c>
      <c r="AO122" s="59">
        <f t="shared" si="90"/>
        <v>306.61893266146666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-5.9412741393316544E-14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356.31271939877655</v>
      </c>
      <c r="BJ122" s="59">
        <f t="shared" si="92"/>
        <v>499.70544707812991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1.2711869742461379</v>
      </c>
      <c r="BQ122" s="21">
        <f>EXP(-LN(2)/25)*BQ121+(1-EXP(-LN(2)/25))/(LN(2)/25)*Calculateur!BL122*Calculateur!BN122*VLOOKUP('Données projet'!$B$11,Paramètres!$A$1:$I$89,3,0)*0.475*44/12</f>
        <v>0.80788511818553888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2.0790720924316766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195.80903373714432</v>
      </c>
      <c r="CE122" s="59">
        <f t="shared" si="94"/>
        <v>388.30721786668977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10.115746373736915</v>
      </c>
      <c r="CL122" s="21">
        <f>EXP(-LN(2)/25)*CL121+(1-EXP(-LN(2)/25))/(LN(2)/25)*Calculateur!CG122*Calculateur!CI122*VLOOKUP('Données projet'!$B$12,Paramètres!$A$1:$I$89,3,0)*0.475*44/12</f>
        <v>4.3789507741118534</v>
      </c>
      <c r="CM122" s="21">
        <f>EXP(-LN(2)/2)*CM121+(1-EXP(-LN(2)/2))/(LN(2)/2)*CG122*CJ122*VLOOKUP('Données projet'!$B$12,Paramètres!$A$1:$I$89,3,0)*0.475*44/12</f>
        <v>7.1665575733976343E-12</v>
      </c>
      <c r="CN122" s="22">
        <f t="shared" si="66"/>
        <v>14.494697147855934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72.638639486636521</v>
      </c>
      <c r="CZ122" s="59">
        <f t="shared" si="96"/>
        <v>334.50638815329404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6.1974277553829911</v>
      </c>
      <c r="DG122" s="21">
        <f>EXP(-LN(2)/25)*DG121+(1-EXP(-LN(2)/25))/(LN(2)/25)*Calculateur!DB122*Calculateur!DD122*VLOOKUP('Données projet'!$B$13,Paramètres!$A$1:$I$89,3,0)*0.475*44/12</f>
        <v>2.7298752777149637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8.9273030330979548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68.016800235358346</v>
      </c>
      <c r="DU122" s="59">
        <f t="shared" si="98"/>
        <v>311.30433899203405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5.7300807443213229</v>
      </c>
      <c r="EB122" s="21">
        <f>EXP(-LN(2)/25)*EB121+(1-EXP(-LN(2)/25))/(LN(2)/25)*Calculateur!DW122*Calculateur!DY122*VLOOKUP('Données projet'!$B$14,Paramètres!$A$1:$I$89,3,0)*0.475*44/12</f>
        <v>2.5240158305430143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8.254096574864338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439.06700232017681</v>
      </c>
      <c r="T123" s="59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487.04124684635974</v>
      </c>
      <c r="AO123" s="59">
        <f t="shared" si="90"/>
        <v>306.61893266146666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-5.9412741393316544E-14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356.31271939877655</v>
      </c>
      <c r="BJ123" s="59">
        <f t="shared" si="92"/>
        <v>499.70544707812991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1.2462597730286662</v>
      </c>
      <c r="BQ123" s="21">
        <f>EXP(-LN(2)/25)*BQ122+(1-EXP(-LN(2)/25))/(LN(2)/25)*Calculateur!BL123*Calculateur!BN123*VLOOKUP('Données projet'!$B$11,Paramètres!$A$1:$I$89,3,0)*0.475*44/12</f>
        <v>0.78579345714392335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2.0320532301725898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195.80903373714432</v>
      </c>
      <c r="CE123" s="59">
        <f t="shared" si="94"/>
        <v>388.30721786668977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9.9173827573439848</v>
      </c>
      <c r="CL123" s="21">
        <f>EXP(-LN(2)/25)*CL122+(1-EXP(-LN(2)/25))/(LN(2)/25)*Calculateur!CG123*Calculateur!CI123*VLOOKUP('Données projet'!$B$12,Paramètres!$A$1:$I$89,3,0)*0.475*44/12</f>
        <v>4.2592081349147515</v>
      </c>
      <c r="CM123" s="21">
        <f>EXP(-LN(2)/2)*CM122+(1-EXP(-LN(2)/2))/(LN(2)/2)*CG123*CJ123*VLOOKUP('Données projet'!$B$12,Paramètres!$A$1:$I$89,3,0)*0.475*44/12</f>
        <v>5.0675214579132765E-12</v>
      </c>
      <c r="CN123" s="22">
        <f t="shared" si="66"/>
        <v>14.176590892263805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72.638639486636521</v>
      </c>
      <c r="CZ123" s="59">
        <f t="shared" si="96"/>
        <v>334.50638815329404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6.0758999771576114</v>
      </c>
      <c r="DG123" s="21">
        <f>EXP(-LN(2)/25)*DG122+(1-EXP(-LN(2)/25))/(LN(2)/25)*Calculateur!DB123*Calculateur!DD123*VLOOKUP('Données projet'!$B$13,Paramètres!$A$1:$I$89,3,0)*0.475*44/12</f>
        <v>2.6552266946879466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8.7311266718455585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68.016800235358346</v>
      </c>
      <c r="DU123" s="59">
        <f t="shared" si="98"/>
        <v>311.30433899203405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5.617717355929333</v>
      </c>
      <c r="EB123" s="21">
        <f>EXP(-LN(2)/25)*EB122+(1-EXP(-LN(2)/25))/(LN(2)/25)*Calculateur!DW123*Calculateur!DY123*VLOOKUP('Données projet'!$B$14,Paramètres!$A$1:$I$89,3,0)*0.475*44/12</f>
        <v>2.4549964849245915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8.0727138408539254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439.06700232017681</v>
      </c>
      <c r="T124" s="59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487.04124684635974</v>
      </c>
      <c r="AO124" s="59">
        <f t="shared" si="90"/>
        <v>306.61893266146666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-5.9412741393316544E-14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356.31271939877655</v>
      </c>
      <c r="BJ124" s="59">
        <f t="shared" si="92"/>
        <v>499.70544707812991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1.2218213790229777</v>
      </c>
      <c r="BQ124" s="21">
        <f>EXP(-LN(2)/25)*BQ123+(1-EXP(-LN(2)/25))/(LN(2)/25)*Calculateur!BL124*Calculateur!BN124*VLOOKUP('Données projet'!$B$11,Paramètres!$A$1:$I$89,3,0)*0.475*44/12</f>
        <v>0.76430589373524083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1.9861272727582184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195.80903373714432</v>
      </c>
      <c r="CE124" s="59">
        <f t="shared" si="94"/>
        <v>388.30721786668977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9.7229089304786616</v>
      </c>
      <c r="CL124" s="21">
        <f>EXP(-LN(2)/25)*CL123+(1-EXP(-LN(2)/25))/(LN(2)/25)*Calculateur!CG124*Calculateur!CI124*VLOOKUP('Données projet'!$B$12,Paramètres!$A$1:$I$89,3,0)*0.475*44/12</f>
        <v>4.1427398644834863</v>
      </c>
      <c r="CM124" s="21">
        <f>EXP(-LN(2)/2)*CM123+(1-EXP(-LN(2)/2))/(LN(2)/2)*CG124*CJ124*VLOOKUP('Données projet'!$B$12,Paramètres!$A$1:$I$89,3,0)*0.475*44/12</f>
        <v>3.5832787866988176E-12</v>
      </c>
      <c r="CN124" s="22">
        <f t="shared" si="66"/>
        <v>13.865648794965731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72.638639486636521</v>
      </c>
      <c r="CZ124" s="59">
        <f t="shared" si="96"/>
        <v>334.50638815329404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5.9567552845386063</v>
      </c>
      <c r="DG124" s="21">
        <f>EXP(-LN(2)/25)*DG123+(1-EXP(-LN(2)/25))/(LN(2)/25)*Calculateur!DB124*Calculateur!DD124*VLOOKUP('Données projet'!$B$13,Paramètres!$A$1:$I$89,3,0)*0.475*44/12</f>
        <v>2.5826193810894016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8.5393746656280083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68.016800235358346</v>
      </c>
      <c r="DU124" s="59">
        <f t="shared" si="98"/>
        <v>311.30433899203405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5.5075573450488102</v>
      </c>
      <c r="EB124" s="21">
        <f>EXP(-LN(2)/25)*EB123+(1-EXP(-LN(2)/25))/(LN(2)/25)*Calculateur!DW124*Calculateur!DY124*VLOOKUP('Données projet'!$B$14,Paramètres!$A$1:$I$89,3,0)*0.475*44/12</f>
        <v>2.3878644769416746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7.8954218219904853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439.06700232017681</v>
      </c>
      <c r="T125" s="59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487.04124684635974</v>
      </c>
      <c r="AO125" s="59">
        <f t="shared" si="90"/>
        <v>306.61893266146666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-5.9412741393316544E-14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356.31271939877655</v>
      </c>
      <c r="BJ125" s="59">
        <f t="shared" si="92"/>
        <v>499.70544707812991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1.1978622070177922</v>
      </c>
      <c r="BQ125" s="21">
        <f>EXP(-LN(2)/25)*BQ124+(1-EXP(-LN(2)/25))/(LN(2)/25)*Calculateur!BL125*Calculateur!BN125*VLOOKUP('Données projet'!$B$11,Paramètres!$A$1:$I$89,3,0)*0.475*44/12</f>
        <v>0.74340590887795055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1.9412681158957428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195.80903373714432</v>
      </c>
      <c r="CE125" s="59">
        <f t="shared" si="94"/>
        <v>388.30721786668977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9.532248616740846</v>
      </c>
      <c r="CL125" s="21">
        <f>EXP(-LN(2)/25)*CL124+(1-EXP(-LN(2)/25))/(LN(2)/25)*Calculateur!CG125*Calculateur!CI125*VLOOKUP('Données projet'!$B$12,Paramètres!$A$1:$I$89,3,0)*0.475*44/12</f>
        <v>4.029456425031964</v>
      </c>
      <c r="CM125" s="21">
        <f>EXP(-LN(2)/2)*CM124+(1-EXP(-LN(2)/2))/(LN(2)/2)*CG125*CJ125*VLOOKUP('Données projet'!$B$12,Paramètres!$A$1:$I$89,3,0)*0.475*44/12</f>
        <v>2.5337607289566386E-12</v>
      </c>
      <c r="CN125" s="22">
        <f t="shared" si="66"/>
        <v>13.561705041775344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72.638639486636521</v>
      </c>
      <c r="CZ125" s="59">
        <f t="shared" si="96"/>
        <v>334.50638815329404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5.8399469466707732</v>
      </c>
      <c r="DG125" s="21">
        <f>EXP(-LN(2)/25)*DG124+(1-EXP(-LN(2)/25))/(LN(2)/25)*Calculateur!DB125*Calculateur!DD125*VLOOKUP('Données projet'!$B$13,Paramètres!$A$1:$I$89,3,0)*0.475*44/12</f>
        <v>2.5119975182994612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8.3519444649702343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68.016800235358346</v>
      </c>
      <c r="DU125" s="59">
        <f t="shared" si="98"/>
        <v>311.30433899203405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5.3995575047906827</v>
      </c>
      <c r="EB125" s="21">
        <f>EXP(-LN(2)/25)*EB124+(1-EXP(-LN(2)/25))/(LN(2)/25)*Calculateur!DW125*Calculateur!DY125*VLOOKUP('Données projet'!$B$14,Paramètres!$A$1:$I$89,3,0)*0.475*44/12</f>
        <v>2.3225681972473691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7.7221257020380518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439.06700232017681</v>
      </c>
      <c r="T126" s="59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487.04124684635974</v>
      </c>
      <c r="AO126" s="59">
        <f t="shared" si="90"/>
        <v>306.61893266146666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-5.9412741393316544E-14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356.31271939877655</v>
      </c>
      <c r="BJ126" s="59">
        <f t="shared" si="92"/>
        <v>499.70544707812991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1.1743728597619765</v>
      </c>
      <c r="BQ126" s="21">
        <f>EXP(-LN(2)/25)*BQ125+(1-EXP(-LN(2)/25))/(LN(2)/25)*Calculateur!BL126*Calculateur!BN126*VLOOKUP('Données projet'!$B$11,Paramètres!$A$1:$I$89,3,0)*0.475*44/12</f>
        <v>0.72307743520566536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1.8974502949676419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195.80903373714432</v>
      </c>
      <c r="CE126" s="59">
        <f t="shared" si="94"/>
        <v>388.30721786668977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9.3453270354641198</v>
      </c>
      <c r="CL126" s="21">
        <f>EXP(-LN(2)/25)*CL125+(1-EXP(-LN(2)/25))/(LN(2)/25)*Calculateur!CG126*Calculateur!CI126*VLOOKUP('Données projet'!$B$12,Paramètres!$A$1:$I$89,3,0)*0.475*44/12</f>
        <v>3.919270727189561</v>
      </c>
      <c r="CM126" s="21">
        <f>EXP(-LN(2)/2)*CM125+(1-EXP(-LN(2)/2))/(LN(2)/2)*CG126*CJ126*VLOOKUP('Données projet'!$B$12,Paramètres!$A$1:$I$89,3,0)*0.475*44/12</f>
        <v>1.7916393933494092E-12</v>
      </c>
      <c r="CN126" s="22">
        <f t="shared" si="66"/>
        <v>13.264597762655473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72.638639486636521</v>
      </c>
      <c r="CZ126" s="59">
        <f t="shared" si="96"/>
        <v>334.50638815329404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5.7254291490624771</v>
      </c>
      <c r="DG126" s="21">
        <f>EXP(-LN(2)/25)*DG125+(1-EXP(-LN(2)/25))/(LN(2)/25)*Calculateur!DB126*Calculateur!DD126*VLOOKUP('Données projet'!$B$13,Paramètres!$A$1:$I$89,3,0)*0.475*44/12</f>
        <v>2.4433068140613541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8.1687359631238312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68.016800235358346</v>
      </c>
      <c r="DU126" s="59">
        <f t="shared" si="98"/>
        <v>311.30433899203405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5.2936754755266184</v>
      </c>
      <c r="EB126" s="21">
        <f>EXP(-LN(2)/25)*EB125+(1-EXP(-LN(2)/25))/(LN(2)/25)*Calculateur!DW126*Calculateur!DY126*VLOOKUP('Données projet'!$B$14,Paramètres!$A$1:$I$89,3,0)*0.475*44/12</f>
        <v>2.2590574477550867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7.5527329232817051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439.06700232017681</v>
      </c>
      <c r="T127" s="59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487.04124684635974</v>
      </c>
      <c r="AO127" s="59">
        <f t="shared" si="90"/>
        <v>306.61893266146666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-5.9412741393316544E-14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356.31271939877655</v>
      </c>
      <c r="BJ127" s="59">
        <f t="shared" si="92"/>
        <v>499.70544707812991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1.1513441242787601</v>
      </c>
      <c r="BQ127" s="21">
        <f>EXP(-LN(2)/25)*BQ126+(1-EXP(-LN(2)/25))/(LN(2)/25)*Calculateur!BL127*Calculateur!BN127*VLOOKUP('Données projet'!$B$11,Paramètres!$A$1:$I$89,3,0)*0.475*44/12</f>
        <v>0.70330484471497678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1.8546489689937369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195.80903373714432</v>
      </c>
      <c r="CE127" s="59">
        <f t="shared" si="94"/>
        <v>388.30721786668977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9.162070872385323</v>
      </c>
      <c r="CL127" s="21">
        <f>EXP(-LN(2)/25)*CL126+(1-EXP(-LN(2)/25))/(LN(2)/25)*Calculateur!CG127*Calculateur!CI127*VLOOKUP('Données projet'!$B$12,Paramètres!$A$1:$I$89,3,0)*0.475*44/12</f>
        <v>3.8120980630490724</v>
      </c>
      <c r="CM127" s="21">
        <f>EXP(-LN(2)/2)*CM126+(1-EXP(-LN(2)/2))/(LN(2)/2)*CG127*CJ127*VLOOKUP('Données projet'!$B$12,Paramètres!$A$1:$I$89,3,0)*0.475*44/12</f>
        <v>1.2668803644783195E-12</v>
      </c>
      <c r="CN127" s="22">
        <f t="shared" si="66"/>
        <v>12.974168935435662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72.638639486636521</v>
      </c>
      <c r="CZ127" s="59">
        <f t="shared" si="96"/>
        <v>334.50638815329404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5.6131569756163202</v>
      </c>
      <c r="DG127" s="21">
        <f>EXP(-LN(2)/25)*DG126+(1-EXP(-LN(2)/25))/(LN(2)/25)*Calculateur!DB127*Calculateur!DD127*VLOOKUP('Données projet'!$B$13,Paramètres!$A$1:$I$89,3,0)*0.475*44/12</f>
        <v>2.3764944607429253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7.9896514363592459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68.016800235358346</v>
      </c>
      <c r="DU127" s="59">
        <f t="shared" si="98"/>
        <v>311.30433899203405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5.1898697282747621</v>
      </c>
      <c r="EB127" s="21">
        <f>EXP(-LN(2)/25)*EB126+(1-EXP(-LN(2)/25))/(LN(2)/25)*Calculateur!DW127*Calculateur!DY127*VLOOKUP('Données projet'!$B$14,Paramètres!$A$1:$I$89,3,0)*0.475*44/12</f>
        <v>2.1972834030475559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7.387153131322318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439.06700232017681</v>
      </c>
      <c r="T128" s="59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487.04124684635974</v>
      </c>
      <c r="AO128" s="59">
        <f t="shared" si="90"/>
        <v>306.61893266146666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-5.9412741393316544E-14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356.31271939877655</v>
      </c>
      <c r="BJ128" s="59">
        <f t="shared" si="92"/>
        <v>499.70544707812991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1.1287669682522279</v>
      </c>
      <c r="BQ128" s="21">
        <f>EXP(-LN(2)/25)*BQ127+(1-EXP(-LN(2)/25))/(LN(2)/25)*Calculateur!BL128*Calculateur!BN128*VLOOKUP('Données projet'!$B$11,Paramètres!$A$1:$I$89,3,0)*0.475*44/12</f>
        <v>0.68407293675105141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1.8128399050032793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195.80903373714432</v>
      </c>
      <c r="CE128" s="59">
        <f t="shared" si="94"/>
        <v>388.30721786668977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8.9824082508892786</v>
      </c>
      <c r="CL128" s="21">
        <f>EXP(-LN(2)/25)*CL127+(1-EXP(-LN(2)/25))/(LN(2)/25)*Calculateur!CG128*Calculateur!CI128*VLOOKUP('Données projet'!$B$12,Paramètres!$A$1:$I$89,3,0)*0.475*44/12</f>
        <v>3.7078560410454711</v>
      </c>
      <c r="CM128" s="21">
        <f>EXP(-LN(2)/2)*CM127+(1-EXP(-LN(2)/2))/(LN(2)/2)*CG128*CJ128*VLOOKUP('Données projet'!$B$12,Paramètres!$A$1:$I$89,3,0)*0.475*44/12</f>
        <v>8.958196966747047E-13</v>
      </c>
      <c r="CN128" s="22">
        <f t="shared" si="66"/>
        <v>12.690264291935645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72.638639486636521</v>
      </c>
      <c r="CZ128" s="59">
        <f t="shared" si="96"/>
        <v>334.50638815329404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5.5030863910121779</v>
      </c>
      <c r="DG128" s="21">
        <f>EXP(-LN(2)/25)*DG127+(1-EXP(-LN(2)/25))/(LN(2)/25)*Calculateur!DB128*Calculateur!DD128*VLOOKUP('Données projet'!$B$13,Paramètres!$A$1:$I$89,3,0)*0.475*44/12</f>
        <v>2.3115090947394976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7.814595485751676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68.016800235358346</v>
      </c>
      <c r="DU128" s="59">
        <f t="shared" si="98"/>
        <v>311.30433899203405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5.0880995484112601</v>
      </c>
      <c r="EB128" s="21">
        <f>EXP(-LN(2)/25)*EB127+(1-EXP(-LN(2)/25))/(LN(2)/25)*Calculateur!DW128*Calculateur!DY128*VLOOKUP('Données projet'!$B$14,Paramètres!$A$1:$I$89,3,0)*0.475*44/12</f>
        <v>2.137198572841108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7.2252981212523686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439.06700232017681</v>
      </c>
      <c r="T129" s="59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487.04124684635974</v>
      </c>
      <c r="AO129" s="59">
        <f t="shared" si="90"/>
        <v>306.61893266146666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-5.9412741393316544E-14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356.31271939877655</v>
      </c>
      <c r="BJ129" s="59">
        <f t="shared" si="92"/>
        <v>499.70544707812991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1.1066325364846705</v>
      </c>
      <c r="BQ129" s="21">
        <f>EXP(-LN(2)/25)*BQ128+(1-EXP(-LN(2)/25))/(LN(2)/25)*Calculateur!BL129*Calculateur!BN129*VLOOKUP('Données projet'!$B$11,Paramètres!$A$1:$I$89,3,0)*0.475*44/12</f>
        <v>0.66536692632176164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1.7719994628064322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195.80903373714432</v>
      </c>
      <c r="CE129" s="59">
        <f t="shared" si="94"/>
        <v>388.30721786668977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8.806268703817393</v>
      </c>
      <c r="CL129" s="21">
        <f>EXP(-LN(2)/25)*CL128+(1-EXP(-LN(2)/25))/(LN(2)/25)*Calculateur!CG129*Calculateur!CI129*VLOOKUP('Données projet'!$B$12,Paramètres!$A$1:$I$89,3,0)*0.475*44/12</f>
        <v>3.6064645226154077</v>
      </c>
      <c r="CM129" s="21">
        <f>EXP(-LN(2)/2)*CM128+(1-EXP(-LN(2)/2))/(LN(2)/2)*CG129*CJ129*VLOOKUP('Données projet'!$B$12,Paramètres!$A$1:$I$89,3,0)*0.475*44/12</f>
        <v>6.3344018223915986E-13</v>
      </c>
      <c r="CN129" s="22">
        <f t="shared" si="66"/>
        <v>12.412733226433435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72.638639486636521</v>
      </c>
      <c r="CZ129" s="59">
        <f t="shared" si="96"/>
        <v>334.50638815329404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5.3951742234356956</v>
      </c>
      <c r="DG129" s="21">
        <f>EXP(-LN(2)/25)*DG128+(1-EXP(-LN(2)/25))/(LN(2)/25)*Calculateur!DB129*Calculateur!DD129*VLOOKUP('Données projet'!$B$13,Paramètres!$A$1:$I$89,3,0)*0.475*44/12</f>
        <v>2.2483007569868656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7.6434749804225612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68.016800235358346</v>
      </c>
      <c r="DU129" s="59">
        <f t="shared" si="98"/>
        <v>311.30433899203405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4.9883250197012012</v>
      </c>
      <c r="EB129" s="21">
        <f>EXP(-LN(2)/25)*EB128+(1-EXP(-LN(2)/25))/(LN(2)/25)*Calculateur!DW129*Calculateur!DY129*VLOOKUP('Données projet'!$B$14,Paramètres!$A$1:$I$89,3,0)*0.475*44/12</f>
        <v>2.0787567654763794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7.0670817851775807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439.06700232017681</v>
      </c>
      <c r="T130" s="59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487.04124684635974</v>
      </c>
      <c r="AO130" s="59">
        <f t="shared" si="90"/>
        <v>306.61893266146666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-5.9412741393316544E-14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356.31271939877655</v>
      </c>
      <c r="BJ130" s="59">
        <f t="shared" si="92"/>
        <v>499.70544707812991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1.0849321474234048</v>
      </c>
      <c r="BQ130" s="21">
        <f>EXP(-LN(2)/25)*BQ129+(1-EXP(-LN(2)/25))/(LN(2)/25)*Calculateur!BL130*Calculateur!BN130*VLOOKUP('Données projet'!$B$11,Paramètres!$A$1:$I$89,3,0)*0.475*44/12</f>
        <v>0.64717243273136715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1.7321045801547719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195.80903373714432</v>
      </c>
      <c r="CE130" s="59">
        <f t="shared" si="94"/>
        <v>388.30721786668977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8.6335831458290713</v>
      </c>
      <c r="CL130" s="21">
        <f>EXP(-LN(2)/25)*CL129+(1-EXP(-LN(2)/25))/(LN(2)/25)*Calculateur!CG130*Calculateur!CI130*VLOOKUP('Données projet'!$B$12,Paramètres!$A$1:$I$89,3,0)*0.475*44/12</f>
        <v>3.5078455605887631</v>
      </c>
      <c r="CM130" s="21">
        <f>EXP(-LN(2)/2)*CM129+(1-EXP(-LN(2)/2))/(LN(2)/2)*CG130*CJ130*VLOOKUP('Données projet'!$B$12,Paramètres!$A$1:$I$89,3,0)*0.475*44/12</f>
        <v>4.4790984833735245E-13</v>
      </c>
      <c r="CN130" s="22">
        <f t="shared" si="66"/>
        <v>12.141428706418282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72.638639486636521</v>
      </c>
      <c r="CZ130" s="59">
        <f t="shared" si="96"/>
        <v>334.50638815329404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5.2893781476454649</v>
      </c>
      <c r="DG130" s="21">
        <f>EXP(-LN(2)/25)*DG129+(1-EXP(-LN(2)/25))/(LN(2)/25)*Calculateur!DB130*Calculateur!DD130*VLOOKUP('Données projet'!$B$13,Paramètres!$A$1:$I$89,3,0)*0.475*44/12</f>
        <v>2.1868208545540617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7.476199002199527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68.016800235358346</v>
      </c>
      <c r="DU130" s="59">
        <f t="shared" si="98"/>
        <v>311.30433899203405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4.8905070086426932</v>
      </c>
      <c r="EB130" s="21">
        <f>EXP(-LN(2)/25)*EB129+(1-EXP(-LN(2)/25))/(LN(2)/25)*Calculateur!DW130*Calculateur!DY130*VLOOKUP('Données projet'!$B$14,Paramètres!$A$1:$I$89,3,0)*0.475*44/12</f>
        <v>2.0219130524073607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6.9124200610500539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439.06700232017681</v>
      </c>
      <c r="T131" s="59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487.04124684635974</v>
      </c>
      <c r="AO131" s="59">
        <f t="shared" si="90"/>
        <v>306.61893266146666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-5.9412741393316544E-14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356.31271939877655</v>
      </c>
      <c r="BJ131" s="59">
        <f t="shared" si="92"/>
        <v>499.70544707812991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1.0636572897557</v>
      </c>
      <c r="BQ131" s="21">
        <f>EXP(-LN(2)/25)*BQ130+(1-EXP(-LN(2)/25))/(LN(2)/25)*Calculateur!BL131*Calculateur!BN131*VLOOKUP('Données projet'!$B$11,Paramètres!$A$1:$I$89,3,0)*0.475*44/12</f>
        <v>0.6294754685250088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1.6931327582807087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195.80903373714432</v>
      </c>
      <c r="CE131" s="59">
        <f t="shared" si="94"/>
        <v>388.30721786668977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8.4642838463051113</v>
      </c>
      <c r="CL131" s="21">
        <f>EXP(-LN(2)/25)*CL130+(1-EXP(-LN(2)/25))/(LN(2)/25)*Calculateur!CG131*Calculateur!CI131*VLOOKUP('Données projet'!$B$12,Paramètres!$A$1:$I$89,3,0)*0.475*44/12</f>
        <v>3.4119233392648827</v>
      </c>
      <c r="CM131" s="21">
        <f>EXP(-LN(2)/2)*CM130+(1-EXP(-LN(2)/2))/(LN(2)/2)*CG131*CJ131*VLOOKUP('Données projet'!$B$12,Paramètres!$A$1:$I$89,3,0)*0.475*44/12</f>
        <v>3.1672009111957998E-13</v>
      </c>
      <c r="CN131" s="22">
        <f t="shared" si="66"/>
        <v>11.87620718557031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72.638639486636521</v>
      </c>
      <c r="CZ131" s="59">
        <f t="shared" si="96"/>
        <v>334.50638815329404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5.1856566683722463</v>
      </c>
      <c r="DG131" s="21">
        <f>EXP(-LN(2)/25)*DG130+(1-EXP(-LN(2)/25))/(LN(2)/25)*Calculateur!DB131*Calculateur!DD131*VLOOKUP('Données projet'!$B$13,Paramètres!$A$1:$I$89,3,0)*0.475*44/12</f>
        <v>2.1270221232863702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7.312678791658616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68.016800235358346</v>
      </c>
      <c r="DU131" s="59">
        <f t="shared" si="98"/>
        <v>311.30433899203405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4.7946071491179465</v>
      </c>
      <c r="EB131" s="21">
        <f>EXP(-LN(2)/25)*EB130+(1-EXP(-LN(2)/25))/(LN(2)/25)*Calculateur!DW131*Calculateur!DY131*VLOOKUP('Données projet'!$B$14,Paramètres!$A$1:$I$89,3,0)*0.475*44/12</f>
        <v>1.9666237336614951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6.7612308827794418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439.06700232017681</v>
      </c>
      <c r="T132" s="59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487.04124684635974</v>
      </c>
      <c r="AO132" s="59">
        <f t="shared" si="90"/>
        <v>306.61893266146666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-5.9412741393316544E-14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356.31271939877655</v>
      </c>
      <c r="BJ132" s="59">
        <f t="shared" si="92"/>
        <v>499.70544707812991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1.0427996190704769</v>
      </c>
      <c r="BQ132" s="21">
        <f>EXP(-LN(2)/25)*BQ131+(1-EXP(-LN(2)/25))/(LN(2)/25)*Calculateur!BL132*Calculateur!BN132*VLOOKUP('Données projet'!$B$11,Paramètres!$A$1:$I$89,3,0)*0.475*44/12</f>
        <v>0.61226242873551617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1.655062047805993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195.80903373714432</v>
      </c>
      <c r="CE132" s="59">
        <f t="shared" si="94"/>
        <v>388.30721786668977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8.2983044027824402</v>
      </c>
      <c r="CL132" s="21">
        <f>EXP(-LN(2)/25)*CL131+(1-EXP(-LN(2)/25))/(LN(2)/25)*Calculateur!CG132*Calculateur!CI132*VLOOKUP('Données projet'!$B$12,Paramètres!$A$1:$I$89,3,0)*0.475*44/12</f>
        <v>3.3186241161274341</v>
      </c>
      <c r="CM132" s="21">
        <f>EXP(-LN(2)/2)*CM131+(1-EXP(-LN(2)/2))/(LN(2)/2)*CG132*CJ132*VLOOKUP('Données projet'!$B$12,Paramètres!$A$1:$I$89,3,0)*0.475*44/12</f>
        <v>2.2395492416867625E-13</v>
      </c>
      <c r="CN132" s="22">
        <f t="shared" ref="CN132:CN153" si="120">SUM(CK132:CM132)</f>
        <v>11.616928518910099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72.638639486636521</v>
      </c>
      <c r="CZ132" s="59">
        <f t="shared" si="96"/>
        <v>334.50638815329404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5.08396910404372</v>
      </c>
      <c r="DG132" s="21">
        <f>EXP(-LN(2)/25)*DG131+(1-EXP(-LN(2)/25))/(LN(2)/25)*Calculateur!DB132*Calculateur!DD132*VLOOKUP('Données projet'!$B$13,Paramètres!$A$1:$I$89,3,0)*0.475*44/12</f>
        <v>2.0688585914698723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7.1528276955135919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68.016800235358346</v>
      </c>
      <c r="DU132" s="59">
        <f t="shared" si="98"/>
        <v>311.30433899203405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4.7005878273453421</v>
      </c>
      <c r="EB132" s="21">
        <f>EXP(-LN(2)/25)*EB131+(1-EXP(-LN(2)/25))/(LN(2)/25)*Calculateur!DW132*Calculateur!DY132*VLOOKUP('Données projet'!$B$14,Paramètres!$A$1:$I$89,3,0)*0.475*44/12</f>
        <v>1.9128463042442743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6.6134341315896163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439.06700232017681</v>
      </c>
      <c r="T133" s="59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487.04124684635974</v>
      </c>
      <c r="AO133" s="59">
        <f t="shared" ref="AO133:AO196" si="144">$AO$3</f>
        <v>306.61893266146666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-5.9412741393316544E-14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356.31271939877655</v>
      </c>
      <c r="BJ133" s="59">
        <f t="shared" ref="BJ133:BJ196" si="146">$BJ$3</f>
        <v>499.70544707812991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1.0223509545854683</v>
      </c>
      <c r="BQ133" s="21">
        <f>EXP(-LN(2)/25)*BQ132+(1-EXP(-LN(2)/25))/(LN(2)/25)*Calculateur!BL133*Calculateur!BN133*VLOOKUP('Données projet'!$B$11,Paramètres!$A$1:$I$89,3,0)*0.475*44/12</f>
        <v>0.59552008042426174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1.6178710350097301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195.80903373714432</v>
      </c>
      <c r="CE133" s="59">
        <f t="shared" ref="CE133:CE196" si="148">$CE$3</f>
        <v>388.30721786668977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8.1355797149097846</v>
      </c>
      <c r="CL133" s="21">
        <f>EXP(-LN(2)/25)*CL132+(1-EXP(-LN(2)/25))/(LN(2)/25)*Calculateur!CG133*Calculateur!CI133*VLOOKUP('Données projet'!$B$12,Paramètres!$A$1:$I$89,3,0)*0.475*44/12</f>
        <v>3.2278761651530719</v>
      </c>
      <c r="CM133" s="21">
        <f>EXP(-LN(2)/2)*CM132+(1-EXP(-LN(2)/2))/(LN(2)/2)*CG133*CJ133*VLOOKUP('Données projet'!$B$12,Paramètres!$A$1:$I$89,3,0)*0.475*44/12</f>
        <v>1.5836004555979002E-13</v>
      </c>
      <c r="CN133" s="22">
        <f t="shared" si="120"/>
        <v>11.363455880063015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72.638639486636521</v>
      </c>
      <c r="CZ133" s="59">
        <f t="shared" ref="CZ133:CZ196" si="150">$CZ$3</f>
        <v>334.50638815329404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4.9842755708283866</v>
      </c>
      <c r="DG133" s="21">
        <f>EXP(-LN(2)/25)*DG132+(1-EXP(-LN(2)/25))/(LN(2)/25)*Calculateur!DB133*Calculateur!DD133*VLOOKUP('Données projet'!$B$13,Paramètres!$A$1:$I$89,3,0)*0.475*44/12</f>
        <v>2.0122855444895835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6.9965611153179701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68.016800235358346</v>
      </c>
      <c r="DU133" s="59">
        <f t="shared" ref="DU133:DU196" si="152">$DU$3</f>
        <v>311.30433899203405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4.6084121671265743</v>
      </c>
      <c r="EB133" s="21">
        <f>EXP(-LN(2)/25)*EB132+(1-EXP(-LN(2)/25))/(LN(2)/25)*Calculateur!DW133*Calculateur!DY133*VLOOKUP('Données projet'!$B$14,Paramètres!$A$1:$I$89,3,0)*0.475*44/12</f>
        <v>1.8605394214624993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6.4689515885890732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439.06700232017681</v>
      </c>
      <c r="T134" s="59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487.04124684635974</v>
      </c>
      <c r="AO134" s="59">
        <f t="shared" si="144"/>
        <v>306.61893266146666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-5.9412741393316544E-14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356.31271939877655</v>
      </c>
      <c r="BJ134" s="59">
        <f t="shared" si="146"/>
        <v>499.70544707812991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1.0023032759385568</v>
      </c>
      <c r="BQ134" s="21">
        <f>EXP(-LN(2)/25)*BQ133+(1-EXP(-LN(2)/25))/(LN(2)/25)*Calculateur!BL134*Calculateur!BN134*VLOOKUP('Données projet'!$B$11,Paramètres!$A$1:$I$89,3,0)*0.475*44/12</f>
        <v>0.57923555250802039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1.5815388284465772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195.80903373714432</v>
      </c>
      <c r="CE134" s="59">
        <f t="shared" si="148"/>
        <v>388.30721786668977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7.9760459589140522</v>
      </c>
      <c r="CL134" s="21">
        <f>EXP(-LN(2)/25)*CL133+(1-EXP(-LN(2)/25))/(LN(2)/25)*Calculateur!CG134*Calculateur!CI134*VLOOKUP('Données projet'!$B$12,Paramètres!$A$1:$I$89,3,0)*0.475*44/12</f>
        <v>3.1396097216703311</v>
      </c>
      <c r="CM134" s="21">
        <f>EXP(-LN(2)/2)*CM133+(1-EXP(-LN(2)/2))/(LN(2)/2)*CG134*CJ134*VLOOKUP('Données projet'!$B$12,Paramètres!$A$1:$I$89,3,0)*0.475*44/12</f>
        <v>1.1197746208433814E-13</v>
      </c>
      <c r="CN134" s="22">
        <f t="shared" si="120"/>
        <v>11.115655680584496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72.638639486636521</v>
      </c>
      <c r="CZ134" s="59">
        <f t="shared" si="150"/>
        <v>334.50638815329404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4.8865369669923542</v>
      </c>
      <c r="DG134" s="21">
        <f>EXP(-LN(2)/25)*DG133+(1-EXP(-LN(2)/25))/(LN(2)/25)*Calculateur!DB134*Calculateur!DD134*VLOOKUP('Données projet'!$B$13,Paramètres!$A$1:$I$89,3,0)*0.475*44/12</f>
        <v>1.9572594904540181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6.8437964574463725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68.016800235358346</v>
      </c>
      <c r="DU134" s="59">
        <f t="shared" si="152"/>
        <v>311.30433899203405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4.5180440153830954</v>
      </c>
      <c r="EB134" s="21">
        <f>EXP(-LN(2)/25)*EB133+(1-EXP(-LN(2)/25))/(LN(2)/25)*Calculateur!DW134*Calculateur!DY134*VLOOKUP('Données projet'!$B$14,Paramètres!$A$1:$I$89,3,0)*0.475*44/12</f>
        <v>1.8096628731410913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6.3277068885241867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439.06700232017681</v>
      </c>
      <c r="T135" s="59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487.04124684635974</v>
      </c>
      <c r="AO135" s="59">
        <f t="shared" si="144"/>
        <v>306.61893266146666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-5.9412741393316544E-14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356.31271939877655</v>
      </c>
      <c r="BJ135" s="59">
        <f t="shared" si="146"/>
        <v>499.70544707812991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0.98264872004203474</v>
      </c>
      <c r="BQ135" s="21">
        <f>EXP(-LN(2)/25)*BQ134+(1-EXP(-LN(2)/25))/(LN(2)/25)*Calculateur!BL135*Calculateur!BN135*VLOOKUP('Données projet'!$B$11,Paramètres!$A$1:$I$89,3,0)*0.475*44/12</f>
        <v>0.56339632586401478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1.5460450459060495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195.80903373714432</v>
      </c>
      <c r="CE135" s="59">
        <f t="shared" si="148"/>
        <v>388.30721786668977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7.8196405625674128</v>
      </c>
      <c r="CL135" s="21">
        <f>EXP(-LN(2)/25)*CL134+(1-EXP(-LN(2)/25))/(LN(2)/25)*Calculateur!CG135*Calculateur!CI135*VLOOKUP('Données projet'!$B$12,Paramètres!$A$1:$I$89,3,0)*0.475*44/12</f>
        <v>3.0537569287263562</v>
      </c>
      <c r="CM135" s="21">
        <f>EXP(-LN(2)/2)*CM134+(1-EXP(-LN(2)/2))/(LN(2)/2)*CG135*CJ135*VLOOKUP('Données projet'!$B$12,Paramètres!$A$1:$I$89,3,0)*0.475*44/12</f>
        <v>7.9180022779895021E-14</v>
      </c>
      <c r="CN135" s="22">
        <f t="shared" si="120"/>
        <v>10.873397491293849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72.638639486636521</v>
      </c>
      <c r="CZ135" s="59">
        <f t="shared" si="150"/>
        <v>334.50638815329404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4.7907149575628845</v>
      </c>
      <c r="DG135" s="21">
        <f>EXP(-LN(2)/25)*DG134+(1-EXP(-LN(2)/25))/(LN(2)/25)*Calculateur!DB135*Calculateur!DD135*VLOOKUP('Données projet'!$B$13,Paramètres!$A$1:$I$89,3,0)*0.475*44/12</f>
        <v>1.9037381267597497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6.6944530843226344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68.016800235358346</v>
      </c>
      <c r="DU135" s="59">
        <f t="shared" si="152"/>
        <v>311.30433899203405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4.4294479279761765</v>
      </c>
      <c r="EB135" s="21">
        <f>EXP(-LN(2)/25)*EB134+(1-EXP(-LN(2)/25))/(LN(2)/25)*Calculateur!DW135*Calculateur!DY135*VLOOKUP('Données projet'!$B$14,Paramètres!$A$1:$I$89,3,0)*0.475*44/12</f>
        <v>1.7601775467090137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6.1896254746851902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439.06700232017681</v>
      </c>
      <c r="T136" s="59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487.04124684635974</v>
      </c>
      <c r="AO136" s="59">
        <f t="shared" si="144"/>
        <v>306.61893266146666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-5.9412741393316544E-14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356.31271939877655</v>
      </c>
      <c r="BJ136" s="59">
        <f t="shared" si="146"/>
        <v>499.70544707812991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0.96337957799854812</v>
      </c>
      <c r="BQ136" s="21">
        <f>EXP(-LN(2)/25)*BQ135+(1-EXP(-LN(2)/25))/(LN(2)/25)*Calculateur!BL136*Calculateur!BN136*VLOOKUP('Données projet'!$B$11,Paramètres!$A$1:$I$89,3,0)*0.475*44/12</f>
        <v>0.54799022370553818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1.5113698017040864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195.80903373714432</v>
      </c>
      <c r="CE136" s="59">
        <f t="shared" si="148"/>
        <v>388.30721786668977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7.6663021806452587</v>
      </c>
      <c r="CL136" s="21">
        <f>EXP(-LN(2)/25)*CL135+(1-EXP(-LN(2)/25))/(LN(2)/25)*Calculateur!CG136*Calculateur!CI136*VLOOKUP('Données projet'!$B$12,Paramètres!$A$1:$I$89,3,0)*0.475*44/12</f>
        <v>2.9702517849202366</v>
      </c>
      <c r="CM136" s="21">
        <f>EXP(-LN(2)/2)*CM135+(1-EXP(-LN(2)/2))/(LN(2)/2)*CG136*CJ136*VLOOKUP('Données projet'!$B$12,Paramètres!$A$1:$I$89,3,0)*0.475*44/12</f>
        <v>5.5988731042169081E-14</v>
      </c>
      <c r="CN136" s="22">
        <f t="shared" si="120"/>
        <v>10.636553965565552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72.638639486636521</v>
      </c>
      <c r="CZ136" s="59">
        <f t="shared" si="150"/>
        <v>334.50638815329404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4.696771959292672</v>
      </c>
      <c r="DG136" s="21">
        <f>EXP(-LN(2)/25)*DG135+(1-EXP(-LN(2)/25))/(LN(2)/25)*Calculateur!DB136*Calculateur!DD136*VLOOKUP('Données projet'!$B$13,Paramètres!$A$1:$I$89,3,0)*0.475*44/12</f>
        <v>1.8516803075702672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6.548452266862939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68.016800235358346</v>
      </c>
      <c r="DU136" s="59">
        <f t="shared" si="152"/>
        <v>311.30433899203405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4.3425891558050296</v>
      </c>
      <c r="EB136" s="21">
        <f>EXP(-LN(2)/25)*EB135+(1-EXP(-LN(2)/25))/(LN(2)/25)*Calculateur!DW136*Calculateur!DY136*VLOOKUP('Données projet'!$B$14,Paramètres!$A$1:$I$89,3,0)*0.475*44/12</f>
        <v>1.7120453991305415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6.0546345549355713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439.06700232017681</v>
      </c>
      <c r="T137" s="59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487.04124684635974</v>
      </c>
      <c r="AO137" s="59">
        <f t="shared" si="144"/>
        <v>306.61893266146666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-5.9412741393316544E-14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356.31271939877655</v>
      </c>
      <c r="BJ137" s="59">
        <f t="shared" si="146"/>
        <v>499.70544707812991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0.94448829207751817</v>
      </c>
      <c r="BQ137" s="21">
        <f>EXP(-LN(2)/25)*BQ136+(1-EXP(-LN(2)/25))/(LN(2)/25)*Calculateur!BL137*Calculateur!BN137*VLOOKUP('Données projet'!$B$11,Paramètres!$A$1:$I$89,3,0)*0.475*44/12</f>
        <v>0.53300540222075687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1.477493694298275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195.80903373714432</v>
      </c>
      <c r="CE137" s="59">
        <f t="shared" si="148"/>
        <v>388.30721786668977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7.5159706708654204</v>
      </c>
      <c r="CL137" s="21">
        <f>EXP(-LN(2)/25)*CL136+(1-EXP(-LN(2)/25))/(LN(2)/25)*Calculateur!CG137*Calculateur!CI137*VLOOKUP('Données projet'!$B$12,Paramètres!$A$1:$I$89,3,0)*0.475*44/12</f>
        <v>2.8890300936628401</v>
      </c>
      <c r="CM137" s="21">
        <f>EXP(-LN(2)/2)*CM136+(1-EXP(-LN(2)/2))/(LN(2)/2)*CG137*CJ137*VLOOKUP('Données projet'!$B$12,Paramètres!$A$1:$I$89,3,0)*0.475*44/12</f>
        <v>3.9590011389947517E-14</v>
      </c>
      <c r="CN137" s="22">
        <f t="shared" si="120"/>
        <v>10.4050007645283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72.638639486636521</v>
      </c>
      <c r="CZ137" s="59">
        <f t="shared" si="150"/>
        <v>334.50638815329404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4.6046711259189674</v>
      </c>
      <c r="DG137" s="21">
        <f>EXP(-LN(2)/25)*DG136+(1-EXP(-LN(2)/25))/(LN(2)/25)*Calculateur!DB137*Calculateur!DD137*VLOOKUP('Données projet'!$B$13,Paramètres!$A$1:$I$89,3,0)*0.475*44/12</f>
        <v>1.801046012184123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6.4057171381030908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68.016800235358346</v>
      </c>
      <c r="DU137" s="59">
        <f t="shared" si="152"/>
        <v>311.30433899203405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4.2574336311775385</v>
      </c>
      <c r="EB137" s="21">
        <f>EXP(-LN(2)/25)*EB136+(1-EXP(-LN(2)/25))/(LN(2)/25)*Calculateur!DW137*Calculateur!DY137*VLOOKUP('Données projet'!$B$14,Paramètres!$A$1:$I$89,3,0)*0.475*44/12</f>
        <v>1.6652294276587623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5.9226630588363012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439.06700232017681</v>
      </c>
      <c r="T138" s="59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487.04124684635974</v>
      </c>
      <c r="AO138" s="59">
        <f t="shared" si="144"/>
        <v>306.61893266146666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-5.9412741393316544E-14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356.31271939877655</v>
      </c>
      <c r="BJ138" s="59">
        <f t="shared" si="146"/>
        <v>499.70544707812991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0.9259674527508529</v>
      </c>
      <c r="BQ138" s="21">
        <f>EXP(-LN(2)/25)*BQ137+(1-EXP(-LN(2)/25))/(LN(2)/25)*Calculateur!BL138*Calculateur!BN138*VLOOKUP('Données projet'!$B$11,Paramètres!$A$1:$I$89,3,0)*0.475*44/12</f>
        <v>0.51843034146749434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1.4443977942183472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195.80903373714432</v>
      </c>
      <c r="CE138" s="59">
        <f t="shared" si="148"/>
        <v>388.30721786668977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7.3685870702991974</v>
      </c>
      <c r="CL138" s="21">
        <f>EXP(-LN(2)/25)*CL137+(1-EXP(-LN(2)/25))/(LN(2)/25)*Calculateur!CG138*Calculateur!CI138*VLOOKUP('Données projet'!$B$12,Paramètres!$A$1:$I$89,3,0)*0.475*44/12</f>
        <v>2.81002941382414</v>
      </c>
      <c r="CM138" s="21">
        <f>EXP(-LN(2)/2)*CM137+(1-EXP(-LN(2)/2))/(LN(2)/2)*CG138*CJ138*VLOOKUP('Données projet'!$B$12,Paramètres!$A$1:$I$89,3,0)*0.475*44/12</f>
        <v>2.7994365521084544E-14</v>
      </c>
      <c r="CN138" s="22">
        <f t="shared" si="120"/>
        <v>10.178616484123365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72.638639486636521</v>
      </c>
      <c r="CZ138" s="59">
        <f t="shared" si="150"/>
        <v>334.50638815329404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4.5143763337117599</v>
      </c>
      <c r="DG138" s="21">
        <f>EXP(-LN(2)/25)*DG137+(1-EXP(-LN(2)/25))/(LN(2)/25)*Calculateur!DB138*Calculateur!DD138*VLOOKUP('Données projet'!$B$13,Paramètres!$A$1:$I$89,3,0)*0.475*44/12</f>
        <v>1.7517963142680546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6.2661726479798148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68.016800235358346</v>
      </c>
      <c r="DU138" s="59">
        <f t="shared" si="152"/>
        <v>311.30433899203405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4.1739479544482512</v>
      </c>
      <c r="EB138" s="21">
        <f>EXP(-LN(2)/25)*EB137+(1-EXP(-LN(2)/25))/(LN(2)/25)*Calculateur!DW138*Calculateur!DY138*VLOOKUP('Données projet'!$B$14,Paramètres!$A$1:$I$89,3,0)*0.475*44/12</f>
        <v>1.6196936413888237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5.7936415958370748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439.06700232017681</v>
      </c>
      <c r="T139" s="59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487.04124684635974</v>
      </c>
      <c r="AO139" s="59">
        <f t="shared" si="144"/>
        <v>306.61893266146666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-5.9412741393316544E-14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356.31271939877655</v>
      </c>
      <c r="BJ139" s="59">
        <f t="shared" si="146"/>
        <v>499.70544707812991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0.907809795786787</v>
      </c>
      <c r="BQ139" s="21">
        <f>EXP(-LN(2)/25)*BQ138+(1-EXP(-LN(2)/25))/(LN(2)/25)*Calculateur!BL139*Calculateur!BN139*VLOOKUP('Données projet'!$B$11,Paramètres!$A$1:$I$89,3,0)*0.475*44/12</f>
        <v>0.50425383651699895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1.4120636323037861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195.80903373714432</v>
      </c>
      <c r="CE139" s="59">
        <f t="shared" si="148"/>
        <v>388.30721786668977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7.224093572244958</v>
      </c>
      <c r="CL139" s="21">
        <f>EXP(-LN(2)/25)*CL138+(1-EXP(-LN(2)/25))/(LN(2)/25)*Calculateur!CG139*Calculateur!CI139*VLOOKUP('Données projet'!$B$12,Paramètres!$A$1:$I$89,3,0)*0.475*44/12</f>
        <v>2.7331890117300945</v>
      </c>
      <c r="CM139" s="21">
        <f>EXP(-LN(2)/2)*CM138+(1-EXP(-LN(2)/2))/(LN(2)/2)*CG139*CJ139*VLOOKUP('Données projet'!$B$12,Paramètres!$A$1:$I$89,3,0)*0.475*44/12</f>
        <v>1.9795005694973761E-14</v>
      </c>
      <c r="CN139" s="22">
        <f t="shared" si="120"/>
        <v>9.957282583975072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72.638639486636521</v>
      </c>
      <c r="CZ139" s="59">
        <f t="shared" si="150"/>
        <v>334.50638815329404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4.4258521673053508</v>
      </c>
      <c r="DG139" s="21">
        <f>EXP(-LN(2)/25)*DG138+(1-EXP(-LN(2)/25))/(LN(2)/25)*Calculateur!DB139*Calculateur!DD139*VLOOKUP('Données projet'!$B$13,Paramètres!$A$1:$I$89,3,0)*0.475*44/12</f>
        <v>1.7038933519314303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6.1297455192367813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68.016800235358346</v>
      </c>
      <c r="DU139" s="59">
        <f t="shared" si="152"/>
        <v>311.30433899203405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4.0920993809183903</v>
      </c>
      <c r="EB139" s="21">
        <f>EXP(-LN(2)/25)*EB138+(1-EXP(-LN(2)/25))/(LN(2)/25)*Calculateur!DW139*Calculateur!DY139*VLOOKUP('Données projet'!$B$14,Paramètres!$A$1:$I$89,3,0)*0.475*44/12</f>
        <v>1.5754030335890596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5.6675024145074495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439.06700232017681</v>
      </c>
      <c r="T140" s="59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487.04124684635974</v>
      </c>
      <c r="AO140" s="59">
        <f t="shared" si="144"/>
        <v>306.61893266146666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-5.9412741393316544E-14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356.31271939877655</v>
      </c>
      <c r="BJ140" s="59">
        <f t="shared" si="146"/>
        <v>499.70544707812991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0.8900081994007093</v>
      </c>
      <c r="BQ140" s="21">
        <f>EXP(-LN(2)/25)*BQ139+(1-EXP(-LN(2)/25))/(LN(2)/25)*Calculateur!BL140*Calculateur!BN140*VLOOKUP('Données projet'!$B$11,Paramètres!$A$1:$I$89,3,0)*0.475*44/12</f>
        <v>0.49046498883988482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1.3804731882405941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195.80903373714432</v>
      </c>
      <c r="CE140" s="59">
        <f t="shared" si="148"/>
        <v>388.30721786668977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7.0824335035552313</v>
      </c>
      <c r="CL140" s="21">
        <f>EXP(-LN(2)/25)*CL139+(1-EXP(-LN(2)/25))/(LN(2)/25)*Calculateur!CG140*Calculateur!CI140*VLOOKUP('Données projet'!$B$12,Paramètres!$A$1:$I$89,3,0)*0.475*44/12</f>
        <v>2.6584498144721715</v>
      </c>
      <c r="CM140" s="21">
        <f>EXP(-LN(2)/2)*CM139+(1-EXP(-LN(2)/2))/(LN(2)/2)*CG140*CJ140*VLOOKUP('Données projet'!$B$12,Paramètres!$A$1:$I$89,3,0)*0.475*44/12</f>
        <v>1.3997182760542275E-14</v>
      </c>
      <c r="CN140" s="22">
        <f t="shared" si="120"/>
        <v>9.7408833180274179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72.638639486636521</v>
      </c>
      <c r="CZ140" s="59">
        <f t="shared" si="150"/>
        <v>334.50638815329404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4.3390639058077607</v>
      </c>
      <c r="DG140" s="21">
        <f>EXP(-LN(2)/25)*DG139+(1-EXP(-LN(2)/25))/(LN(2)/25)*Calculateur!DB140*Calculateur!DD140*VLOOKUP('Données projet'!$B$13,Paramètres!$A$1:$I$89,3,0)*0.475*44/12</f>
        <v>1.6573002986190082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5.9963642044267687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68.016800235358346</v>
      </c>
      <c r="DU140" s="59">
        <f t="shared" si="152"/>
        <v>311.30433899203405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4.0118558079927498</v>
      </c>
      <c r="EB140" s="21">
        <f>EXP(-LN(2)/25)*EB139+(1-EXP(-LN(2)/25))/(LN(2)/25)*Calculateur!DW140*Calculateur!DY140*VLOOKUP('Données projet'!$B$14,Paramètres!$A$1:$I$89,3,0)*0.475*44/12</f>
        <v>1.532323554788722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5.5441793627814722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439.06700232017681</v>
      </c>
      <c r="T141" s="59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487.04124684635974</v>
      </c>
      <c r="AO141" s="59">
        <f t="shared" si="144"/>
        <v>306.61893266146666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-5.9412741393316544E-14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356.31271939877655</v>
      </c>
      <c r="BJ141" s="59">
        <f t="shared" si="146"/>
        <v>499.70544707812991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0.87255568146186091</v>
      </c>
      <c r="BQ141" s="21">
        <f>EXP(-LN(2)/25)*BQ140+(1-EXP(-LN(2)/25))/(LN(2)/25)*Calculateur!BL141*Calculateur!BN141*VLOOKUP('Données projet'!$B$11,Paramètres!$A$1:$I$89,3,0)*0.475*44/12</f>
        <v>0.47705319792762541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1.3496088793894863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195.80903373714432</v>
      </c>
      <c r="CE141" s="59">
        <f t="shared" si="148"/>
        <v>388.30721786668977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6.9435513024083999</v>
      </c>
      <c r="CL141" s="21">
        <f>EXP(-LN(2)/25)*CL140+(1-EXP(-LN(2)/25))/(LN(2)/25)*Calculateur!CG141*Calculateur!CI141*VLOOKUP('Données projet'!$B$12,Paramètres!$A$1:$I$89,3,0)*0.475*44/12</f>
        <v>2.5857543644936301</v>
      </c>
      <c r="CM141" s="21">
        <f>EXP(-LN(2)/2)*CM140+(1-EXP(-LN(2)/2))/(LN(2)/2)*CG141*CJ141*VLOOKUP('Données projet'!$B$12,Paramètres!$A$1:$I$89,3,0)*0.475*44/12</f>
        <v>9.8975028474868823E-15</v>
      </c>
      <c r="CN141" s="22">
        <f t="shared" si="120"/>
        <v>9.5293056669020402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72.638639486636521</v>
      </c>
      <c r="CZ141" s="59">
        <f t="shared" si="150"/>
        <v>334.50638815329404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4.2539775091825263</v>
      </c>
      <c r="DG141" s="21">
        <f>EXP(-LN(2)/25)*DG140+(1-EXP(-LN(2)/25))/(LN(2)/25)*Calculateur!DB141*Calculateur!DD141*VLOOKUP('Données projet'!$B$13,Paramètres!$A$1:$I$89,3,0)*0.475*44/12</f>
        <v>1.6119813347996366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5.8659588439821633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68.016800235358346</v>
      </c>
      <c r="DU141" s="59">
        <f t="shared" si="152"/>
        <v>311.30433899203405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3.9331857625884346</v>
      </c>
      <c r="EB141" s="21">
        <f>EXP(-LN(2)/25)*EB140+(1-EXP(-LN(2)/25))/(LN(2)/25)*Calculateur!DW141*Calculateur!DY141*VLOOKUP('Données projet'!$B$14,Paramètres!$A$1:$I$89,3,0)*0.475*44/12</f>
        <v>1.4904220866016307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5.4236078491900654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439.06700232017681</v>
      </c>
      <c r="T142" s="59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487.04124684635974</v>
      </c>
      <c r="AO142" s="59">
        <f t="shared" si="144"/>
        <v>306.61893266146666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-5.9412741393316544E-14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356.31271939877655</v>
      </c>
      <c r="BJ142" s="59">
        <f t="shared" si="146"/>
        <v>499.70544707812991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0.85544539675480846</v>
      </c>
      <c r="BQ142" s="21">
        <f>EXP(-LN(2)/25)*BQ141+(1-EXP(-LN(2)/25))/(LN(2)/25)*Calculateur!BL142*Calculateur!BN142*VLOOKUP('Données projet'!$B$11,Paramètres!$A$1:$I$89,3,0)*0.475*44/12</f>
        <v>0.46400815314315713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1.3194535498979656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195.80903373714432</v>
      </c>
      <c r="CE142" s="59">
        <f t="shared" si="148"/>
        <v>388.30721786668977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6.8073924965162798</v>
      </c>
      <c r="CL142" s="21">
        <f>EXP(-LN(2)/25)*CL141+(1-EXP(-LN(2)/25))/(LN(2)/25)*Calculateur!CG142*Calculateur!CI142*VLOOKUP('Données projet'!$B$12,Paramètres!$A$1:$I$89,3,0)*0.475*44/12</f>
        <v>2.5150467754176393</v>
      </c>
      <c r="CM142" s="21">
        <f>EXP(-LN(2)/2)*CM141+(1-EXP(-LN(2)/2))/(LN(2)/2)*CG142*CJ142*VLOOKUP('Données projet'!$B$12,Paramètres!$A$1:$I$89,3,0)*0.475*44/12</f>
        <v>6.9985913802711383E-15</v>
      </c>
      <c r="CN142" s="22">
        <f t="shared" si="120"/>
        <v>9.3224392719339271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72.638639486636521</v>
      </c>
      <c r="CZ142" s="59">
        <f t="shared" si="150"/>
        <v>334.50638815329404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4.1705596048975355</v>
      </c>
      <c r="DG142" s="21">
        <f>EXP(-LN(2)/25)*DG141+(1-EXP(-LN(2)/25))/(LN(2)/25)*Calculateur!DB142*Calculateur!DD142*VLOOKUP('Données projet'!$B$13,Paramètres!$A$1:$I$89,3,0)*0.475*44/12</f>
        <v>1.5679016204291263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5.7384612253266614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68.016800235358346</v>
      </c>
      <c r="DU142" s="59">
        <f t="shared" si="152"/>
        <v>311.30433899203405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3.8560583887905082</v>
      </c>
      <c r="EB142" s="21">
        <f>EXP(-LN(2)/25)*EB141+(1-EXP(-LN(2)/25))/(LN(2)/25)*Calculateur!DW142*Calculateur!DY142*VLOOKUP('Données projet'!$B$14,Paramètres!$A$1:$I$89,3,0)*0.475*44/12</f>
        <v>1.4496664162656179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5.3057248050561263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439.06700232017681</v>
      </c>
      <c r="T143" s="59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487.04124684635974</v>
      </c>
      <c r="AO143" s="59">
        <f t="shared" si="144"/>
        <v>306.61893266146666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-5.9412741393316544E-14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356.31271939877655</v>
      </c>
      <c r="BJ143" s="59">
        <f t="shared" si="146"/>
        <v>499.70544707812991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0.83867063429461819</v>
      </c>
      <c r="BQ143" s="21">
        <f>EXP(-LN(2)/25)*BQ142+(1-EXP(-LN(2)/25))/(LN(2)/25)*Calculateur!BL143*Calculateur!BN143*VLOOKUP('Données projet'!$B$11,Paramètres!$A$1:$I$89,3,0)*0.475*44/12</f>
        <v>0.45131982579432922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1.2899904600889474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195.80903373714432</v>
      </c>
      <c r="CE143" s="59">
        <f t="shared" si="148"/>
        <v>388.30721786668977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6.6739036817590325</v>
      </c>
      <c r="CL143" s="21">
        <f>EXP(-LN(2)/25)*CL142+(1-EXP(-LN(2)/25))/(LN(2)/25)*Calculateur!CG143*Calculateur!CI143*VLOOKUP('Données projet'!$B$12,Paramètres!$A$1:$I$89,3,0)*0.475*44/12</f>
        <v>2.4462726890832824</v>
      </c>
      <c r="CM143" s="21">
        <f>EXP(-LN(2)/2)*CM142+(1-EXP(-LN(2)/2))/(LN(2)/2)*CG143*CJ143*VLOOKUP('Données projet'!$B$12,Paramètres!$A$1:$I$89,3,0)*0.475*44/12</f>
        <v>4.9487514237434419E-15</v>
      </c>
      <c r="CN143" s="22">
        <f t="shared" si="120"/>
        <v>9.1201763708423211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72.638639486636521</v>
      </c>
      <c r="CZ143" s="59">
        <f t="shared" si="150"/>
        <v>334.50638815329404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4.0887774748356751</v>
      </c>
      <c r="DG143" s="21">
        <f>EXP(-LN(2)/25)*DG142+(1-EXP(-LN(2)/25))/(LN(2)/25)*Calculateur!DB143*Calculateur!DD143*VLOOKUP('Données projet'!$B$13,Paramètres!$A$1:$I$89,3,0)*0.475*44/12</f>
        <v>1.525027268166129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5.6138047430018041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68.016800235358346</v>
      </c>
      <c r="DU143" s="59">
        <f t="shared" si="152"/>
        <v>311.30433899203405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3.7804434357497065</v>
      </c>
      <c r="EB143" s="21">
        <f>EXP(-LN(2)/25)*EB142+(1-EXP(-LN(2)/25))/(LN(2)/25)*Calculateur!DW143*Calculateur!DY143*VLOOKUP('Données projet'!$B$14,Paramètres!$A$1:$I$89,3,0)*0.475*44/12</f>
        <v>1.4100252118781911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5.1904686476278972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439.06700232017681</v>
      </c>
      <c r="T144" s="59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487.04124684635974</v>
      </c>
      <c r="AO144" s="59">
        <f t="shared" si="144"/>
        <v>306.61893266146666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-5.9412741393316544E-14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356.31271939877655</v>
      </c>
      <c r="BJ144" s="59">
        <f t="shared" si="146"/>
        <v>499.70544707812991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0.82222481469467745</v>
      </c>
      <c r="BQ144" s="21">
        <f>EXP(-LN(2)/25)*BQ143+(1-EXP(-LN(2)/25))/(LN(2)/25)*Calculateur!BL144*Calculateur!BN144*VLOOKUP('Données projet'!$B$11,Paramètres!$A$1:$I$89,3,0)*0.475*44/12</f>
        <v>0.43897846142410518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1.2612032761187826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195.80903373714432</v>
      </c>
      <c r="CE144" s="59">
        <f t="shared" si="148"/>
        <v>388.30721786668977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6.5430325012390371</v>
      </c>
      <c r="CL144" s="21">
        <f>EXP(-LN(2)/25)*CL143+(1-EXP(-LN(2)/25))/(LN(2)/25)*Calculateur!CG144*Calculateur!CI144*VLOOKUP('Données projet'!$B$12,Paramètres!$A$1:$I$89,3,0)*0.475*44/12</f>
        <v>2.3793792337564104</v>
      </c>
      <c r="CM144" s="21">
        <f>EXP(-LN(2)/2)*CM143+(1-EXP(-LN(2)/2))/(LN(2)/2)*CG144*CJ144*VLOOKUP('Données projet'!$B$12,Paramètres!$A$1:$I$89,3,0)*0.475*44/12</f>
        <v>3.49929569013557E-15</v>
      </c>
      <c r="CN144" s="22">
        <f t="shared" si="120"/>
        <v>8.9224117349954515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72.638639486636521</v>
      </c>
      <c r="CZ144" s="59">
        <f t="shared" si="150"/>
        <v>334.50638815329404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4.008599042462154</v>
      </c>
      <c r="DG144" s="21">
        <f>EXP(-LN(2)/25)*DG143+(1-EXP(-LN(2)/25))/(LN(2)/25)*Calculateur!DB144*Calculateur!DD144*VLOOKUP('Données projet'!$B$13,Paramètres!$A$1:$I$89,3,0)*0.475*44/12</f>
        <v>1.4833253173204277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5.4919243597825815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68.016800235358346</v>
      </c>
      <c r="DU144" s="59">
        <f t="shared" si="152"/>
        <v>311.30433899203405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3.7063112458174676</v>
      </c>
      <c r="EB144" s="21">
        <f>EXP(-LN(2)/25)*EB143+(1-EXP(-LN(2)/25))/(LN(2)/25)*Calculateur!DW144*Calculateur!DY144*VLOOKUP('Données projet'!$B$14,Paramètres!$A$1:$I$89,3,0)*0.475*44/12</f>
        <v>1.3714679983093787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5.0777792441268463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439.06700232017681</v>
      </c>
      <c r="T145" s="59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487.04124684635974</v>
      </c>
      <c r="AO145" s="59">
        <f t="shared" si="144"/>
        <v>306.61893266146666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-5.9412741393316544E-14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356.31271939877655</v>
      </c>
      <c r="BJ145" s="59">
        <f t="shared" si="146"/>
        <v>499.70544707812991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0.80610148758613198</v>
      </c>
      <c r="BQ145" s="21">
        <f>EXP(-LN(2)/25)*BQ144+(1-EXP(-LN(2)/25))/(LN(2)/25)*Calculateur!BL145*Calculateur!BN145*VLOOKUP('Données projet'!$B$11,Paramètres!$A$1:$I$89,3,0)*0.475*44/12</f>
        <v>0.42697457231158903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1.2330760598977211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195.80903373714432</v>
      </c>
      <c r="CE145" s="59">
        <f t="shared" si="148"/>
        <v>388.30721786668977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6.4147276247455007</v>
      </c>
      <c r="CL145" s="21">
        <f>EXP(-LN(2)/25)*CL144+(1-EXP(-LN(2)/25))/(LN(2)/25)*Calculateur!CG145*Calculateur!CI145*VLOOKUP('Données projet'!$B$12,Paramètres!$A$1:$I$89,3,0)*0.475*44/12</f>
        <v>2.3143149834832255</v>
      </c>
      <c r="CM145" s="21">
        <f>EXP(-LN(2)/2)*CM144+(1-EXP(-LN(2)/2))/(LN(2)/2)*CG145*CJ145*VLOOKUP('Données projet'!$B$12,Paramètres!$A$1:$I$89,3,0)*0.475*44/12</f>
        <v>2.4743757118717214E-15</v>
      </c>
      <c r="CN145" s="22">
        <f t="shared" si="120"/>
        <v>8.7290426082287276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72.638639486636521</v>
      </c>
      <c r="CZ145" s="59">
        <f t="shared" si="150"/>
        <v>334.50638815329404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3.9299928602434631</v>
      </c>
      <c r="DG145" s="21">
        <f>EXP(-LN(2)/25)*DG144+(1-EXP(-LN(2)/25))/(LN(2)/25)*Calculateur!DB145*Calculateur!DD145*VLOOKUP('Données projet'!$B$13,Paramètres!$A$1:$I$89,3,0)*0.475*44/12</f>
        <v>1.4427637085136125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5.372756568757076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68.016800235358346</v>
      </c>
      <c r="DU145" s="59">
        <f t="shared" si="152"/>
        <v>311.30433899203405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3.6336327429136288</v>
      </c>
      <c r="EB145" s="21">
        <f>EXP(-LN(2)/25)*EB144+(1-EXP(-LN(2)/25))/(LN(2)/25)*Calculateur!DW145*Calculateur!DY145*VLOOKUP('Données projet'!$B$14,Paramètres!$A$1:$I$89,3,0)*0.475*44/12</f>
        <v>1.3339651337732412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4.9675978766868703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439.06700232017681</v>
      </c>
      <c r="T146" s="59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487.04124684635974</v>
      </c>
      <c r="AO146" s="59">
        <f t="shared" si="144"/>
        <v>306.61893266146666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-5.9412741393316544E-14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356.31271939877655</v>
      </c>
      <c r="BJ146" s="59">
        <f t="shared" si="146"/>
        <v>499.70544707812991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0.79029432908792663</v>
      </c>
      <c r="BQ146" s="21">
        <f>EXP(-LN(2)/25)*BQ145+(1-EXP(-LN(2)/25))/(LN(2)/25)*Calculateur!BL146*Calculateur!BN146*VLOOKUP('Données projet'!$B$11,Paramètres!$A$1:$I$89,3,0)*0.475*44/12</f>
        <v>0.41529893017811176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1.2055932592660383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195.80903373714432</v>
      </c>
      <c r="CE146" s="59">
        <f t="shared" si="148"/>
        <v>388.30721786668977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6.2889387286217557</v>
      </c>
      <c r="CL146" s="21">
        <f>EXP(-LN(2)/25)*CL145+(1-EXP(-LN(2)/25))/(LN(2)/25)*Calculateur!CG146*Calculateur!CI146*VLOOKUP('Données projet'!$B$12,Paramètres!$A$1:$I$89,3,0)*0.475*44/12</f>
        <v>2.2510299185553411</v>
      </c>
      <c r="CM146" s="21">
        <f>EXP(-LN(2)/2)*CM145+(1-EXP(-LN(2)/2))/(LN(2)/2)*CG146*CJ146*VLOOKUP('Données projet'!$B$12,Paramètres!$A$1:$I$89,3,0)*0.475*44/12</f>
        <v>1.7496478450677852E-15</v>
      </c>
      <c r="CN146" s="22">
        <f t="shared" si="120"/>
        <v>8.5399686471770995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72.638639486636521</v>
      </c>
      <c r="CZ146" s="59">
        <f t="shared" si="150"/>
        <v>334.50638815329404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3.8529280973130438</v>
      </c>
      <c r="DG146" s="21">
        <f>EXP(-LN(2)/25)*DG145+(1-EXP(-LN(2)/25))/(LN(2)/25)*Calculateur!DB146*Calculateur!DD146*VLOOKUP('Données projet'!$B$13,Paramètres!$A$1:$I$89,3,0)*0.475*44/12</f>
        <v>1.4033112590326617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5.2562393563457057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68.016800235358346</v>
      </c>
      <c r="DU146" s="59">
        <f t="shared" si="152"/>
        <v>311.30433899203405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3.5623794211222246</v>
      </c>
      <c r="EB146" s="21">
        <f>EXP(-LN(2)/25)*EB145+(1-EXP(-LN(2)/25))/(LN(2)/25)*Calculateur!DW146*Calculateur!DY146*VLOOKUP('Données projet'!$B$14,Paramètres!$A$1:$I$89,3,0)*0.475*44/12</f>
        <v>1.2974877870400343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4.8598672081622585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439.06700232017681</v>
      </c>
      <c r="T147" s="59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487.04124684635974</v>
      </c>
      <c r="AO147" s="59">
        <f t="shared" si="144"/>
        <v>306.61893266146666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-5.9412741393316544E-14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356.31271939877655</v>
      </c>
      <c r="BJ147" s="59">
        <f t="shared" si="146"/>
        <v>499.70544707812991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0.77479713932645644</v>
      </c>
      <c r="BQ147" s="21">
        <f>EXP(-LN(2)/25)*BQ146+(1-EXP(-LN(2)/25))/(LN(2)/25)*Calculateur!BL147*Calculateur!BN147*VLOOKUP('Données projet'!$B$11,Paramètres!$A$1:$I$89,3,0)*0.475*44/12</f>
        <v>0.40394255909276972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1.1787396984192262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195.80903373714432</v>
      </c>
      <c r="CE147" s="59">
        <f t="shared" si="148"/>
        <v>388.30721786668977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6.1656164760273464</v>
      </c>
      <c r="CL147" s="21">
        <f>EXP(-LN(2)/25)*CL146+(1-EXP(-LN(2)/25))/(LN(2)/25)*Calculateur!CG147*Calculateur!CI147*VLOOKUP('Données projet'!$B$12,Paramètres!$A$1:$I$89,3,0)*0.475*44/12</f>
        <v>2.1894753870559267</v>
      </c>
      <c r="CM147" s="21">
        <f>EXP(-LN(2)/2)*CM146+(1-EXP(-LN(2)/2))/(LN(2)/2)*CG147*CJ147*VLOOKUP('Données projet'!$B$12,Paramètres!$A$1:$I$89,3,0)*0.475*44/12</f>
        <v>1.2371878559358609E-15</v>
      </c>
      <c r="CN147" s="22">
        <f t="shared" si="120"/>
        <v>8.3550918630832758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72.638639486636521</v>
      </c>
      <c r="CZ147" s="59">
        <f t="shared" si="150"/>
        <v>334.50638815329404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3.777374527378826</v>
      </c>
      <c r="DG147" s="21">
        <f>EXP(-LN(2)/25)*DG146+(1-EXP(-LN(2)/25))/(LN(2)/25)*Calculateur!DB147*Calculateur!DD147*VLOOKUP('Données projet'!$B$13,Paramètres!$A$1:$I$89,3,0)*0.475*44/12</f>
        <v>1.3649376388574819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5.1423121662363078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68.016800235358346</v>
      </c>
      <c r="DU147" s="59">
        <f t="shared" si="152"/>
        <v>311.30433899203405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3.4925233335109147</v>
      </c>
      <c r="EB147" s="21">
        <f>EXP(-LN(2)/25)*EB146+(1-EXP(-LN(2)/25))/(LN(2)/25)*Calculateur!DW147*Calculateur!DY147*VLOOKUP('Données projet'!$B$14,Paramètres!$A$1:$I$89,3,0)*0.475*44/12</f>
        <v>1.2620079152715074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4.7545312487824223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439.06700232017681</v>
      </c>
      <c r="T148" s="59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487.04124684635974</v>
      </c>
      <c r="AO148" s="59">
        <f t="shared" si="144"/>
        <v>306.61893266146666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-5.9412741393316544E-14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356.31271939877655</v>
      </c>
      <c r="BJ148" s="59">
        <f t="shared" si="146"/>
        <v>499.70544707812991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0.75960384000385628</v>
      </c>
      <c r="BQ148" s="21">
        <f>EXP(-LN(2)/25)*BQ147+(1-EXP(-LN(2)/25))/(LN(2)/25)*Calculateur!BL148*Calculateur!BN148*VLOOKUP('Données projet'!$B$11,Paramètres!$A$1:$I$89,3,0)*0.475*44/12</f>
        <v>0.39289672857196195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1.1525005685758183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195.80903373714432</v>
      </c>
      <c r="CE148" s="59">
        <f t="shared" si="148"/>
        <v>388.30721786668977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6.0447124975871667</v>
      </c>
      <c r="CL148" s="21">
        <f>EXP(-LN(2)/25)*CL147+(1-EXP(-LN(2)/25))/(LN(2)/25)*Calculateur!CG148*Calculateur!CI148*VLOOKUP('Données projet'!$B$12,Paramètres!$A$1:$I$89,3,0)*0.475*44/12</f>
        <v>2.1296040674573757</v>
      </c>
      <c r="CM148" s="21">
        <f>EXP(-LN(2)/2)*CM147+(1-EXP(-LN(2)/2))/(LN(2)/2)*CG148*CJ148*VLOOKUP('Données projet'!$B$12,Paramètres!$A$1:$I$89,3,0)*0.475*44/12</f>
        <v>8.7482392253389269E-16</v>
      </c>
      <c r="CN148" s="22">
        <f t="shared" si="120"/>
        <v>8.174316565044542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72.638639486636521</v>
      </c>
      <c r="CZ148" s="59">
        <f t="shared" si="150"/>
        <v>334.50638815329404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3.7033025168678906</v>
      </c>
      <c r="DG148" s="21">
        <f>EXP(-LN(2)/25)*DG147+(1-EXP(-LN(2)/25))/(LN(2)/25)*Calculateur!DB148*Calculateur!DD148*VLOOKUP('Données projet'!$B$13,Paramètres!$A$1:$I$89,3,0)*0.475*44/12</f>
        <v>1.3276133473439733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5.0309158642118641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68.016800235358346</v>
      </c>
      <c r="DU148" s="59">
        <f t="shared" si="152"/>
        <v>311.30433899203405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3.4240370811696565</v>
      </c>
      <c r="EB148" s="21">
        <f>EXP(-LN(2)/25)*EB147+(1-EXP(-LN(2)/25))/(LN(2)/25)*Calculateur!DW148*Calculateur!DY148*VLOOKUP('Données projet'!$B$14,Paramètres!$A$1:$I$89,3,0)*0.475*44/12</f>
        <v>1.227498242462296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4.6515353236319523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439.06700232017681</v>
      </c>
      <c r="T149" s="59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487.04124684635974</v>
      </c>
      <c r="AO149" s="59">
        <f t="shared" si="144"/>
        <v>306.61893266146666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-5.9412741393316544E-14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356.31271939877655</v>
      </c>
      <c r="BJ149" s="59">
        <f t="shared" si="146"/>
        <v>499.70544707812991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0.74470847201397472</v>
      </c>
      <c r="BQ149" s="21">
        <f>EXP(-LN(2)/25)*BQ148+(1-EXP(-LN(2)/25))/(LN(2)/25)*Calculateur!BL149*Calculateur!BN149*VLOOKUP('Données projet'!$B$11,Paramètres!$A$1:$I$89,3,0)*0.475*44/12</f>
        <v>0.38215294686762069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1.1268614188815955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195.80903373714432</v>
      </c>
      <c r="CE149" s="59">
        <f t="shared" si="148"/>
        <v>388.30721786668977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5.9261793724200533</v>
      </c>
      <c r="CL149" s="21">
        <f>EXP(-LN(2)/25)*CL148+(1-EXP(-LN(2)/25))/(LN(2)/25)*Calculateur!CG149*Calculateur!CI149*VLOOKUP('Données projet'!$B$12,Paramètres!$A$1:$I$89,3,0)*0.475*44/12</f>
        <v>2.0713699322417432</v>
      </c>
      <c r="CM149" s="21">
        <f>EXP(-LN(2)/2)*CM148+(1-EXP(-LN(2)/2))/(LN(2)/2)*CG149*CJ149*VLOOKUP('Données projet'!$B$12,Paramètres!$A$1:$I$89,3,0)*0.475*44/12</f>
        <v>6.1859392796793054E-16</v>
      </c>
      <c r="CN149" s="22">
        <f t="shared" si="120"/>
        <v>7.9975493046617974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72.638639486636521</v>
      </c>
      <c r="CZ149" s="59">
        <f t="shared" si="150"/>
        <v>334.50638815329404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3.6306830133036092</v>
      </c>
      <c r="DG149" s="21">
        <f>EXP(-LN(2)/25)*DG148+(1-EXP(-LN(2)/25))/(LN(2)/25)*Calculateur!DB149*Calculateur!DD149*VLOOKUP('Données projet'!$B$13,Paramètres!$A$1:$I$89,3,0)*0.475*44/12</f>
        <v>1.2913096905447008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4.9219927038483098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68.016800235358346</v>
      </c>
      <c r="DU149" s="59">
        <f t="shared" si="152"/>
        <v>311.30433899203405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3.3568938024643211</v>
      </c>
      <c r="EB149" s="21">
        <f>EXP(-LN(2)/25)*EB148+(1-EXP(-LN(2)/25))/(LN(2)/25)*Calculateur!DW149*Calculateur!DY149*VLOOKUP('Données projet'!$B$14,Paramètres!$A$1:$I$89,3,0)*0.475*44/12</f>
        <v>1.1939322384708375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4.5508260409351582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439.06700232017681</v>
      </c>
      <c r="T150" s="59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487.04124684635974</v>
      </c>
      <c r="AO150" s="59">
        <f t="shared" si="144"/>
        <v>306.61893266146666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-5.9412741393316544E-14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356.31271939877655</v>
      </c>
      <c r="BJ150" s="59">
        <f t="shared" si="146"/>
        <v>499.70544707812991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0.73010519310509736</v>
      </c>
      <c r="BQ150" s="21">
        <f>EXP(-LN(2)/25)*BQ149+(1-EXP(-LN(2)/25))/(LN(2)/25)*Calculateur!BL150*Calculateur!BN150*VLOOKUP('Données projet'!$B$11,Paramètres!$A$1:$I$89,3,0)*0.475*44/12</f>
        <v>0.37170295443897555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1.1018081475440729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195.80903373714432</v>
      </c>
      <c r="CE150" s="59">
        <f t="shared" si="148"/>
        <v>388.30721786668977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5.8099706095394001</v>
      </c>
      <c r="CL150" s="21">
        <f>EXP(-LN(2)/25)*CL149+(1-EXP(-LN(2)/25))/(LN(2)/25)*Calculateur!CG150*Calculateur!CI150*VLOOKUP('Données projet'!$B$12,Paramètres!$A$1:$I$89,3,0)*0.475*44/12</f>
        <v>2.014728212515982</v>
      </c>
      <c r="CM150" s="21">
        <f>EXP(-LN(2)/2)*CM149+(1-EXP(-LN(2)/2))/(LN(2)/2)*CG150*CJ150*VLOOKUP('Données projet'!$B$12,Paramètres!$A$1:$I$89,3,0)*0.475*44/12</f>
        <v>4.3741196126694644E-16</v>
      </c>
      <c r="CN150" s="22">
        <f t="shared" si="120"/>
        <v>7.8246988220553817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72.638639486636521</v>
      </c>
      <c r="CZ150" s="59">
        <f t="shared" si="150"/>
        <v>334.50638815329404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3.5594875339106999</v>
      </c>
      <c r="DG150" s="21">
        <f>EXP(-LN(2)/25)*DG149+(1-EXP(-LN(2)/25))/(LN(2)/25)*Calculateur!DB150*Calculateur!DD150*VLOOKUP('Données projet'!$B$13,Paramètres!$A$1:$I$89,3,0)*0.475*44/12</f>
        <v>1.2559987591497306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4.815486293060431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68.016800235358346</v>
      </c>
      <c r="DU150" s="59">
        <f t="shared" si="152"/>
        <v>311.30433899203405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3.291067162501041</v>
      </c>
      <c r="EB150" s="21">
        <f>EXP(-LN(2)/25)*EB149+(1-EXP(-LN(2)/25))/(LN(2)/25)*Calculateur!DW150*Calculateur!DY150*VLOOKUP('Données projet'!$B$14,Paramètres!$A$1:$I$89,3,0)*0.475*44/12</f>
        <v>1.1612840986236848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4.4523512611247256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439.06700232017681</v>
      </c>
      <c r="T151" s="59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487.04124684635974</v>
      </c>
      <c r="AO151" s="59">
        <f t="shared" si="144"/>
        <v>306.61893266146666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-5.9412741393316544E-14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356.31271939877655</v>
      </c>
      <c r="BJ151" s="59">
        <f t="shared" si="146"/>
        <v>499.70544707812991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0.71578827558850244</v>
      </c>
      <c r="BQ151" s="21">
        <f>EXP(-LN(2)/25)*BQ150+(1-EXP(-LN(2)/25))/(LN(2)/25)*Calculateur!BL151*Calculateur!BN151*VLOOKUP('Données projet'!$B$11,Paramètres!$A$1:$I$89,3,0)*0.475*44/12</f>
        <v>0.3615387176028329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1.0773269931913354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195.80903373714432</v>
      </c>
      <c r="CE151" s="59">
        <f t="shared" si="148"/>
        <v>388.30721786668977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5.6960406296184898</v>
      </c>
      <c r="CL151" s="21">
        <f>EXP(-LN(2)/25)*CL150+(1-EXP(-LN(2)/25))/(LN(2)/25)*Calculateur!CG151*Calculateur!CI151*VLOOKUP('Données projet'!$B$12,Paramètres!$A$1:$I$89,3,0)*0.475*44/12</f>
        <v>1.9596353635947805</v>
      </c>
      <c r="CM151" s="21">
        <f>EXP(-LN(2)/2)*CM150+(1-EXP(-LN(2)/2))/(LN(2)/2)*CG151*CJ151*VLOOKUP('Données projet'!$B$12,Paramètres!$A$1:$I$89,3,0)*0.475*44/12</f>
        <v>3.0929696398396532E-16</v>
      </c>
      <c r="CN151" s="22">
        <f t="shared" si="120"/>
        <v>7.6556759932132703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72.638639486636521</v>
      </c>
      <c r="CZ151" s="59">
        <f t="shared" si="150"/>
        <v>334.50638815329404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3.4896881544437313</v>
      </c>
      <c r="DG151" s="21">
        <f>EXP(-LN(2)/25)*DG150+(1-EXP(-LN(2)/25))/(LN(2)/25)*Calculateur!DB151*Calculateur!DD151*VLOOKUP('Données projet'!$B$13,Paramètres!$A$1:$I$89,3,0)*0.475*44/12</f>
        <v>1.221653407030677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4.7113415614744083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68.016800235358346</v>
      </c>
      <c r="DU151" s="59">
        <f t="shared" si="152"/>
        <v>311.30433899203405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3.2265313427971551</v>
      </c>
      <c r="EB151" s="21">
        <f>EXP(-LN(2)/25)*EB150+(1-EXP(-LN(2)/25))/(LN(2)/25)*Calculateur!DW151*Calculateur!DY151*VLOOKUP('Données projet'!$B$14,Paramètres!$A$1:$I$89,3,0)*0.475*44/12</f>
        <v>1.1295287238775436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4.3560600666746989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439.06700232017681</v>
      </c>
      <c r="T152" s="59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487.04124684635974</v>
      </c>
      <c r="AO152" s="59">
        <f t="shared" si="144"/>
        <v>306.61893266146666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-5.9412741393316544E-14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356.31271939877655</v>
      </c>
      <c r="BJ152" s="59">
        <f t="shared" si="146"/>
        <v>499.70544707812991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0.70175210409195055</v>
      </c>
      <c r="BQ152" s="21">
        <f>EXP(-LN(2)/25)*BQ151+(1-EXP(-LN(2)/25))/(LN(2)/25)*Calculateur!BL152*Calculateur!BN152*VLOOKUP('Données projet'!$B$11,Paramètres!$A$1:$I$89,3,0)*0.475*44/12</f>
        <v>0.35165242235748861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1.0534045264494392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195.80903373714432</v>
      </c>
      <c r="CE152" s="59">
        <f t="shared" si="148"/>
        <v>388.30721786668977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5.584344747113402</v>
      </c>
      <c r="CL152" s="21">
        <f>EXP(-LN(2)/25)*CL151+(1-EXP(-LN(2)/25))/(LN(2)/25)*Calculateur!CG152*Calculateur!CI152*VLOOKUP('Données projet'!$B$12,Paramètres!$A$1:$I$89,3,0)*0.475*44/12</f>
        <v>1.9060490315245362</v>
      </c>
      <c r="CM152" s="21">
        <f>EXP(-LN(2)/2)*CM151+(1-EXP(-LN(2)/2))/(LN(2)/2)*CG152*CJ152*VLOOKUP('Données projet'!$B$12,Paramètres!$A$1:$I$89,3,0)*0.475*44/12</f>
        <v>2.1870598063347325E-16</v>
      </c>
      <c r="CN152" s="22">
        <f t="shared" si="120"/>
        <v>7.4903937786379382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72.638639486636521</v>
      </c>
      <c r="CZ152" s="59">
        <f t="shared" si="150"/>
        <v>334.50638815329404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3.4212574982346919</v>
      </c>
      <c r="DG152" s="21">
        <f>EXP(-LN(2)/25)*DG151+(1-EXP(-LN(2)/25))/(LN(2)/25)*Calculateur!DB152*Calculateur!DD152*VLOOKUP('Données projet'!$B$13,Paramètres!$A$1:$I$89,3,0)*0.475*44/12</f>
        <v>1.1882472303714626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4.6095047286061543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68.016800235358346</v>
      </c>
      <c r="DU152" s="59">
        <f t="shared" si="152"/>
        <v>311.30433899203405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3.1632610311546991</v>
      </c>
      <c r="EB152" s="21">
        <f>EXP(-LN(2)/25)*EB151+(1-EXP(-LN(2)/25))/(LN(2)/25)*Calculateur!DW152*Calculateur!DY152*VLOOKUP('Données projet'!$B$14,Paramètres!$A$1:$I$89,3,0)*0.475*44/12</f>
        <v>1.0986417015237782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4.2619027326784771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439.06700232017681</v>
      </c>
      <c r="T153" s="59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487.04124684635974</v>
      </c>
      <c r="AO153" s="59">
        <f t="shared" si="144"/>
        <v>306.61893266146666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-5.9412741393316544E-14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356.31271939877655</v>
      </c>
      <c r="BJ153" s="59">
        <f t="shared" si="146"/>
        <v>499.70544707812991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0.68799117335722682</v>
      </c>
      <c r="BQ153" s="21">
        <f>EXP(-LN(2)/25)*BQ152+(1-EXP(-LN(2)/25))/(LN(2)/25)*Calculateur!BL153*Calculateur!BN153*VLOOKUP('Données projet'!$B$11,Paramètres!$A$1:$I$89,3,0)*0.475*44/12</f>
        <v>0.34203646837552593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1.0300276417327527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195.80903373714432</v>
      </c>
      <c r="CE153" s="59">
        <f t="shared" si="148"/>
        <v>388.30721786668977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5.4748391527364779</v>
      </c>
      <c r="CL153" s="21">
        <f>EXP(-LN(2)/25)*CL152+(1-EXP(-LN(2)/25))/(LN(2)/25)*Calculateur!CG153*Calculateur!CI153*VLOOKUP('Données projet'!$B$12,Paramètres!$A$1:$I$89,3,0)*0.475*44/12</f>
        <v>1.8539280205227355</v>
      </c>
      <c r="CM153" s="21">
        <f>EXP(-LN(2)/2)*CM152+(1-EXP(-LN(2)/2))/(LN(2)/2)*CG153*CJ153*VLOOKUP('Données projet'!$B$12,Paramètres!$A$1:$I$89,3,0)*0.475*44/12</f>
        <v>1.5464848199198268E-16</v>
      </c>
      <c r="CN153" s="22">
        <f t="shared" si="120"/>
        <v>7.3287671732592132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72.638639486636521</v>
      </c>
      <c r="CZ153" s="59">
        <f t="shared" si="150"/>
        <v>334.50638815329404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3.3541687254553332</v>
      </c>
      <c r="DG153" s="21">
        <f>EXP(-LN(2)/25)*DG152+(1-EXP(-LN(2)/25))/(LN(2)/25)*Calculateur!DB153*Calculateur!DD153*VLOOKUP('Données projet'!$B$13,Paramètres!$A$1:$I$89,3,0)*0.475*44/12</f>
        <v>1.1557545473697488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4.5099232728250822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68.016800235358346</v>
      </c>
      <c r="DU153" s="59">
        <f t="shared" si="152"/>
        <v>311.30433899203405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3.1012314117324724</v>
      </c>
      <c r="EB153" s="21">
        <f>EXP(-LN(2)/25)*EB152+(1-EXP(-LN(2)/25))/(LN(2)/25)*Calculateur!DW153*Calculateur!DY153*VLOOKUP('Données projet'!$B$14,Paramètres!$A$1:$I$89,3,0)*0.475*44/12</f>
        <v>1.0685992864205542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4.1698306981530262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439.06700232017681</v>
      </c>
      <c r="T154" s="59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487.04124684635974</v>
      </c>
      <c r="AO154" s="59">
        <f t="shared" si="144"/>
        <v>306.61893266146666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-5.9412741393316544E-14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356.31271939877655</v>
      </c>
      <c r="BJ154" s="59">
        <f t="shared" si="146"/>
        <v>499.70544707812991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0.67450008608087197</v>
      </c>
      <c r="BQ154" s="21">
        <f>EXP(-LN(2)/25)*BQ153+(1-EXP(-LN(2)/25))/(LN(2)/25)*Calculateur!BL154*Calculateur!BN154*VLOOKUP('Données projet'!$B$11,Paramètres!$A$1:$I$89,3,0)*0.475*44/12</f>
        <v>0.33268346316088104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1.0071835492417529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195.80903373714432</v>
      </c>
      <c r="CE154" s="59">
        <f t="shared" si="148"/>
        <v>388.30721786668977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5.3674808962734684</v>
      </c>
      <c r="CL154" s="21">
        <f>EXP(-LN(2)/25)*CL153+(1-EXP(-LN(2)/25))/(LN(2)/25)*Calculateur!CG154*Calculateur!CI154*VLOOKUP('Données projet'!$B$12,Paramètres!$A$1:$I$89,3,0)*0.475*44/12</f>
        <v>1.8032322613077039</v>
      </c>
      <c r="CM154" s="21">
        <f>EXP(-LN(2)/2)*CM153+(1-EXP(-LN(2)/2))/(LN(2)/2)*CG154*CJ154*VLOOKUP('Données projet'!$B$12,Paramètres!$A$1:$I$89,3,0)*0.475*44/12</f>
        <v>1.0935299031673665E-16</v>
      </c>
      <c r="CN154" s="22">
        <f t="shared" ref="CN154:CN203" si="172">SUM(CK154:CM154)</f>
        <v>7.1707131575811722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72.638639486636521</v>
      </c>
      <c r="CZ154" s="59">
        <f t="shared" si="150"/>
        <v>334.50638815329404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3.2883955225900667</v>
      </c>
      <c r="DG154" s="21">
        <f>EXP(-LN(2)/25)*DG153+(1-EXP(-LN(2)/25))/(LN(2)/25)*Calculateur!DB154*Calculateur!DD154*VLOOKUP('Données projet'!$B$13,Paramètres!$A$1:$I$89,3,0)*0.475*44/12</f>
        <v>1.1241503784934328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4.4125459010834991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68.016800235358346</v>
      </c>
      <c r="DU154" s="59">
        <f t="shared" si="152"/>
        <v>311.30433899203405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3.0404181553127834</v>
      </c>
      <c r="EB154" s="21">
        <f>EXP(-LN(2)/25)*EB153+(1-EXP(-LN(2)/25))/(LN(2)/25)*Calculateur!DW154*Calculateur!DY154*VLOOKUP('Données projet'!$B$14,Paramètres!$A$1:$I$89,3,0)*0.475*44/12</f>
        <v>1.0393783827381899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4.0797965380509735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439.06700232017681</v>
      </c>
      <c r="T155" s="59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487.04124684635974</v>
      </c>
      <c r="AO155" s="59">
        <f t="shared" si="144"/>
        <v>306.61893266146666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-5.9412741393316544E-14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356.31271939877655</v>
      </c>
      <c r="BJ155" s="59">
        <f t="shared" si="146"/>
        <v>499.70544707812991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0.6612735507972558</v>
      </c>
      <c r="BQ155" s="21">
        <f>EXP(-LN(2)/25)*BQ154+(1-EXP(-LN(2)/25))/(LN(2)/25)*Calculateur!BL155*Calculateur!BN155*VLOOKUP('Données projet'!$B$11,Paramètres!$A$1:$I$89,3,0)*0.475*44/12</f>
        <v>0.3235862163656838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0.98485976716293955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195.80903373714432</v>
      </c>
      <c r="CE155" s="59">
        <f t="shared" si="148"/>
        <v>388.30721786668977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5.2622278697376279</v>
      </c>
      <c r="CL155" s="21">
        <f>EXP(-LN(2)/25)*CL154+(1-EXP(-LN(2)/25))/(LN(2)/25)*Calculateur!CG155*Calculateur!CI155*VLOOKUP('Données projet'!$B$12,Paramètres!$A$1:$I$89,3,0)*0.475*44/12</f>
        <v>1.7539227802943815</v>
      </c>
      <c r="CM155" s="21">
        <f>EXP(-LN(2)/2)*CM154+(1-EXP(-LN(2)/2))/(LN(2)/2)*CG155*CJ155*VLOOKUP('Données projet'!$B$12,Paramètres!$A$1:$I$89,3,0)*0.475*44/12</f>
        <v>7.7324240995991354E-17</v>
      </c>
      <c r="CN155" s="22">
        <f t="shared" si="172"/>
        <v>7.0161506500320092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72.638639486636521</v>
      </c>
      <c r="CZ155" s="59">
        <f t="shared" si="150"/>
        <v>334.50638815329404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3.2239120921152957</v>
      </c>
      <c r="DG155" s="21">
        <f>EXP(-LN(2)/25)*DG154+(1-EXP(-LN(2)/25))/(LN(2)/25)*Calculateur!DB155*Calculateur!DD155*VLOOKUP('Données projet'!$B$13,Paramètres!$A$1:$I$89,3,0)*0.475*44/12</f>
        <v>1.0934104272770309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4.3173225193923264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68.016800235358346</v>
      </c>
      <c r="DU155" s="59">
        <f t="shared" si="152"/>
        <v>311.30433899203405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2.9807974097590604</v>
      </c>
      <c r="EB155" s="21">
        <f>EXP(-LN(2)/25)*EB154+(1-EXP(-LN(2)/25))/(LN(2)/25)*Calculateur!DW155*Calculateur!DY155*VLOOKUP('Données projet'!$B$14,Paramètres!$A$1:$I$89,3,0)*0.475*44/12</f>
        <v>1.0109565262036806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3.9917539359627412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439.06700232017681</v>
      </c>
      <c r="T156" s="59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487.04124684635974</v>
      </c>
      <c r="AO156" s="59">
        <f t="shared" si="144"/>
        <v>306.61893266146666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-5.9412741393316544E-14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356.31271939877655</v>
      </c>
      <c r="BJ156" s="59">
        <f t="shared" si="146"/>
        <v>499.70544707812991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0.64830637980316141</v>
      </c>
      <c r="BQ156" s="21">
        <f>EXP(-LN(2)/25)*BQ155+(1-EXP(-LN(2)/25))/(LN(2)/25)*Calculateur!BL156*Calculateur!BN156*VLOOKUP('Données projet'!$B$11,Paramètres!$A$1:$I$89,3,0)*0.475*44/12</f>
        <v>0.31473773426250462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0.96304411406566603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195.80903373714432</v>
      </c>
      <c r="CE156" s="59">
        <f t="shared" si="148"/>
        <v>388.30721786668977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5.1590387908541473</v>
      </c>
      <c r="CL156" s="21">
        <f>EXP(-LN(2)/25)*CL155+(1-EXP(-LN(2)/25))/(LN(2)/25)*Calculateur!CG156*Calculateur!CI156*VLOOKUP('Données projet'!$B$12,Paramètres!$A$1:$I$89,3,0)*0.475*44/12</f>
        <v>1.7059616696324413</v>
      </c>
      <c r="CM156" s="21">
        <f>EXP(-LN(2)/2)*CM155+(1-EXP(-LN(2)/2))/(LN(2)/2)*CG156*CJ156*VLOOKUP('Données projet'!$B$12,Paramètres!$A$1:$I$89,3,0)*0.475*44/12</f>
        <v>5.467649515836833E-17</v>
      </c>
      <c r="CN156" s="22">
        <f t="shared" si="172"/>
        <v>6.8650004604865886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72.638639486636521</v>
      </c>
      <c r="CZ156" s="59">
        <f t="shared" si="150"/>
        <v>334.50638815329404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3.1606931423811258</v>
      </c>
      <c r="DG156" s="21">
        <f>EXP(-LN(2)/25)*DG155+(1-EXP(-LN(2)/25))/(LN(2)/25)*Calculateur!DB156*Calculateur!DD156*VLOOKUP('Données projet'!$B$13,Paramètres!$A$1:$I$89,3,0)*0.475*44/12</f>
        <v>1.0635110616431851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4.2242042040243106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68.016800235358346</v>
      </c>
      <c r="DU156" s="59">
        <f t="shared" si="152"/>
        <v>311.30433899203405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2.9223457906605819</v>
      </c>
      <c r="EB156" s="21">
        <f>EXP(-LN(2)/25)*EB155+(1-EXP(-LN(2)/25))/(LN(2)/25)*Calculateur!DW156*Calculateur!DY156*VLOOKUP('Données projet'!$B$14,Paramètres!$A$1:$I$89,3,0)*0.475*44/12</f>
        <v>0.98331186683074778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3.9056576574913295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439.06700232017681</v>
      </c>
      <c r="T157" s="59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487.04124684635974</v>
      </c>
      <c r="AO157" s="59">
        <f t="shared" si="144"/>
        <v>306.61893266146666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-5.9412741393316544E-14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356.31271939877655</v>
      </c>
      <c r="BJ157" s="59">
        <f t="shared" si="146"/>
        <v>499.70544707812991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0.63559348712306785</v>
      </c>
      <c r="BQ157" s="21">
        <f>EXP(-LN(2)/25)*BQ156+(1-EXP(-LN(2)/25))/(LN(2)/25)*Calculateur!BL157*Calculateur!BN157*VLOOKUP('Données projet'!$B$11,Paramètres!$A$1:$I$89,3,0)*0.475*44/12</f>
        <v>0.30613121436775831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0.9417247014908261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195.80903373714432</v>
      </c>
      <c r="CE157" s="59">
        <f t="shared" si="148"/>
        <v>388.30721786668977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5.0578731868684486</v>
      </c>
      <c r="CL157" s="21">
        <f>EXP(-LN(2)/25)*CL156+(1-EXP(-LN(2)/25))/(LN(2)/25)*Calculateur!CG157*Calculateur!CI157*VLOOKUP('Données projet'!$B$12,Paramètres!$A$1:$I$89,3,0)*0.475*44/12</f>
        <v>1.6593120580637171</v>
      </c>
      <c r="CM157" s="21">
        <f>EXP(-LN(2)/2)*CM156+(1-EXP(-LN(2)/2))/(LN(2)/2)*CG157*CJ157*VLOOKUP('Données projet'!$B$12,Paramètres!$A$1:$I$89,3,0)*0.475*44/12</f>
        <v>3.8662120497995683E-17</v>
      </c>
      <c r="CN157" s="22">
        <f t="shared" si="172"/>
        <v>6.7171852449321658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72.638639486636521</v>
      </c>
      <c r="CZ157" s="59">
        <f t="shared" si="150"/>
        <v>334.50638815329404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3.0987138776914911</v>
      </c>
      <c r="DG157" s="21">
        <f>EXP(-LN(2)/25)*DG156+(1-EXP(-LN(2)/25))/(LN(2)/25)*Calculateur!DB157*Calculateur!DD157*VLOOKUP('Données projet'!$B$13,Paramètres!$A$1:$I$89,3,0)*0.475*44/12</f>
        <v>1.0344292957349361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4.1331431734264275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68.016800235358346</v>
      </c>
      <c r="DU157" s="59">
        <f t="shared" si="152"/>
        <v>311.30433899203405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2.8650403721606574</v>
      </c>
      <c r="EB157" s="21">
        <f>EXP(-LN(2)/25)*EB156+(1-EXP(-LN(2)/25))/(LN(2)/25)*Calculateur!DW157*Calculateur!DY157*VLOOKUP('Données projet'!$B$14,Paramètres!$A$1:$I$89,3,0)*0.475*44/12</f>
        <v>0.95642315212213724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3.8214635242827946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439.06700232017681</v>
      </c>
      <c r="T158" s="59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487.04124684635974</v>
      </c>
      <c r="AO158" s="59">
        <f t="shared" si="144"/>
        <v>306.61893266146666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-5.9412741393316544E-14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356.31271939877655</v>
      </c>
      <c r="BJ158" s="59">
        <f t="shared" si="146"/>
        <v>499.70544707812991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0.62312988651433199</v>
      </c>
      <c r="BQ158" s="21">
        <f>EXP(-LN(2)/25)*BQ157+(1-EXP(-LN(2)/25))/(LN(2)/25)*Calculateur!BL158*Calculateur!BN158*VLOOKUP('Données projet'!$B$11,Paramètres!$A$1:$I$89,3,0)*0.475*44/12</f>
        <v>0.29776004021213109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0.92088992672646308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195.80903373714432</v>
      </c>
      <c r="CE158" s="59">
        <f t="shared" si="148"/>
        <v>388.30721786668977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4.9586913786719844</v>
      </c>
      <c r="CL158" s="21">
        <f>EXP(-LN(2)/25)*CL157+(1-EXP(-LN(2)/25))/(LN(2)/25)*Calculateur!CG158*Calculateur!CI158*VLOOKUP('Données projet'!$B$12,Paramètres!$A$1:$I$89,3,0)*0.475*44/12</f>
        <v>1.6139380825765359</v>
      </c>
      <c r="CM158" s="21">
        <f>EXP(-LN(2)/2)*CM157+(1-EXP(-LN(2)/2))/(LN(2)/2)*CG158*CJ158*VLOOKUP('Données projet'!$B$12,Paramètres!$A$1:$I$89,3,0)*0.475*44/12</f>
        <v>2.7338247579184168E-17</v>
      </c>
      <c r="CN158" s="22">
        <f t="shared" si="172"/>
        <v>6.5726294612485203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72.638639486636521</v>
      </c>
      <c r="CZ158" s="59">
        <f t="shared" si="150"/>
        <v>334.50638815329404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3.0379499885788013</v>
      </c>
      <c r="DG158" s="21">
        <f>EXP(-LN(2)/25)*DG157+(1-EXP(-LN(2)/25))/(LN(2)/25)*Calculateur!DB158*Calculateur!DD158*VLOOKUP('Données projet'!$B$13,Paramètres!$A$1:$I$89,3,0)*0.475*44/12</f>
        <v>1.0061427722447918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4.0440927608235935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68.016800235358346</v>
      </c>
      <c r="DU158" s="59">
        <f t="shared" si="152"/>
        <v>311.30433899203405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2.8088586779646625</v>
      </c>
      <c r="EB158" s="21">
        <f>EXP(-LN(2)/25)*EB157+(1-EXP(-LN(2)/25))/(LN(2)/25)*Calculateur!DW158*Calculateur!DY158*VLOOKUP('Données projet'!$B$14,Paramètres!$A$1:$I$89,3,0)*0.475*44/12</f>
        <v>0.93026971073124975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3.7391283886959124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439.06700232017681</v>
      </c>
      <c r="T159" s="59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487.04124684635974</v>
      </c>
      <c r="AO159" s="59">
        <f t="shared" si="144"/>
        <v>306.61893266146666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-5.9412741393316544E-14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356.31271939877655</v>
      </c>
      <c r="BJ159" s="59">
        <f t="shared" si="146"/>
        <v>499.70544707812991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0.61091068951148775</v>
      </c>
      <c r="BQ159" s="21">
        <f>EXP(-LN(2)/25)*BQ158+(1-EXP(-LN(2)/25))/(LN(2)/25)*Calculateur!BL159*Calculateur!BN159*VLOOKUP('Données projet'!$B$11,Paramètres!$A$1:$I$89,3,0)*0.475*44/12</f>
        <v>0.28961777625401042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0.90052846576549817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195.80903373714432</v>
      </c>
      <c r="CE159" s="59">
        <f t="shared" si="148"/>
        <v>388.30721786668977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4.8614544652393228</v>
      </c>
      <c r="CL159" s="21">
        <f>EXP(-LN(2)/25)*CL158+(1-EXP(-LN(2)/25))/(LN(2)/25)*Calculateur!CG159*Calculateur!CI159*VLOOKUP('Données projet'!$B$12,Paramètres!$A$1:$I$89,3,0)*0.475*44/12</f>
        <v>1.5698048608351656</v>
      </c>
      <c r="CM159" s="21">
        <f>EXP(-LN(2)/2)*CM158+(1-EXP(-LN(2)/2))/(LN(2)/2)*CG159*CJ159*VLOOKUP('Données projet'!$B$12,Paramètres!$A$1:$I$89,3,0)*0.475*44/12</f>
        <v>1.9331060248997845E-17</v>
      </c>
      <c r="CN159" s="22">
        <f t="shared" si="172"/>
        <v>6.4312593260744881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72.638639486636521</v>
      </c>
      <c r="CZ159" s="59">
        <f t="shared" si="150"/>
        <v>334.50638815329404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2.9783776422692987</v>
      </c>
      <c r="DG159" s="21">
        <f>EXP(-LN(2)/25)*DG158+(1-EXP(-LN(2)/25))/(LN(2)/25)*Calculateur!DB159*Calculateur!DD159*VLOOKUP('Données projet'!$B$13,Paramètres!$A$1:$I$89,3,0)*0.475*44/12</f>
        <v>0.97862974522700907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3.9570073874963079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68.016800235358346</v>
      </c>
      <c r="DU159" s="59">
        <f t="shared" si="152"/>
        <v>311.30433899203405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2.7537786725244011</v>
      </c>
      <c r="EB159" s="21">
        <f>EXP(-LN(2)/25)*EB158+(1-EXP(-LN(2)/25))/(LN(2)/25)*Calculateur!DW159*Calculateur!DY159*VLOOKUP('Données projet'!$B$14,Paramètres!$A$1:$I$89,3,0)*0.475*44/12</f>
        <v>0.90483143657054577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3.6586101090949468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439.06700232017681</v>
      </c>
      <c r="T160" s="59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487.04124684635974</v>
      </c>
      <c r="AO160" s="59">
        <f t="shared" si="144"/>
        <v>306.61893266146666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-5.9412741393316544E-14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356.31271939877655</v>
      </c>
      <c r="BJ160" s="59">
        <f t="shared" si="146"/>
        <v>499.70544707812991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0.598931103508895</v>
      </c>
      <c r="BQ160" s="21">
        <f>EXP(-LN(2)/25)*BQ159+(1-EXP(-LN(2)/25))/(LN(2)/25)*Calculateur!BL160*Calculateur!BN160*VLOOKUP('Données projet'!$B$11,Paramètres!$A$1:$I$89,3,0)*0.475*44/12</f>
        <v>0.28169816293200756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0.88062926644090256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195.80903373714432</v>
      </c>
      <c r="CE160" s="59">
        <f t="shared" si="148"/>
        <v>388.30721786668977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4.766124308370415</v>
      </c>
      <c r="CL160" s="21">
        <f>EXP(-LN(2)/25)*CL159+(1-EXP(-LN(2)/25))/(LN(2)/25)*Calculateur!CG160*Calculateur!CI160*VLOOKUP('Données projet'!$B$12,Paramètres!$A$1:$I$89,3,0)*0.475*44/12</f>
        <v>1.5268784643631781</v>
      </c>
      <c r="CM160" s="21">
        <f>EXP(-LN(2)/2)*CM159+(1-EXP(-LN(2)/2))/(LN(2)/2)*CG160*CJ160*VLOOKUP('Données projet'!$B$12,Paramètres!$A$1:$I$89,3,0)*0.475*44/12</f>
        <v>1.3669123789592087E-17</v>
      </c>
      <c r="CN160" s="22">
        <f t="shared" si="172"/>
        <v>6.2930027727335931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72.638639486636521</v>
      </c>
      <c r="CZ160" s="59">
        <f t="shared" si="150"/>
        <v>334.50638815329404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2.9199734733353822</v>
      </c>
      <c r="DG160" s="21">
        <f>EXP(-LN(2)/25)*DG159+(1-EXP(-LN(2)/25))/(LN(2)/25)*Calculateur!DB160*Calculateur!DD160*VLOOKUP('Données projet'!$B$13,Paramètres!$A$1:$I$89,3,0)*0.475*44/12</f>
        <v>0.95186906337987487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3.8718425367152571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68.016800235358346</v>
      </c>
      <c r="DU160" s="59">
        <f t="shared" si="152"/>
        <v>311.30433899203405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2.6997787523953374</v>
      </c>
      <c r="EB160" s="21">
        <f>EXP(-LN(2)/25)*EB159+(1-EXP(-LN(2)/25))/(LN(2)/25)*Calculateur!DW160*Calculateur!DY160*VLOOKUP('Données projet'!$B$14,Paramètres!$A$1:$I$89,3,0)*0.475*44/12</f>
        <v>0.88008877335450697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3.5798675257498442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439.06700232017681</v>
      </c>
      <c r="T161" s="59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487.04124684635974</v>
      </c>
      <c r="AO161" s="59">
        <f t="shared" si="144"/>
        <v>306.61893266146666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-5.9412741393316544E-14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356.31271939877655</v>
      </c>
      <c r="BJ161" s="59">
        <f t="shared" si="146"/>
        <v>499.70544707812991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0.58718642988098713</v>
      </c>
      <c r="BQ161" s="21">
        <f>EXP(-LN(2)/25)*BQ160+(1-EXP(-LN(2)/25))/(LN(2)/25)*Calculateur!BL161*Calculateur!BN161*VLOOKUP('Données projet'!$B$11,Paramètres!$A$1:$I$89,3,0)*0.475*44/12</f>
        <v>0.27399511185276926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0.86118154173375638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195.80903373714432</v>
      </c>
      <c r="CE161" s="59">
        <f t="shared" si="148"/>
        <v>388.30721786668977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4.6726635177320519</v>
      </c>
      <c r="CL161" s="21">
        <f>EXP(-LN(2)/25)*CL160+(1-EXP(-LN(2)/25))/(LN(2)/25)*Calculateur!CG161*Calculateur!CI161*VLOOKUP('Données projet'!$B$12,Paramètres!$A$1:$I$89,3,0)*0.475*44/12</f>
        <v>1.4851258924601183</v>
      </c>
      <c r="CM161" s="21">
        <f>EXP(-LN(2)/2)*CM160+(1-EXP(-LN(2)/2))/(LN(2)/2)*CG161*CJ161*VLOOKUP('Données projet'!$B$12,Paramètres!$A$1:$I$89,3,0)*0.475*44/12</f>
        <v>9.6655301244989239E-18</v>
      </c>
      <c r="CN161" s="22">
        <f t="shared" si="172"/>
        <v>6.1577894101921702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72.638639486636521</v>
      </c>
      <c r="CZ161" s="59">
        <f t="shared" si="150"/>
        <v>334.50638815329404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2.8627145745312341</v>
      </c>
      <c r="DG161" s="21">
        <f>EXP(-LN(2)/25)*DG160+(1-EXP(-LN(2)/25))/(LN(2)/25)*Calculateur!DB161*Calculateur!DD161*VLOOKUP('Données projet'!$B$13,Paramètres!$A$1:$I$89,3,0)*0.475*44/12</f>
        <v>0.92584015378513362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3.7885547283163676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68.016800235358346</v>
      </c>
      <c r="DU161" s="59">
        <f t="shared" si="152"/>
        <v>311.30433899203405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2.6468377377633052</v>
      </c>
      <c r="EB161" s="21">
        <f>EXP(-LN(2)/25)*EB160+(1-EXP(-LN(2)/25))/(LN(2)/25)*Calculateur!DW161*Calculateur!DY161*VLOOKUP('Données projet'!$B$14,Paramètres!$A$1:$I$89,3,0)*0.475*44/12</f>
        <v>0.85602269956527088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3.5028604373285761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439.06700232017681</v>
      </c>
      <c r="T162" s="59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487.04124684635974</v>
      </c>
      <c r="AO162" s="59">
        <f t="shared" si="144"/>
        <v>306.61893266146666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-5.9412741393316544E-14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356.31271939877655</v>
      </c>
      <c r="BJ162" s="59">
        <f t="shared" si="146"/>
        <v>499.70544707812991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0.57567206213937894</v>
      </c>
      <c r="BQ162" s="21">
        <f>EXP(-LN(2)/25)*BQ161+(1-EXP(-LN(2)/25))/(LN(2)/25)*Calculateur!BL162*Calculateur!BN162*VLOOKUP('Données projet'!$B$11,Paramètres!$A$1:$I$89,3,0)*0.475*44/12</f>
        <v>0.26650270111037855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0.84217476324975749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195.80903373714432</v>
      </c>
      <c r="CE162" s="59">
        <f t="shared" si="148"/>
        <v>388.30721786668977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4.5810354361926535</v>
      </c>
      <c r="CL162" s="21">
        <f>EXP(-LN(2)/25)*CL161+(1-EXP(-LN(2)/25))/(LN(2)/25)*Calculateur!CG162*Calculateur!CI162*VLOOKUP('Données projet'!$B$12,Paramètres!$A$1:$I$89,3,0)*0.475*44/12</f>
        <v>1.4445150468314201</v>
      </c>
      <c r="CM162" s="21">
        <f>EXP(-LN(2)/2)*CM161+(1-EXP(-LN(2)/2))/(LN(2)/2)*CG162*CJ162*VLOOKUP('Données projet'!$B$12,Paramètres!$A$1:$I$89,3,0)*0.475*44/12</f>
        <v>6.8345618947960443E-18</v>
      </c>
      <c r="CN162" s="22">
        <f t="shared" si="172"/>
        <v>6.0255504830240731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72.638639486636521</v>
      </c>
      <c r="CZ162" s="59">
        <f t="shared" si="150"/>
        <v>334.50638815329404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2.8065784878081557</v>
      </c>
      <c r="DG162" s="21">
        <f>EXP(-LN(2)/25)*DG161+(1-EXP(-LN(2)/25))/(LN(2)/25)*Calculateur!DB162*Calculateur!DD162*VLOOKUP('Données projet'!$B$13,Paramètres!$A$1:$I$89,3,0)*0.475*44/12</f>
        <v>0.90052300609206148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3.7071014939002174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68.016800235358346</v>
      </c>
      <c r="DU162" s="59">
        <f t="shared" si="152"/>
        <v>311.30433899203405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2.5949348641373771</v>
      </c>
      <c r="EB162" s="21">
        <f>EXP(-LN(2)/25)*EB161+(1-EXP(-LN(2)/25))/(LN(2)/25)*Calculateur!DW162*Calculateur!DY162*VLOOKUP('Données projet'!$B$14,Paramètres!$A$1:$I$89,3,0)*0.475*44/12</f>
        <v>0.83261471382938124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3.4275495779667584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439.06700232017681</v>
      </c>
      <c r="T163" s="59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487.04124684635974</v>
      </c>
      <c r="AO163" s="59">
        <f t="shared" si="144"/>
        <v>306.61893266146666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-5.9412741393316544E-14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356.31271939877655</v>
      </c>
      <c r="BJ163" s="59">
        <f t="shared" si="146"/>
        <v>499.70544707812991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0.56438348412611283</v>
      </c>
      <c r="BQ163" s="21">
        <f>EXP(-LN(2)/25)*BQ162+(1-EXP(-LN(2)/25))/(LN(2)/25)*Calculateur!BL163*Calculateur!BN163*VLOOKUP('Données projet'!$B$11,Paramètres!$A$1:$I$89,3,0)*0.475*44/12</f>
        <v>0.25921517073374728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0.82359865485986017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195.80903373714432</v>
      </c>
      <c r="CE163" s="59">
        <f t="shared" si="148"/>
        <v>388.30721786668977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4.4912041254446313</v>
      </c>
      <c r="CL163" s="21">
        <f>EXP(-LN(2)/25)*CL162+(1-EXP(-LN(2)/25))/(LN(2)/25)*Calculateur!CG163*Calculateur!CI163*VLOOKUP('Données projet'!$B$12,Paramètres!$A$1:$I$89,3,0)*0.475*44/12</f>
        <v>1.40501470691207</v>
      </c>
      <c r="CM163" s="21">
        <f>EXP(-LN(2)/2)*CM162+(1-EXP(-LN(2)/2))/(LN(2)/2)*CG163*CJ163*VLOOKUP('Données projet'!$B$12,Paramètres!$A$1:$I$89,3,0)*0.475*44/12</f>
        <v>4.8327650622494627E-18</v>
      </c>
      <c r="CN163" s="22">
        <f t="shared" si="172"/>
        <v>5.8962188323567011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72.638639486636521</v>
      </c>
      <c r="CZ163" s="59">
        <f t="shared" si="150"/>
        <v>334.50638815329404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2.7515431955060849</v>
      </c>
      <c r="DG163" s="21">
        <f>EXP(-LN(2)/25)*DG162+(1-EXP(-LN(2)/25))/(LN(2)/25)*Calculateur!DB163*Calculateur!DD163*VLOOKUP('Données projet'!$B$13,Paramètres!$A$1:$I$89,3,0)*0.475*44/12</f>
        <v>0.8758981571340273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3.6274413526401124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68.016800235358346</v>
      </c>
      <c r="DU163" s="59">
        <f t="shared" si="152"/>
        <v>311.30433899203405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2.5440497742056261</v>
      </c>
      <c r="EB163" s="21">
        <f>EXP(-LN(2)/25)*EB162+(1-EXP(-LN(2)/25))/(LN(2)/25)*Calculateur!DW163*Calculateur!DY163*VLOOKUP('Données projet'!$B$14,Paramètres!$A$1:$I$89,3,0)*0.475*44/12</f>
        <v>0.80984682069441194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3.3538965949000379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439.06700232017681</v>
      </c>
      <c r="T164" s="59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487.04124684635974</v>
      </c>
      <c r="AO164" s="59">
        <f t="shared" si="144"/>
        <v>306.61893266146666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-5.9412741393316544E-14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356.31271939877655</v>
      </c>
      <c r="BJ164" s="59">
        <f t="shared" si="146"/>
        <v>499.70544707812991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0.55331626824233415</v>
      </c>
      <c r="BQ164" s="21">
        <f>EXP(-LN(2)/25)*BQ163+(1-EXP(-LN(2)/25))/(LN(2)/25)*Calculateur!BL164*Calculateur!BN164*VLOOKUP('Données projet'!$B$11,Paramètres!$A$1:$I$89,3,0)*0.475*44/12</f>
        <v>0.25212691825849959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0.8054431865008338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195.80903373714432</v>
      </c>
      <c r="CE164" s="59">
        <f t="shared" si="148"/>
        <v>388.30721786668977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4.4031343519086885</v>
      </c>
      <c r="CL164" s="21">
        <f>EXP(-LN(2)/25)*CL163+(1-EXP(-LN(2)/25))/(LN(2)/25)*Calculateur!CG164*Calculateur!CI164*VLOOKUP('Données projet'!$B$12,Paramètres!$A$1:$I$89,3,0)*0.475*44/12</f>
        <v>1.3665945058650473</v>
      </c>
      <c r="CM164" s="21">
        <f>EXP(-LN(2)/2)*CM163+(1-EXP(-LN(2)/2))/(LN(2)/2)*CG164*CJ164*VLOOKUP('Données projet'!$B$12,Paramètres!$A$1:$I$89,3,0)*0.475*44/12</f>
        <v>3.4172809473980229E-18</v>
      </c>
      <c r="CN164" s="22">
        <f t="shared" si="172"/>
        <v>5.7697288577737353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72.638639486636521</v>
      </c>
      <c r="CZ164" s="59">
        <f t="shared" si="150"/>
        <v>334.50638815329404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2.6975871117178438</v>
      </c>
      <c r="DG164" s="21">
        <f>EXP(-LN(2)/25)*DG163+(1-EXP(-LN(2)/25))/(LN(2)/25)*Calculateur!DB164*Calculateur!DD164*VLOOKUP('Données projet'!$B$13,Paramètres!$A$1:$I$89,3,0)*0.475*44/12</f>
        <v>0.85194667596571516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3.5495337876835591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68.016800235358346</v>
      </c>
      <c r="DU164" s="59">
        <f t="shared" si="152"/>
        <v>311.30433899203405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2.4941625098505966</v>
      </c>
      <c r="EB164" s="21">
        <f>EXP(-LN(2)/25)*EB163+(1-EXP(-LN(2)/25))/(LN(2)/25)*Calculateur!DW164*Calculateur!DY164*VLOOKUP('Données projet'!$B$14,Paramètres!$A$1:$I$89,3,0)*0.475*44/12</f>
        <v>0.78770151679452982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3.2818640266451267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439.06700232017681</v>
      </c>
      <c r="T165" s="59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487.04124684635974</v>
      </c>
      <c r="AO165" s="59">
        <f t="shared" si="144"/>
        <v>306.61893266146666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-5.9412741393316544E-14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356.31271939877655</v>
      </c>
      <c r="BJ165" s="59">
        <f t="shared" si="146"/>
        <v>499.70544707812991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0.5424660737117013</v>
      </c>
      <c r="BQ165" s="21">
        <f>EXP(-LN(2)/25)*BQ164+(1-EXP(-LN(2)/25))/(LN(2)/25)*Calculateur!BL165*Calculateur!BN165*VLOOKUP('Données projet'!$B$11,Paramètres!$A$1:$I$89,3,0)*0.475*44/12</f>
        <v>0.24523249441994252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0.78769856813164385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195.80903373714432</v>
      </c>
      <c r="CE165" s="59">
        <f t="shared" si="148"/>
        <v>388.30721786668977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4.3167915729145285</v>
      </c>
      <c r="CL165" s="21">
        <f>EXP(-LN(2)/25)*CL164+(1-EXP(-LN(2)/25))/(LN(2)/25)*Calculateur!CG165*Calculateur!CI165*VLOOKUP('Données projet'!$B$12,Paramètres!$A$1:$I$89,3,0)*0.475*44/12</f>
        <v>1.3292249072360858</v>
      </c>
      <c r="CM165" s="21">
        <f>EXP(-LN(2)/2)*CM164+(1-EXP(-LN(2)/2))/(LN(2)/2)*CG165*CJ165*VLOOKUP('Données projet'!$B$12,Paramètres!$A$1:$I$89,3,0)*0.475*44/12</f>
        <v>2.4163825311247317E-18</v>
      </c>
      <c r="CN165" s="22">
        <f t="shared" si="172"/>
        <v>5.6460164801506139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72.638639486636521</v>
      </c>
      <c r="CZ165" s="59">
        <f t="shared" si="150"/>
        <v>334.50638815329404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2.6446890738227289</v>
      </c>
      <c r="DG165" s="21">
        <f>EXP(-LN(2)/25)*DG164+(1-EXP(-LN(2)/25))/(LN(2)/25)*Calculateur!DB165*Calculateur!DD165*VLOOKUP('Données projet'!$B$13,Paramètres!$A$1:$I$89,3,0)*0.475*44/12</f>
        <v>0.82865014930950409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3.4733392231322329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68.016800235358346</v>
      </c>
      <c r="DU165" s="59">
        <f t="shared" si="152"/>
        <v>311.30433899203405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2.4452535043213426</v>
      </c>
      <c r="EB165" s="21">
        <f>EXP(-LN(2)/25)*EB164+(1-EXP(-LN(2)/25))/(LN(2)/25)*Calculateur!DW165*Calculateur!DY165*VLOOKUP('Données projet'!$B$14,Paramètres!$A$1:$I$89,3,0)*0.475*44/12</f>
        <v>0.76616177739436098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3.2114152817157038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439.06700232017681</v>
      </c>
      <c r="T166" s="59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487.04124684635974</v>
      </c>
      <c r="AO166" s="59">
        <f t="shared" si="144"/>
        <v>306.61893266146666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-5.9412741393316544E-14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356.31271939877655</v>
      </c>
      <c r="BJ166" s="59">
        <f t="shared" si="146"/>
        <v>499.70544707812991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0.53182864487784898</v>
      </c>
      <c r="BQ166" s="21">
        <f>EXP(-LN(2)/25)*BQ165+(1-EXP(-LN(2)/25))/(LN(2)/25)*Calculateur!BL166*Calculateur!BN166*VLOOKUP('Données projet'!$B$11,Paramètres!$A$1:$I$89,3,0)*0.475*44/12</f>
        <v>0.23852659896381279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0.77035524384166176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195.80903373714432</v>
      </c>
      <c r="CE166" s="59">
        <f t="shared" si="148"/>
        <v>388.30721786668977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4.2321419231525486</v>
      </c>
      <c r="CL166" s="21">
        <f>EXP(-LN(2)/25)*CL165+(1-EXP(-LN(2)/25))/(LN(2)/25)*Calculateur!CG166*Calculateur!CI166*VLOOKUP('Données projet'!$B$12,Paramètres!$A$1:$I$89,3,0)*0.475*44/12</f>
        <v>1.292877182246815</v>
      </c>
      <c r="CM166" s="21">
        <f>EXP(-LN(2)/2)*CM165+(1-EXP(-LN(2)/2))/(LN(2)/2)*CG166*CJ166*VLOOKUP('Données projet'!$B$12,Paramètres!$A$1:$I$89,3,0)*0.475*44/12</f>
        <v>1.7086404736990117E-18</v>
      </c>
      <c r="CN166" s="22">
        <f t="shared" si="172"/>
        <v>5.5250191053993634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72.638639486636521</v>
      </c>
      <c r="CZ166" s="59">
        <f t="shared" si="150"/>
        <v>334.50638815329404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2.5928283341861196</v>
      </c>
      <c r="DG166" s="21">
        <f>EXP(-LN(2)/25)*DG165+(1-EXP(-LN(2)/25))/(LN(2)/25)*Calculateur!DB166*Calculateur!DD166*VLOOKUP('Données projet'!$B$13,Paramètres!$A$1:$I$89,3,0)*0.475*44/12</f>
        <v>0.80599066739981828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3.3988190015859381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68.016800235358346</v>
      </c>
      <c r="DU166" s="59">
        <f t="shared" si="152"/>
        <v>311.30433899203405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2.3973035745589697</v>
      </c>
      <c r="EB166" s="21">
        <f>EXP(-LN(2)/25)*EB165+(1-EXP(-LN(2)/25))/(LN(2)/25)*Calculateur!DW166*Calculateur!DY166*VLOOKUP('Données projet'!$B$14,Paramètres!$A$1:$I$89,3,0)*0.475*44/12</f>
        <v>0.74521104330081533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3.1425146178597849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439.06700232017681</v>
      </c>
      <c r="T167" s="59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487.04124684635974</v>
      </c>
      <c r="AO167" s="59">
        <f t="shared" si="144"/>
        <v>306.61893266146666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-5.9412741393316544E-14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356.31271939877655</v>
      </c>
      <c r="BJ167" s="59">
        <f t="shared" si="146"/>
        <v>499.70544707812991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0.52139980953523757</v>
      </c>
      <c r="BQ167" s="21">
        <f>EXP(-LN(2)/25)*BQ166+(1-EXP(-LN(2)/25))/(LN(2)/25)*Calculateur!BL167*Calculateur!BN167*VLOOKUP('Données projet'!$B$11,Paramètres!$A$1:$I$89,3,0)*0.475*44/12</f>
        <v>0.23200407657157865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0.75340388610681619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195.80903373714432</v>
      </c>
      <c r="CE167" s="59">
        <f t="shared" si="148"/>
        <v>388.30721786668977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4.149152201391213</v>
      </c>
      <c r="CL167" s="21">
        <f>EXP(-LN(2)/25)*CL166+(1-EXP(-LN(2)/25))/(LN(2)/25)*Calculateur!CG167*Calculateur!CI167*VLOOKUP('Données projet'!$B$12,Paramètres!$A$1:$I$89,3,0)*0.475*44/12</f>
        <v>1.2575233877088197</v>
      </c>
      <c r="CM167" s="21">
        <f>EXP(-LN(2)/2)*CM166+(1-EXP(-LN(2)/2))/(LN(2)/2)*CG167*CJ167*VLOOKUP('Données projet'!$B$12,Paramètres!$A$1:$I$89,3,0)*0.475*44/12</f>
        <v>1.2081912655623661E-18</v>
      </c>
      <c r="CN167" s="22">
        <f t="shared" si="172"/>
        <v>5.4066755891000327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72.638639486636521</v>
      </c>
      <c r="CZ167" s="59">
        <f t="shared" si="150"/>
        <v>334.50638815329404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2.5419845520218565</v>
      </c>
      <c r="DG167" s="21">
        <f>EXP(-LN(2)/25)*DG166+(1-EXP(-LN(2)/25))/(LN(2)/25)*Calculateur!DB167*Calculateur!DD167*VLOOKUP('Données projet'!$B$13,Paramètres!$A$1:$I$89,3,0)*0.475*44/12</f>
        <v>0.78395081021456314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3.3259353622364198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68.016800235358346</v>
      </c>
      <c r="DU167" s="59">
        <f t="shared" si="152"/>
        <v>311.30433899203405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2.3502939136726675</v>
      </c>
      <c r="EB167" s="21">
        <f>EXP(-LN(2)/25)*EB166+(1-EXP(-LN(2)/25))/(LN(2)/25)*Calculateur!DW167*Calculateur!DY167*VLOOKUP('Données projet'!$B$14,Paramètres!$A$1:$I$89,3,0)*0.475*44/12</f>
        <v>0.72483320813280894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3.0751271218054765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439.06700232017681</v>
      </c>
      <c r="T168" s="59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487.04124684635974</v>
      </c>
      <c r="AO168" s="59">
        <f t="shared" si="144"/>
        <v>306.61893266146666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-5.9412741393316544E-14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356.31271939877655</v>
      </c>
      <c r="BJ168" s="59">
        <f t="shared" si="146"/>
        <v>499.70544707812991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0.51117547729273327</v>
      </c>
      <c r="BQ168" s="21">
        <f>EXP(-LN(2)/25)*BQ167+(1-EXP(-LN(2)/25))/(LN(2)/25)*Calculateur!BL168*Calculateur!BN168*VLOOKUP('Données projet'!$B$11,Paramètres!$A$1:$I$89,3,0)*0.475*44/12</f>
        <v>0.22565991289716469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0.73683539018989797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195.80903373714432</v>
      </c>
      <c r="CE168" s="59">
        <f t="shared" si="148"/>
        <v>388.30721786668977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4.0677898574548852</v>
      </c>
      <c r="CL168" s="21">
        <f>EXP(-LN(2)/25)*CL167+(1-EXP(-LN(2)/25))/(LN(2)/25)*Calculateur!CG168*Calculateur!CI168*VLOOKUP('Données projet'!$B$12,Paramètres!$A$1:$I$89,3,0)*0.475*44/12</f>
        <v>1.2231363445416412</v>
      </c>
      <c r="CM168" s="21">
        <f>EXP(-LN(2)/2)*CM167+(1-EXP(-LN(2)/2))/(LN(2)/2)*CG168*CJ168*VLOOKUP('Données projet'!$B$12,Paramètres!$A$1:$I$89,3,0)*0.475*44/12</f>
        <v>8.5432023684950593E-19</v>
      </c>
      <c r="CN168" s="22">
        <f t="shared" si="172"/>
        <v>5.2909262019965269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72.638639486636521</v>
      </c>
      <c r="CZ168" s="59">
        <f t="shared" si="150"/>
        <v>334.50638815329404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2.4921377854141897</v>
      </c>
      <c r="DG168" s="21">
        <f>EXP(-LN(2)/25)*DG167+(1-EXP(-LN(2)/25))/(LN(2)/25)*Calculateur!DB168*Calculateur!DD168*VLOOKUP('Données projet'!$B$13,Paramètres!$A$1:$I$89,3,0)*0.475*44/12</f>
        <v>0.7625136340830645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3.2546514194972542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68.016800235358346</v>
      </c>
      <c r="DU168" s="59">
        <f t="shared" si="152"/>
        <v>311.30433899203405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2.3042060835632836</v>
      </c>
      <c r="EB168" s="21">
        <f>EXP(-LN(2)/25)*EB167+(1-EXP(-LN(2)/25))/(LN(2)/25)*Calculateur!DW168*Calculateur!DY168*VLOOKUP('Données projet'!$B$14,Paramètres!$A$1:$I$89,3,0)*0.475*44/12</f>
        <v>0.70501260593909554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3.0092186895023794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439.06700232017681</v>
      </c>
      <c r="T169" s="59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487.04124684635974</v>
      </c>
      <c r="AO169" s="59">
        <f t="shared" si="144"/>
        <v>306.61893266146666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-5.9412741393316544E-14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356.31271939877655</v>
      </c>
      <c r="BJ169" s="59">
        <f t="shared" si="146"/>
        <v>499.70544707812991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0.50115163796927753</v>
      </c>
      <c r="BQ169" s="21">
        <f>EXP(-LN(2)/25)*BQ168+(1-EXP(-LN(2)/25))/(LN(2)/25)*Calculateur!BL169*Calculateur!BN169*VLOOKUP('Données projet'!$B$11,Paramètres!$A$1:$I$89,3,0)*0.475*44/12</f>
        <v>0.21948923071205265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0.72064086868133015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195.80903373714432</v>
      </c>
      <c r="CE169" s="59">
        <f t="shared" si="148"/>
        <v>388.30721786668977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3.988022979457019</v>
      </c>
      <c r="CL169" s="21">
        <f>EXP(-LN(2)/25)*CL168+(1-EXP(-LN(2)/25))/(LN(2)/25)*Calculateur!CG169*Calculateur!CI169*VLOOKUP('Données projet'!$B$12,Paramètres!$A$1:$I$89,3,0)*0.475*44/12</f>
        <v>1.1896896168782052</v>
      </c>
      <c r="CM169" s="21">
        <f>EXP(-LN(2)/2)*CM168+(1-EXP(-LN(2)/2))/(LN(2)/2)*CG169*CJ169*VLOOKUP('Données projet'!$B$12,Paramètres!$A$1:$I$89,3,0)*0.475*44/12</f>
        <v>6.0409563278118313E-19</v>
      </c>
      <c r="CN169" s="22">
        <f t="shared" si="172"/>
        <v>5.1777125963352244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72.638639486636521</v>
      </c>
      <c r="CZ169" s="59">
        <f t="shared" si="150"/>
        <v>334.50638815329404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2.4432684834961735</v>
      </c>
      <c r="DG169" s="21">
        <f>EXP(-LN(2)/25)*DG168+(1-EXP(-LN(2)/25))/(LN(2)/25)*Calculateur!DB169*Calculateur!DD169*VLOOKUP('Données projet'!$B$13,Paramètres!$A$1:$I$89,3,0)*0.475*44/12</f>
        <v>0.74166265866021386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3.1849311421563873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68.016800235358346</v>
      </c>
      <c r="DU169" s="59">
        <f t="shared" si="152"/>
        <v>311.30433899203405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2.2590220076915442</v>
      </c>
      <c r="EB169" s="21">
        <f>EXP(-LN(2)/25)*EB168+(1-EXP(-LN(2)/25))/(LN(2)/25)*Calculateur!DW169*Calculateur!DY169*VLOOKUP('Données projet'!$B$14,Paramètres!$A$1:$I$89,3,0)*0.475*44/12</f>
        <v>0.68573399915468936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2.9447560068462337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439.06700232017681</v>
      </c>
      <c r="T170" s="59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487.04124684635974</v>
      </c>
      <c r="AO170" s="59">
        <f t="shared" si="144"/>
        <v>306.61893266146666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-5.9412741393316544E-14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356.31271939877655</v>
      </c>
      <c r="BJ170" s="59">
        <f t="shared" si="146"/>
        <v>499.70544707812991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0.49132436002101654</v>
      </c>
      <c r="BQ170" s="21">
        <f>EXP(-LN(2)/25)*BQ169+(1-EXP(-LN(2)/25))/(LN(2)/25)*Calculateur!BL170*Calculateur!BN170*VLOOKUP('Données projet'!$B$11,Paramètres!$A$1:$I$89,3,0)*0.475*44/12</f>
        <v>0.21348728615579457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0.70481164617681114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195.80903373714432</v>
      </c>
      <c r="CE170" s="59">
        <f t="shared" si="148"/>
        <v>388.30721786668977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3.9098202812836993</v>
      </c>
      <c r="CL170" s="21">
        <f>EXP(-LN(2)/25)*CL169+(1-EXP(-LN(2)/25))/(LN(2)/25)*Calculateur!CG170*Calculateur!CI170*VLOOKUP('Données projet'!$B$12,Paramètres!$A$1:$I$89,3,0)*0.475*44/12</f>
        <v>1.1571574917416128</v>
      </c>
      <c r="CM170" s="21">
        <f>EXP(-LN(2)/2)*CM169+(1-EXP(-LN(2)/2))/(LN(2)/2)*CG170*CJ170*VLOOKUP('Données projet'!$B$12,Paramètres!$A$1:$I$89,3,0)*0.475*44/12</f>
        <v>4.2716011842475306E-19</v>
      </c>
      <c r="CN170" s="22">
        <f t="shared" si="172"/>
        <v>5.0669777730253118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72.638639486636521</v>
      </c>
      <c r="CZ170" s="59">
        <f t="shared" si="150"/>
        <v>334.50638815329404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2.3953574787814387</v>
      </c>
      <c r="DG170" s="21">
        <f>EXP(-LN(2)/25)*DG169+(1-EXP(-LN(2)/25))/(LN(2)/25)*Calculateur!DB170*Calculateur!DD170*VLOOKUP('Données projet'!$B$13,Paramètres!$A$1:$I$89,3,0)*0.475*44/12</f>
        <v>0.72138185425680623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3.1167393330382449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68.016800235358346</v>
      </c>
      <c r="DU170" s="59">
        <f t="shared" si="152"/>
        <v>311.30433899203405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2.2147239639880847</v>
      </c>
      <c r="EB170" s="21">
        <f>EXP(-LN(2)/25)*EB169+(1-EXP(-LN(2)/25))/(LN(2)/25)*Calculateur!DW170*Calculateur!DY170*VLOOKUP('Données projet'!$B$14,Paramètres!$A$1:$I$89,3,0)*0.475*44/12</f>
        <v>0.66698256688662061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2.8817065308747054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439.06700232017681</v>
      </c>
      <c r="T171" s="59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487.04124684635974</v>
      </c>
      <c r="AO171" s="59">
        <f t="shared" si="144"/>
        <v>306.61893266146666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-5.9412741393316544E-14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356.31271939877655</v>
      </c>
      <c r="BJ171" s="59">
        <f t="shared" si="146"/>
        <v>499.70544707812991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0.48168978899927323</v>
      </c>
      <c r="BQ171" s="21">
        <f>EXP(-LN(2)/25)*BQ170+(1-EXP(-LN(2)/25))/(LN(2)/25)*Calculateur!BL171*Calculateur!BN171*VLOOKUP('Données projet'!$B$11,Paramètres!$A$1:$I$89,3,0)*0.475*44/12</f>
        <v>0.20764946508905591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0.68933925408832919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195.80903373714432</v>
      </c>
      <c r="CE171" s="59">
        <f t="shared" si="148"/>
        <v>388.30721786668977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3.8331510903226227</v>
      </c>
      <c r="CL171" s="21">
        <f>EXP(-LN(2)/25)*CL170+(1-EXP(-LN(2)/25))/(LN(2)/25)*Calculateur!CG171*Calculateur!CI171*VLOOKUP('Données projet'!$B$12,Paramètres!$A$1:$I$89,3,0)*0.475*44/12</f>
        <v>1.1255149592776705</v>
      </c>
      <c r="CM171" s="21">
        <f>EXP(-LN(2)/2)*CM170+(1-EXP(-LN(2)/2))/(LN(2)/2)*CG171*CJ171*VLOOKUP('Données projet'!$B$12,Paramètres!$A$1:$I$89,3,0)*0.475*44/12</f>
        <v>3.0204781639059161E-19</v>
      </c>
      <c r="CN171" s="22">
        <f t="shared" si="172"/>
        <v>4.9586660496002928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72.638639486636521</v>
      </c>
      <c r="CZ171" s="59">
        <f t="shared" si="150"/>
        <v>334.50638815329404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2.3483859796463324</v>
      </c>
      <c r="DG171" s="21">
        <f>EXP(-LN(2)/25)*DG170+(1-EXP(-LN(2)/25))/(LN(2)/25)*Calculateur!DB171*Calculateur!DD171*VLOOKUP('Données projet'!$B$13,Paramètres!$A$1:$I$89,3,0)*0.475*44/12</f>
        <v>0.70165562951633087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3.0500416091626632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68.016800235358346</v>
      </c>
      <c r="DU171" s="59">
        <f t="shared" si="152"/>
        <v>311.30433899203405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2.1712945779025112</v>
      </c>
      <c r="EB171" s="21">
        <f>EXP(-LN(2)/25)*EB170+(1-EXP(-LN(2)/25))/(LN(2)/25)*Calculateur!DW171*Calculateur!DY171*VLOOKUP('Données projet'!$B$14,Paramètres!$A$1:$I$89,3,0)*0.475*44/12</f>
        <v>0.64874389352001716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2.8200384714225284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439.06700232017681</v>
      </c>
      <c r="T172" s="59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487.04124684635974</v>
      </c>
      <c r="AO172" s="59">
        <f t="shared" si="144"/>
        <v>306.61893266146666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-5.9412741393316544E-14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356.31271939877655</v>
      </c>
      <c r="BJ172" s="59">
        <f t="shared" si="146"/>
        <v>499.70544707812991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0.47224414603875825</v>
      </c>
      <c r="BQ172" s="21">
        <f>EXP(-LN(2)/25)*BQ171+(1-EXP(-LN(2)/25))/(LN(2)/25)*Calculateur!BL172*Calculateur!BN172*VLOOKUP('Données projet'!$B$11,Paramètres!$A$1:$I$89,3,0)*0.475*44/12</f>
        <v>0.20197127954638489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0.67421542558514314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195.80903373714432</v>
      </c>
      <c r="CE172" s="59">
        <f t="shared" si="148"/>
        <v>388.30721786668977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3.7579853354327035</v>
      </c>
      <c r="CL172" s="21">
        <f>EXP(-LN(2)/25)*CL171+(1-EXP(-LN(2)/25))/(LN(2)/25)*Calculateur!CG172*Calculateur!CI172*VLOOKUP('Données projet'!$B$12,Paramètres!$A$1:$I$89,3,0)*0.475*44/12</f>
        <v>1.0947376935279634</v>
      </c>
      <c r="CM172" s="21">
        <f>EXP(-LN(2)/2)*CM171+(1-EXP(-LN(2)/2))/(LN(2)/2)*CG172*CJ172*VLOOKUP('Données projet'!$B$12,Paramètres!$A$1:$I$89,3,0)*0.475*44/12</f>
        <v>2.1358005921237655E-19</v>
      </c>
      <c r="CN172" s="22">
        <f t="shared" si="172"/>
        <v>4.8527230289606669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72.638639486636521</v>
      </c>
      <c r="CZ172" s="59">
        <f t="shared" si="150"/>
        <v>334.50638815329404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2.3023355629594802</v>
      </c>
      <c r="DG172" s="21">
        <f>EXP(-LN(2)/25)*DG171+(1-EXP(-LN(2)/25))/(LN(2)/25)*Calculateur!DB172*Calculateur!DD172*VLOOKUP('Données projet'!$B$13,Paramètres!$A$1:$I$89,3,0)*0.475*44/12</f>
        <v>0.68246881942874094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2.9848043823882211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68.016800235358346</v>
      </c>
      <c r="DU172" s="59">
        <f t="shared" si="152"/>
        <v>311.30433899203405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2.1287168155887661</v>
      </c>
      <c r="EB172" s="21">
        <f>EXP(-LN(2)/25)*EB171+(1-EXP(-LN(2)/25))/(LN(2)/25)*Calculateur!DW172*Calculateur!DY172*VLOOKUP('Données projet'!$B$14,Paramètres!$A$1:$I$89,3,0)*0.475*44/12</f>
        <v>0.63100395763575368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2.7597207732245197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439.06700232017681</v>
      </c>
      <c r="T173" s="59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487.04124684635974</v>
      </c>
      <c r="AO173" s="59">
        <f t="shared" si="144"/>
        <v>306.61893266146666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-5.9412741393316544E-14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356.31271939877655</v>
      </c>
      <c r="BJ173" s="59">
        <f t="shared" si="146"/>
        <v>499.70544707812991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0.46298372637542567</v>
      </c>
      <c r="BQ173" s="21">
        <f>EXP(-LN(2)/25)*BQ172+(1-EXP(-LN(2)/25))/(LN(2)/25)*Calculateur!BL173*Calculateur!BN173*VLOOKUP('Données projet'!$B$11,Paramètres!$A$1:$I$89,3,0)*0.475*44/12</f>
        <v>0.196448364285981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0.65943209066140662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195.80903373714432</v>
      </c>
      <c r="CE173" s="59">
        <f t="shared" si="148"/>
        <v>388.30721786668977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3.6842935351495925</v>
      </c>
      <c r="CL173" s="21">
        <f>EXP(-LN(2)/25)*CL172+(1-EXP(-LN(2)/25))/(LN(2)/25)*Calculateur!CG173*Calculateur!CI173*VLOOKUP('Données projet'!$B$12,Paramètres!$A$1:$I$89,3,0)*0.475*44/12</f>
        <v>1.0648020337286879</v>
      </c>
      <c r="CM173" s="21">
        <f>EXP(-LN(2)/2)*CM172+(1-EXP(-LN(2)/2))/(LN(2)/2)*CG173*CJ173*VLOOKUP('Données projet'!$B$12,Paramètres!$A$1:$I$89,3,0)*0.475*44/12</f>
        <v>1.5102390819529583E-19</v>
      </c>
      <c r="CN173" s="22">
        <f t="shared" si="172"/>
        <v>4.7490955688782801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72.638639486636521</v>
      </c>
      <c r="CZ173" s="59">
        <f t="shared" si="150"/>
        <v>334.50638815329404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2.2571881668558764</v>
      </c>
      <c r="DG173" s="21">
        <f>EXP(-LN(2)/25)*DG172+(1-EXP(-LN(2)/25))/(LN(2)/25)*Calculateur!DB173*Calculateur!DD173*VLOOKUP('Données projet'!$B$13,Paramètres!$A$1:$I$89,3,0)*0.475*44/12</f>
        <v>0.66380667367198665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2.9209948405278632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68.016800235358346</v>
      </c>
      <c r="DU173" s="59">
        <f t="shared" si="152"/>
        <v>311.30433899203405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2.0869739772241225</v>
      </c>
      <c r="EB173" s="21">
        <f>EXP(-LN(2)/25)*EB172+(1-EXP(-LN(2)/25))/(LN(2)/25)*Calculateur!DW173*Calculateur!DY173*VLOOKUP('Données projet'!$B$14,Paramètres!$A$1:$I$89,3,0)*0.475*44/12</f>
        <v>0.613749121231148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2.7007230984552706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439.06700232017681</v>
      </c>
      <c r="T174" s="59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487.04124684635974</v>
      </c>
      <c r="AO174" s="59">
        <f t="shared" si="144"/>
        <v>306.61893266146666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-5.9412741393316544E-14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356.31271939877655</v>
      </c>
      <c r="BJ174" s="59">
        <f t="shared" si="146"/>
        <v>499.70544707812991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0.45390489789339278</v>
      </c>
      <c r="BQ174" s="21">
        <f>EXP(-LN(2)/25)*BQ173+(1-EXP(-LN(2)/25))/(LN(2)/25)*Calculateur!BL174*Calculateur!BN174*VLOOKUP('Données projet'!$B$11,Paramètres!$A$1:$I$89,3,0)*0.475*44/12</f>
        <v>0.19107647343381037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0.64498137132720312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195.80903373714432</v>
      </c>
      <c r="CE174" s="59">
        <f t="shared" si="148"/>
        <v>388.30721786668977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3.6120467861224732</v>
      </c>
      <c r="CL174" s="21">
        <f>EXP(-LN(2)/25)*CL173+(1-EXP(-LN(2)/25))/(LN(2)/25)*Calculateur!CG174*Calculateur!CI174*VLOOKUP('Données projet'!$B$12,Paramètres!$A$1:$I$89,3,0)*0.475*44/12</f>
        <v>1.0356849661208716</v>
      </c>
      <c r="CM174" s="21">
        <f>EXP(-LN(2)/2)*CM173+(1-EXP(-LN(2)/2))/(LN(2)/2)*CG174*CJ174*VLOOKUP('Données projet'!$B$12,Paramètres!$A$1:$I$89,3,0)*0.475*44/12</f>
        <v>1.067900296061883E-19</v>
      </c>
      <c r="CN174" s="22">
        <f t="shared" si="172"/>
        <v>4.6477317522433452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72.638639486636521</v>
      </c>
      <c r="CZ174" s="59">
        <f t="shared" si="150"/>
        <v>334.50638815329404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2.2129260836526718</v>
      </c>
      <c r="DG174" s="21">
        <f>EXP(-LN(2)/25)*DG173+(1-EXP(-LN(2)/25))/(LN(2)/25)*Calculateur!DB174*Calculateur!DD174*VLOOKUP('Données projet'!$B$13,Paramètres!$A$1:$I$89,3,0)*0.475*44/12</f>
        <v>0.6456548452723504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2.8585809289250221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68.016800235358346</v>
      </c>
      <c r="DU174" s="59">
        <f t="shared" si="152"/>
        <v>311.30433899203405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2.0460496904591925</v>
      </c>
      <c r="EB174" s="21">
        <f>EXP(-LN(2)/25)*EB173+(1-EXP(-LN(2)/25))/(LN(2)/25)*Calculateur!DW174*Calculateur!DY174*VLOOKUP('Données projet'!$B$14,Paramètres!$A$1:$I$89,3,0)*0.475*44/12</f>
        <v>0.59696611923541876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2.643015809694611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439.06700232017681</v>
      </c>
      <c r="T175" s="59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487.04124684635974</v>
      </c>
      <c r="AO175" s="59">
        <f t="shared" si="144"/>
        <v>306.61893266146666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-5.9412741393316544E-14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356.31271939877655</v>
      </c>
      <c r="BJ175" s="59">
        <f t="shared" si="146"/>
        <v>499.70544707812991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0.44500409970035393</v>
      </c>
      <c r="BQ175" s="21">
        <f>EXP(-LN(2)/25)*BQ174+(1-EXP(-LN(2)/25))/(LN(2)/25)*Calculateur!BL175*Calculateur!BN175*VLOOKUP('Données projet'!$B$11,Paramètres!$A$1:$I$89,3,0)*0.475*44/12</f>
        <v>0.1858514772194878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0.63085557691984173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195.80903373714432</v>
      </c>
      <c r="CE175" s="59">
        <f t="shared" si="148"/>
        <v>388.30721786668977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3.5412167517776099</v>
      </c>
      <c r="CL175" s="21">
        <f>EXP(-LN(2)/25)*CL174+(1-EXP(-LN(2)/25))/(LN(2)/25)*Calculateur!CG175*Calculateur!CI175*VLOOKUP('Données projet'!$B$12,Paramètres!$A$1:$I$89,3,0)*0.475*44/12</f>
        <v>1.007364106257991</v>
      </c>
      <c r="CM175" s="21">
        <f>EXP(-LN(2)/2)*CM174+(1-EXP(-LN(2)/2))/(LN(2)/2)*CG175*CJ175*VLOOKUP('Données projet'!$B$12,Paramètres!$A$1:$I$89,3,0)*0.475*44/12</f>
        <v>7.5511954097647927E-20</v>
      </c>
      <c r="CN175" s="22">
        <f t="shared" si="172"/>
        <v>4.5485808580356011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72.638639486636521</v>
      </c>
      <c r="CZ175" s="59">
        <f t="shared" si="150"/>
        <v>334.50638815329404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2.1695319529038772</v>
      </c>
      <c r="DG175" s="21">
        <f>EXP(-LN(2)/25)*DG174+(1-EXP(-LN(2)/25))/(LN(2)/25)*Calculateur!DB175*Calculateur!DD175*VLOOKUP('Données projet'!$B$13,Paramètres!$A$1:$I$89,3,0)*0.475*44/12</f>
        <v>0.62799937957486529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2.7975313324787425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68.016800235358346</v>
      </c>
      <c r="DU175" s="59">
        <f t="shared" si="152"/>
        <v>311.30433899203405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2.0059279039963722</v>
      </c>
      <c r="EB175" s="21">
        <f>EXP(-LN(2)/25)*EB174+(1-EXP(-LN(2)/25))/(LN(2)/25)*Calculateur!DW175*Calculateur!DY175*VLOOKUP('Données projet'!$B$14,Paramètres!$A$1:$I$89,3,0)*0.475*44/12</f>
        <v>0.58064204931184238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2.5865699533082145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439.06700232017681</v>
      </c>
      <c r="T176" s="59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487.04124684635974</v>
      </c>
      <c r="AO176" s="59">
        <f t="shared" si="144"/>
        <v>306.61893266146666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-5.9412741393316544E-14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356.31271939877655</v>
      </c>
      <c r="BJ176" s="59">
        <f t="shared" si="146"/>
        <v>499.70544707812991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0.43627784073092973</v>
      </c>
      <c r="BQ176" s="21">
        <f>EXP(-LN(2)/25)*BQ175+(1-EXP(-LN(2)/25))/(LN(2)/25)*Calculateur!BL176*Calculateur!BN176*VLOOKUP('Données projet'!$B$11,Paramètres!$A$1:$I$89,3,0)*0.475*44/12</f>
        <v>0.18076935880141648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0.61704719953234621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195.80903373714432</v>
      </c>
      <c r="CE176" s="59">
        <f t="shared" si="148"/>
        <v>388.30721786668977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3.4717756512041942</v>
      </c>
      <c r="CL176" s="21">
        <f>EXP(-LN(2)/25)*CL175+(1-EXP(-LN(2)/25))/(LN(2)/25)*Calculateur!CG176*Calculateur!CI176*VLOOKUP('Données projet'!$B$12,Paramètres!$A$1:$I$89,3,0)*0.475*44/12</f>
        <v>0.97981768179739026</v>
      </c>
      <c r="CM176" s="21">
        <f>EXP(-LN(2)/2)*CM175+(1-EXP(-LN(2)/2))/(LN(2)/2)*CG176*CJ176*VLOOKUP('Données projet'!$B$12,Paramètres!$A$1:$I$89,3,0)*0.475*44/12</f>
        <v>5.3395014803094156E-20</v>
      </c>
      <c r="CN176" s="22">
        <f t="shared" si="172"/>
        <v>4.4515933330015844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72.638639486636521</v>
      </c>
      <c r="CZ176" s="59">
        <f t="shared" si="150"/>
        <v>334.50638815329404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2.12698875459126</v>
      </c>
      <c r="DG176" s="21">
        <f>EXP(-LN(2)/25)*DG175+(1-EXP(-LN(2)/25))/(LN(2)/25)*Calculateur!DB176*Calculateur!DD176*VLOOKUP('Données projet'!$B$13,Paramètres!$A$1:$I$89,3,0)*0.475*44/12</f>
        <v>0.61082670351533852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2.7378154581065983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68.016800235358346</v>
      </c>
      <c r="DU176" s="59">
        <f t="shared" si="152"/>
        <v>311.30433899203405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1.9665928812942146</v>
      </c>
      <c r="EB176" s="21">
        <f>EXP(-LN(2)/25)*EB175+(1-EXP(-LN(2)/25))/(LN(2)/25)*Calculateur!DW176*Calculateur!DY176*VLOOKUP('Données projet'!$B$14,Paramètres!$A$1:$I$89,3,0)*0.475*44/12</f>
        <v>0.56476436193877178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2.5313572432329865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439.06700232017681</v>
      </c>
      <c r="T177" s="59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487.04124684635974</v>
      </c>
      <c r="AO177" s="59">
        <f t="shared" si="144"/>
        <v>306.61893266146666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-5.9412741393316544E-14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356.31271939877655</v>
      </c>
      <c r="BJ177" s="59">
        <f t="shared" si="146"/>
        <v>499.70544707812991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0.42772269837740357</v>
      </c>
      <c r="BQ177" s="21">
        <f>EXP(-LN(2)/25)*BQ176+(1-EXP(-LN(2)/25))/(LN(2)/25)*Calculateur!BL177*Calculateur!BN177*VLOOKUP('Données projet'!$B$11,Paramètres!$A$1:$I$89,3,0)*0.475*44/12</f>
        <v>0.17582621117874431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0.60354890955614793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195.80903373714432</v>
      </c>
      <c r="CE177" s="59">
        <f t="shared" si="148"/>
        <v>388.30721786668977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3.4036962482581341</v>
      </c>
      <c r="CL177" s="21">
        <f>EXP(-LN(2)/25)*CL176+(1-EXP(-LN(2)/25))/(LN(2)/25)*Calculateur!CG177*Calculateur!CI177*VLOOKUP('Données projet'!$B$12,Paramètres!$A$1:$I$89,3,0)*0.475*44/12</f>
        <v>0.9530245157622681</v>
      </c>
      <c r="CM177" s="21">
        <f>EXP(-LN(2)/2)*CM176+(1-EXP(-LN(2)/2))/(LN(2)/2)*CG177*CJ177*VLOOKUP('Données projet'!$B$12,Paramètres!$A$1:$I$89,3,0)*0.475*44/12</f>
        <v>3.775597704882397E-20</v>
      </c>
      <c r="CN177" s="22">
        <f t="shared" si="172"/>
        <v>4.3567207640204018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72.638639486636521</v>
      </c>
      <c r="CZ177" s="59">
        <f t="shared" si="150"/>
        <v>334.50638815329404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2.0852798024487647</v>
      </c>
      <c r="DG177" s="21">
        <f>EXP(-LN(2)/25)*DG176+(1-EXP(-LN(2)/25))/(LN(2)/25)*Calculateur!DB177*Calculateur!DD177*VLOOKUP('Données projet'!$B$13,Paramètres!$A$1:$I$89,3,0)*0.475*44/12</f>
        <v>0.59412361518573131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2.6794034176344961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68.016800235358346</v>
      </c>
      <c r="DU177" s="59">
        <f t="shared" si="152"/>
        <v>311.30433899203405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1.9280291943952514</v>
      </c>
      <c r="EB177" s="21">
        <f>EXP(-LN(2)/25)*EB176+(1-EXP(-LN(2)/25))/(LN(2)/25)*Calculateur!DW177*Calculateur!DY177*VLOOKUP('Données projet'!$B$14,Paramètres!$A$1:$I$89,3,0)*0.475*44/12</f>
        <v>0.54932085076188908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2.4773500451571406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439.06700232017681</v>
      </c>
      <c r="T178" s="59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487.04124684635974</v>
      </c>
      <c r="AO178" s="59">
        <f t="shared" si="144"/>
        <v>306.61893266146666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-5.9412741393316544E-14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356.31271939877655</v>
      </c>
      <c r="BJ178" s="59">
        <f t="shared" si="146"/>
        <v>499.70544707812991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0.41933531714730843</v>
      </c>
      <c r="BQ178" s="21">
        <f>EXP(-LN(2)/25)*BQ177+(1-EXP(-LN(2)/25))/(LN(2)/25)*Calculateur!BL178*Calculateur!BN178*VLOOKUP('Données projet'!$B$11,Paramètres!$A$1:$I$89,3,0)*0.475*44/12</f>
        <v>0.17101823418776296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0.59035355133507139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195.80903373714432</v>
      </c>
      <c r="CE178" s="59">
        <f t="shared" si="148"/>
        <v>388.30721786668977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3.3369518408795105</v>
      </c>
      <c r="CL178" s="21">
        <f>EXP(-LN(2)/25)*CL177+(1-EXP(-LN(2)/25))/(LN(2)/25)*Calculateur!CG178*Calculateur!CI178*VLOOKUP('Données projet'!$B$12,Paramètres!$A$1:$I$89,3,0)*0.475*44/12</f>
        <v>0.92696401026136777</v>
      </c>
      <c r="CM178" s="21">
        <f>EXP(-LN(2)/2)*CM177+(1-EXP(-LN(2)/2))/(LN(2)/2)*CG178*CJ178*VLOOKUP('Données projet'!$B$12,Paramètres!$A$1:$I$89,3,0)*0.475*44/12</f>
        <v>2.6697507401547084E-20</v>
      </c>
      <c r="CN178" s="22">
        <f t="shared" si="172"/>
        <v>4.2639158511408786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72.638639486636521</v>
      </c>
      <c r="CZ178" s="59">
        <f t="shared" si="150"/>
        <v>334.50638815329404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2.0443887374178344</v>
      </c>
      <c r="DG178" s="21">
        <f>EXP(-LN(2)/25)*DG177+(1-EXP(-LN(2)/25))/(LN(2)/25)*Calculateur!DB178*Calculateur!DD178*VLOOKUP('Données projet'!$B$13,Paramètres!$A$1:$I$89,3,0)*0.475*44/12</f>
        <v>0.5778772736848744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2.6222660111027087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68.016800235358346</v>
      </c>
      <c r="DU178" s="59">
        <f t="shared" si="152"/>
        <v>311.30433899203405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1.8902217178748506</v>
      </c>
      <c r="EB178" s="21">
        <f>EXP(-LN(2)/25)*EB177+(1-EXP(-LN(2)/25))/(LN(2)/25)*Calculateur!DW178*Calculateur!DY178*VLOOKUP('Données projet'!$B$14,Paramètres!$A$1:$I$89,3,0)*0.475*44/12</f>
        <v>0.53429964321027712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2.4245213610851275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439.06700232017681</v>
      </c>
      <c r="T179" s="59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487.04124684635974</v>
      </c>
      <c r="AO179" s="59">
        <f t="shared" si="144"/>
        <v>306.61893266146666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-5.9412741393316544E-14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356.31271939877655</v>
      </c>
      <c r="BJ179" s="59">
        <f t="shared" si="146"/>
        <v>499.70544707812991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0.41111240734733806</v>
      </c>
      <c r="BQ179" s="21">
        <f>EXP(-LN(2)/25)*BQ178+(1-EXP(-LN(2)/25))/(LN(2)/25)*Calculateur!BL179*Calculateur!BN179*VLOOKUP('Données projet'!$B$11,Paramètres!$A$1:$I$89,3,0)*0.475*44/12</f>
        <v>0.16634173158044052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0.57745413892777853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195.80903373714432</v>
      </c>
      <c r="CE179" s="59">
        <f t="shared" si="148"/>
        <v>388.30721786668977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3.2715162506195132</v>
      </c>
      <c r="CL179" s="21">
        <f>EXP(-LN(2)/25)*CL178+(1-EXP(-LN(2)/25))/(LN(2)/25)*Calculateur!CG179*Calculateur!CI179*VLOOKUP('Données projet'!$B$12,Paramètres!$A$1:$I$89,3,0)*0.475*44/12</f>
        <v>0.90161613065385193</v>
      </c>
      <c r="CM179" s="21">
        <f>EXP(-LN(2)/2)*CM178+(1-EXP(-LN(2)/2))/(LN(2)/2)*CG179*CJ179*VLOOKUP('Données projet'!$B$12,Paramètres!$A$1:$I$89,3,0)*0.475*44/12</f>
        <v>1.8877988524411988E-20</v>
      </c>
      <c r="CN179" s="22">
        <f t="shared" si="172"/>
        <v>4.1731323812733656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72.638639486636521</v>
      </c>
      <c r="CZ179" s="59">
        <f t="shared" si="150"/>
        <v>334.50638815329404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2.0042995212310739</v>
      </c>
      <c r="DG179" s="21">
        <f>EXP(-LN(2)/25)*DG178+(1-EXP(-LN(2)/25))/(LN(2)/25)*Calculateur!DB179*Calculateur!DD179*VLOOKUP('Données projet'!$B$13,Paramètres!$A$1:$I$89,3,0)*0.475*44/12</f>
        <v>0.5620751892467164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2.5663747104777901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68.016800235358346</v>
      </c>
      <c r="DU179" s="59">
        <f t="shared" si="152"/>
        <v>311.30433899203405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1.8531556229087311</v>
      </c>
      <c r="EB179" s="21">
        <f>EXP(-LN(2)/25)*EB178+(1-EXP(-LN(2)/25))/(LN(2)/25)*Calculateur!DW179*Calculateur!DY179*VLOOKUP('Données projet'!$B$14,Paramètres!$A$1:$I$89,3,0)*0.475*44/12</f>
        <v>0.51968919136909497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2.3728448142778262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439.06700232017681</v>
      </c>
      <c r="T180" s="59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487.04124684635974</v>
      </c>
      <c r="AO180" s="59">
        <f t="shared" si="144"/>
        <v>306.61893266146666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-5.9412741393316544E-14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356.31271939877655</v>
      </c>
      <c r="BJ180" s="59">
        <f t="shared" si="146"/>
        <v>499.70544707812991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0.40305074379306538</v>
      </c>
      <c r="BQ180" s="21">
        <f>EXP(-LN(2)/25)*BQ179+(1-EXP(-LN(2)/25))/(LN(2)/25)*Calculateur!BL180*Calculateur!BN180*VLOOKUP('Données projet'!$B$11,Paramètres!$A$1:$I$89,3,0)*0.475*44/12</f>
        <v>0.1617931081828419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0.56484385197590725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195.80903373714432</v>
      </c>
      <c r="CE180" s="59">
        <f t="shared" si="148"/>
        <v>388.30721786668977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3.2073638123727455</v>
      </c>
      <c r="CL180" s="21">
        <f>EXP(-LN(2)/25)*CL179+(1-EXP(-LN(2)/25))/(LN(2)/25)*Calculateur!CG180*Calculateur!CI180*VLOOKUP('Données projet'!$B$12,Paramètres!$A$1:$I$89,3,0)*0.475*44/12</f>
        <v>0.87696139014719077</v>
      </c>
      <c r="CM180" s="21">
        <f>EXP(-LN(2)/2)*CM179+(1-EXP(-LN(2)/2))/(LN(2)/2)*CG180*CJ180*VLOOKUP('Données projet'!$B$12,Paramètres!$A$1:$I$89,3,0)*0.475*44/12</f>
        <v>1.3348753700773544E-20</v>
      </c>
      <c r="CN180" s="22">
        <f t="shared" si="172"/>
        <v>4.0843252025199366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72.638639486636521</v>
      </c>
      <c r="CZ180" s="59">
        <f t="shared" si="150"/>
        <v>334.50638815329404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1.9649964301217284</v>
      </c>
      <c r="DG180" s="21">
        <f>EXP(-LN(2)/25)*DG179+(1-EXP(-LN(2)/25))/(LN(2)/25)*Calculateur!DB180*Calculateur!DD180*VLOOKUP('Données projet'!$B$13,Paramètres!$A$1:$I$89,3,0)*0.475*44/12</f>
        <v>0.54670521363851543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2.5117016437602437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68.016800235358346</v>
      </c>
      <c r="DU180" s="59">
        <f t="shared" si="152"/>
        <v>311.30433899203405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1.8168163714568117</v>
      </c>
      <c r="EB180" s="21">
        <f>EXP(-LN(2)/25)*EB179+(1-EXP(-LN(2)/25))/(LN(2)/25)*Calculateur!DW180*Calculateur!DY180*VLOOKUP('Données projet'!$B$14,Paramètres!$A$1:$I$89,3,0)*0.475*44/12</f>
        <v>0.5054782631018403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2.3222946345586521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439.06700232017681</v>
      </c>
      <c r="T181" s="59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487.04124684635974</v>
      </c>
      <c r="AO181" s="59">
        <f t="shared" si="144"/>
        <v>306.61893266146666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-5.9412741393316544E-14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356.31271939877655</v>
      </c>
      <c r="BJ181" s="59">
        <f t="shared" si="146"/>
        <v>499.70544707812991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0.3951471645439627</v>
      </c>
      <c r="BQ181" s="21">
        <f>EXP(-LN(2)/25)*BQ180+(1-EXP(-LN(2)/25))/(LN(2)/25)*Calculateur!BL181*Calculateur!BN181*VLOOKUP('Données projet'!$B$11,Paramètres!$A$1:$I$89,3,0)*0.475*44/12</f>
        <v>0.15736886713125231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0.55251603167521501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195.80903373714432</v>
      </c>
      <c r="CE181" s="59">
        <f t="shared" si="148"/>
        <v>388.30721786668977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3.144469364310873</v>
      </c>
      <c r="CL181" s="21">
        <f>EXP(-LN(2)/25)*CL180+(1-EXP(-LN(2)/25))/(LN(2)/25)*Calculateur!CG181*Calculateur!CI181*VLOOKUP('Données projet'!$B$12,Paramètres!$A$1:$I$89,3,0)*0.475*44/12</f>
        <v>0.85298083481622067</v>
      </c>
      <c r="CM181" s="21">
        <f>EXP(-LN(2)/2)*CM180+(1-EXP(-LN(2)/2))/(LN(2)/2)*CG181*CJ181*VLOOKUP('Données projet'!$B$12,Paramètres!$A$1:$I$89,3,0)*0.475*44/12</f>
        <v>9.4389942622059954E-21</v>
      </c>
      <c r="CN181" s="22">
        <f t="shared" si="172"/>
        <v>3.9974501991270937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72.638639486636521</v>
      </c>
      <c r="CZ181" s="59">
        <f t="shared" si="150"/>
        <v>334.50638815329404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1.9264640486565188</v>
      </c>
      <c r="DG181" s="21">
        <f>EXP(-LN(2)/25)*DG180+(1-EXP(-LN(2)/25))/(LN(2)/25)*Calculateur!DB181*Calculateur!DD181*VLOOKUP('Données projet'!$B$13,Paramètres!$A$1:$I$89,3,0)*0.475*44/12</f>
        <v>0.53175553082159255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2.4582195794781114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68.016800235358346</v>
      </c>
      <c r="DU181" s="59">
        <f t="shared" si="152"/>
        <v>311.30433899203405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1.7811897105611096</v>
      </c>
      <c r="EB181" s="21">
        <f>EXP(-LN(2)/25)*EB180+(1-EXP(-LN(2)/25))/(LN(2)/25)*Calculateur!DW181*Calculateur!DY181*VLOOKUP('Données projet'!$B$14,Paramètres!$A$1:$I$89,3,0)*0.475*44/12</f>
        <v>0.49165593341537389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2.2728456439764835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439.06700232017681</v>
      </c>
      <c r="T182" s="59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487.04124684635974</v>
      </c>
      <c r="AO182" s="59">
        <f t="shared" si="144"/>
        <v>306.61893266146666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-5.9412741393316544E-14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356.31271939877655</v>
      </c>
      <c r="BJ182" s="59">
        <f t="shared" si="146"/>
        <v>499.70544707812991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0.38739856966322761</v>
      </c>
      <c r="BQ182" s="21">
        <f>EXP(-LN(2)/25)*BQ181+(1-EXP(-LN(2)/25))/(LN(2)/25)*Calculateur!BL182*Calculateur!BN182*VLOOKUP('Données projet'!$B$11,Paramètres!$A$1:$I$89,3,0)*0.475*44/12</f>
        <v>0.15306560718387915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0.54046417684710679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195.80903373714432</v>
      </c>
      <c r="CE182" s="59">
        <f t="shared" si="148"/>
        <v>388.30721786668977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3.0828082380136683</v>
      </c>
      <c r="CL182" s="21">
        <f>EXP(-LN(2)/25)*CL181+(1-EXP(-LN(2)/25))/(LN(2)/25)*Calculateur!CG182*Calculateur!CI182*VLOOKUP('Données projet'!$B$12,Paramètres!$A$1:$I$89,3,0)*0.475*44/12</f>
        <v>0.82965602903185853</v>
      </c>
      <c r="CM182" s="21">
        <f>EXP(-LN(2)/2)*CM181+(1-EXP(-LN(2)/2))/(LN(2)/2)*CG182*CJ182*VLOOKUP('Données projet'!$B$12,Paramètres!$A$1:$I$89,3,0)*0.475*44/12</f>
        <v>6.6743768503867726E-21</v>
      </c>
      <c r="CN182" s="22">
        <f t="shared" si="172"/>
        <v>3.912464267045527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72.638639486636521</v>
      </c>
      <c r="CZ182" s="59">
        <f t="shared" si="150"/>
        <v>334.50638815329404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1.8886872636894099</v>
      </c>
      <c r="DG182" s="21">
        <f>EXP(-LN(2)/25)*DG181+(1-EXP(-LN(2)/25))/(LN(2)/25)*Calculateur!DB182*Calculateur!DD182*VLOOKUP('Données projet'!$B$13,Paramètres!$A$1:$I$89,3,0)*0.475*44/12</f>
        <v>0.51721464786746807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2.405901911556878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68.016800235358346</v>
      </c>
      <c r="DU182" s="59">
        <f t="shared" si="152"/>
        <v>311.30433899203405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1.7462616667554549</v>
      </c>
      <c r="EB182" s="21">
        <f>EXP(-LN(2)/25)*EB181+(1-EXP(-LN(2)/25))/(LN(2)/25)*Calculateur!DW182*Calculateur!DY182*VLOOKUP('Données projet'!$B$14,Paramètres!$A$1:$I$89,3,0)*0.475*44/12</f>
        <v>0.47821157606106862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2.2244732428165235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439.06700232017681</v>
      </c>
      <c r="T183" s="59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487.04124684635974</v>
      </c>
      <c r="AO183" s="59">
        <f t="shared" si="144"/>
        <v>306.61893266146666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-5.9412741393316544E-14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356.31271939877655</v>
      </c>
      <c r="BJ183" s="59">
        <f t="shared" si="146"/>
        <v>499.70544707812991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0.37980192000192753</v>
      </c>
      <c r="BQ183" s="21">
        <f>EXP(-LN(2)/25)*BQ182+(1-EXP(-LN(2)/25))/(LN(2)/25)*Calculateur!BL183*Calculateur!BN183*VLOOKUP('Données projet'!$B$11,Paramètres!$A$1:$I$89,3,0)*0.475*44/12</f>
        <v>0.14888002010606555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0.52868194010799308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195.80903373714432</v>
      </c>
      <c r="CE183" s="59">
        <f t="shared" si="148"/>
        <v>388.30721786668977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3.0223562487935784</v>
      </c>
      <c r="CL183" s="21">
        <f>EXP(-LN(2)/25)*CL182+(1-EXP(-LN(2)/25))/(LN(2)/25)*Calculateur!CG183*Calculateur!CI183*VLOOKUP('Données projet'!$B$12,Paramètres!$A$1:$I$89,3,0)*0.475*44/12</f>
        <v>0.80696904128826796</v>
      </c>
      <c r="CM183" s="21">
        <f>EXP(-LN(2)/2)*CM182+(1-EXP(-LN(2)/2))/(LN(2)/2)*CG183*CJ183*VLOOKUP('Données projet'!$B$12,Paramètres!$A$1:$I$89,3,0)*0.475*44/12</f>
        <v>4.7194971311029985E-21</v>
      </c>
      <c r="CN183" s="22">
        <f t="shared" si="172"/>
        <v>3.8293252900818464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72.638639486636521</v>
      </c>
      <c r="CZ183" s="59">
        <f t="shared" si="150"/>
        <v>334.50638815329404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1.8516512584339422</v>
      </c>
      <c r="DG183" s="21">
        <f>EXP(-LN(2)/25)*DG182+(1-EXP(-LN(2)/25))/(LN(2)/25)*Calculateur!DB183*Calculateur!DD183*VLOOKUP('Données projet'!$B$13,Paramètres!$A$1:$I$89,3,0)*0.475*44/12</f>
        <v>0.50307138612239588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2.3547226445563378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68.016800235358346</v>
      </c>
      <c r="DU183" s="59">
        <f t="shared" si="152"/>
        <v>311.30433899203405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1.7120185405848258</v>
      </c>
      <c r="EB183" s="21">
        <f>EXP(-LN(2)/25)*EB182+(1-EXP(-LN(2)/25))/(LN(2)/25)*Calculateur!DW183*Calculateur!DY183*VLOOKUP('Données projet'!$B$14,Paramètres!$A$1:$I$89,3,0)*0.475*44/12</f>
        <v>0.46513485536562488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2.1771533959504508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439.06700232017681</v>
      </c>
      <c r="T184" s="59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487.04124684635974</v>
      </c>
      <c r="AO184" s="59">
        <f t="shared" si="144"/>
        <v>306.61893266146666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-5.9412741393316544E-14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356.31271939877655</v>
      </c>
      <c r="BJ184" s="59">
        <f t="shared" si="146"/>
        <v>499.70544707812991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0.37235423600698675</v>
      </c>
      <c r="BQ184" s="21">
        <f>EXP(-LN(2)/25)*BQ183+(1-EXP(-LN(2)/25))/(LN(2)/25)*Calculateur!BL184*Calculateur!BN184*VLOOKUP('Données projet'!$B$11,Paramètres!$A$1:$I$89,3,0)*0.475*44/12</f>
        <v>0.14480888812700521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0.51716312413399201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195.80903373714432</v>
      </c>
      <c r="CE184" s="59">
        <f t="shared" si="148"/>
        <v>388.30721786668977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2.9630896862100222</v>
      </c>
      <c r="CL184" s="21">
        <f>EXP(-LN(2)/25)*CL183+(1-EXP(-LN(2)/25))/(LN(2)/25)*Calculateur!CG184*Calculateur!CI184*VLOOKUP('Données projet'!$B$12,Paramètres!$A$1:$I$89,3,0)*0.475*44/12</f>
        <v>0.78490243041758279</v>
      </c>
      <c r="CM184" s="21">
        <f>EXP(-LN(2)/2)*CM183+(1-EXP(-LN(2)/2))/(LN(2)/2)*CG184*CJ184*VLOOKUP('Données projet'!$B$12,Paramètres!$A$1:$I$89,3,0)*0.475*44/12</f>
        <v>3.337188425193387E-21</v>
      </c>
      <c r="CN184" s="22">
        <f t="shared" si="172"/>
        <v>3.7479921166276049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72.638639486636521</v>
      </c>
      <c r="CZ184" s="59">
        <f t="shared" si="150"/>
        <v>334.50638815329404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1.8153415066518017</v>
      </c>
      <c r="DG184" s="21">
        <f>EXP(-LN(2)/25)*DG183+(1-EXP(-LN(2)/25))/(LN(2)/25)*Calculateur!DB184*Calculateur!DD184*VLOOKUP('Données projet'!$B$13,Paramètres!$A$1:$I$89,3,0)*0.475*44/12</f>
        <v>0.48931487261350454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2.3046563792653063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68.016800235358346</v>
      </c>
      <c r="DU184" s="59">
        <f t="shared" si="152"/>
        <v>311.30433899203405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1.6784469012321581</v>
      </c>
      <c r="EB184" s="21">
        <f>EXP(-LN(2)/25)*EB183+(1-EXP(-LN(2)/25))/(LN(2)/25)*Calculateur!DW184*Calculateur!DY184*VLOOKUP('Données projet'!$B$14,Paramètres!$A$1:$I$89,3,0)*0.475*44/12</f>
        <v>0.45241571828527288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2.1308626195174312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439.06700232017681</v>
      </c>
      <c r="T185" s="59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487.04124684635974</v>
      </c>
      <c r="AO185" s="59">
        <f t="shared" si="144"/>
        <v>306.61893266146666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-5.9412741393316544E-14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356.31271939877655</v>
      </c>
      <c r="BJ185" s="59">
        <f t="shared" si="146"/>
        <v>499.70544707812991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0.36505259655254807</v>
      </c>
      <c r="BQ185" s="21">
        <f>EXP(-LN(2)/25)*BQ184+(1-EXP(-LN(2)/25))/(LN(2)/25)*Calculateur!BL185*Calculateur!BN185*VLOOKUP('Données projet'!$B$11,Paramètres!$A$1:$I$89,3,0)*0.475*44/12</f>
        <v>0.14084908146600378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0.5059016780185519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195.80903373714432</v>
      </c>
      <c r="CE185" s="59">
        <f t="shared" si="148"/>
        <v>388.30721786668977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2.9049853047696956</v>
      </c>
      <c r="CL185" s="21">
        <f>EXP(-LN(2)/25)*CL184+(1-EXP(-LN(2)/25))/(LN(2)/25)*Calculateur!CG185*Calculateur!CI185*VLOOKUP('Données projet'!$B$12,Paramètres!$A$1:$I$89,3,0)*0.475*44/12</f>
        <v>0.76343923218158904</v>
      </c>
      <c r="CM185" s="21">
        <f>EXP(-LN(2)/2)*CM184+(1-EXP(-LN(2)/2))/(LN(2)/2)*CG185*CJ185*VLOOKUP('Données projet'!$B$12,Paramètres!$A$1:$I$89,3,0)*0.475*44/12</f>
        <v>2.3597485655514996E-21</v>
      </c>
      <c r="CN185" s="22">
        <f t="shared" si="172"/>
        <v>3.6684245369512847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72.638639486636521</v>
      </c>
      <c r="CZ185" s="59">
        <f t="shared" si="150"/>
        <v>334.50638815329404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1.7797437669553471</v>
      </c>
      <c r="DG185" s="21">
        <f>EXP(-LN(2)/25)*DG184+(1-EXP(-LN(2)/25))/(LN(2)/25)*Calculateur!DB185*Calculateur!DD185*VLOOKUP('Données projet'!$B$13,Paramètres!$A$1:$I$89,3,0)*0.475*44/12</f>
        <v>0.47593453168993743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2.2556782986452846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68.016800235358346</v>
      </c>
      <c r="DU185" s="59">
        <f t="shared" si="152"/>
        <v>311.30433899203405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1.6455335812505181</v>
      </c>
      <c r="EB185" s="21">
        <f>EXP(-LN(2)/25)*EB184+(1-EXP(-LN(2)/25))/(LN(2)/25)*Calculateur!DW185*Calculateur!DY185*VLOOKUP('Données projet'!$B$14,Paramètres!$A$1:$I$89,3,0)*0.475*44/12</f>
        <v>0.44004438667725349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2.0855779679277715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439.06700232017681</v>
      </c>
      <c r="T186" s="59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487.04124684635974</v>
      </c>
      <c r="AO186" s="59">
        <f t="shared" si="144"/>
        <v>306.61893266146666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-5.9412741393316544E-14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356.31271939877655</v>
      </c>
      <c r="BJ186" s="59">
        <f t="shared" si="146"/>
        <v>499.70544707812991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0.35789413779425067</v>
      </c>
      <c r="BQ186" s="21">
        <f>EXP(-LN(2)/25)*BQ185+(1-EXP(-LN(2)/25))/(LN(2)/25)*Calculateur!BL186*Calculateur!BN186*VLOOKUP('Données projet'!$B$11,Paramètres!$A$1:$I$89,3,0)*0.475*44/12</f>
        <v>0.13699755592638463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0.4948916937206353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195.80903373714432</v>
      </c>
      <c r="CE186" s="59">
        <f t="shared" si="148"/>
        <v>388.30721786668977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2.8480203148092404</v>
      </c>
      <c r="CL186" s="21">
        <f>EXP(-LN(2)/25)*CL185+(1-EXP(-LN(2)/25))/(LN(2)/25)*Calculateur!CG186*Calculateur!CI186*VLOOKUP('Données projet'!$B$12,Paramètres!$A$1:$I$89,3,0)*0.475*44/12</f>
        <v>0.74256294623005914</v>
      </c>
      <c r="CM186" s="21">
        <f>EXP(-LN(2)/2)*CM185+(1-EXP(-LN(2)/2))/(LN(2)/2)*CG186*CJ186*VLOOKUP('Données projet'!$B$12,Paramètres!$A$1:$I$89,3,0)*0.475*44/12</f>
        <v>1.6685942125966937E-21</v>
      </c>
      <c r="CN186" s="22">
        <f t="shared" si="172"/>
        <v>3.5905832610392996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72.638639486636521</v>
      </c>
      <c r="CZ186" s="59">
        <f t="shared" si="150"/>
        <v>334.50638815329404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1.7448440772218627</v>
      </c>
      <c r="DG186" s="21">
        <f>EXP(-LN(2)/25)*DG185+(1-EXP(-LN(2)/25))/(LN(2)/25)*Calculateur!DB186*Calculateur!DD186*VLOOKUP('Données projet'!$B$13,Paramètres!$A$1:$I$89,3,0)*0.475*44/12</f>
        <v>0.46292007689256681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2.2077641541144297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68.016800235358346</v>
      </c>
      <c r="DU186" s="59">
        <f t="shared" si="152"/>
        <v>311.30433899203405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1.6132656713985751</v>
      </c>
      <c r="EB186" s="21">
        <f>EXP(-LN(2)/25)*EB185+(1-EXP(-LN(2)/25))/(LN(2)/25)*Calculateur!DW186*Calculateur!DY186*VLOOKUP('Données projet'!$B$14,Paramètres!$A$1:$I$89,3,0)*0.475*44/12</f>
        <v>0.42801134978263544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2.0412770211812106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439.06700232017681</v>
      </c>
      <c r="T187" s="59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487.04124684635974</v>
      </c>
      <c r="AO187" s="59">
        <f t="shared" si="144"/>
        <v>306.61893266146666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-5.9412741393316544E-14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356.31271939877655</v>
      </c>
      <c r="BJ187" s="59">
        <f t="shared" si="146"/>
        <v>499.70544707812991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0.35087605204597472</v>
      </c>
      <c r="BQ187" s="21">
        <f>EXP(-LN(2)/25)*BQ186+(1-EXP(-LN(2)/25))/(LN(2)/25)*Calculateur!BL187*Calculateur!BN187*VLOOKUP('Données projet'!$B$11,Paramètres!$A$1:$I$89,3,0)*0.475*44/12</f>
        <v>0.13325135055518927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0.48412740260116399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195.80903373714432</v>
      </c>
      <c r="CE187" s="59">
        <f t="shared" si="148"/>
        <v>388.30721786668977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2.792172373556697</v>
      </c>
      <c r="CL187" s="21">
        <f>EXP(-LN(2)/25)*CL186+(1-EXP(-LN(2)/25))/(LN(2)/25)*Calculateur!CG187*Calculateur!CI187*VLOOKUP('Données projet'!$B$12,Paramètres!$A$1:$I$89,3,0)*0.475*44/12</f>
        <v>0.72225752341571003</v>
      </c>
      <c r="CM187" s="21">
        <f>EXP(-LN(2)/2)*CM186+(1-EXP(-LN(2)/2))/(LN(2)/2)*CG187*CJ187*VLOOKUP('Données projet'!$B$12,Paramètres!$A$1:$I$89,3,0)*0.475*44/12</f>
        <v>1.17987428277575E-21</v>
      </c>
      <c r="CN187" s="22">
        <f t="shared" si="172"/>
        <v>3.5144298969724073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72.638639486636521</v>
      </c>
      <c r="CZ187" s="59">
        <f t="shared" si="150"/>
        <v>334.50638815329404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1.7106287491173431</v>
      </c>
      <c r="DG187" s="21">
        <f>EXP(-LN(2)/25)*DG186+(1-EXP(-LN(2)/25))/(LN(2)/25)*Calculateur!DB187*Calculateur!DD187*VLOOKUP('Données projet'!$B$13,Paramètres!$A$1:$I$89,3,0)*0.475*44/12</f>
        <v>0.45026150304603074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2.1608902521633739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68.016800235358346</v>
      </c>
      <c r="DU187" s="59">
        <f t="shared" si="152"/>
        <v>311.30433899203405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1.5816305155773471</v>
      </c>
      <c r="EB187" s="21">
        <f>EXP(-LN(2)/25)*EB186+(1-EXP(-LN(2)/25))/(LN(2)/25)*Calculateur!DW187*Calculateur!DY187*VLOOKUP('Données projet'!$B$14,Paramètres!$A$1:$I$89,3,0)*0.475*44/12</f>
        <v>0.41630735691469062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1.9979378724920378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439.06700232017681</v>
      </c>
      <c r="T188" s="59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487.04124684635974</v>
      </c>
      <c r="AO188" s="59">
        <f t="shared" si="144"/>
        <v>306.61893266146666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-5.9412741393316544E-14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356.31271939877655</v>
      </c>
      <c r="BJ188" s="59">
        <f t="shared" si="146"/>
        <v>499.70544707812991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0.34399558667861285</v>
      </c>
      <c r="BQ188" s="21">
        <f>EXP(-LN(2)/25)*BQ187+(1-EXP(-LN(2)/25))/(LN(2)/25)*Calculateur!BL188*Calculateur!BN188*VLOOKUP('Données projet'!$B$11,Paramètres!$A$1:$I$89,3,0)*0.475*44/12</f>
        <v>0.12960758536687364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0.47360317204548652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195.80903373714432</v>
      </c>
      <c r="CE188" s="59">
        <f t="shared" si="148"/>
        <v>388.30721786668977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2.737419576368235</v>
      </c>
      <c r="CL188" s="21">
        <f>EXP(-LN(2)/25)*CL187+(1-EXP(-LN(2)/25))/(LN(2)/25)*Calculateur!CG188*Calculateur!CI188*VLOOKUP('Données projet'!$B$12,Paramètres!$A$1:$I$89,3,0)*0.475*44/12</f>
        <v>0.70250735345603499</v>
      </c>
      <c r="CM188" s="21">
        <f>EXP(-LN(2)/2)*CM187+(1-EXP(-LN(2)/2))/(LN(2)/2)*CG188*CJ188*VLOOKUP('Données projet'!$B$12,Paramètres!$A$1:$I$89,3,0)*0.475*44/12</f>
        <v>8.3429710629834704E-22</v>
      </c>
      <c r="CN188" s="22">
        <f t="shared" si="172"/>
        <v>3.4399269298242698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72.638639486636521</v>
      </c>
      <c r="CZ188" s="59">
        <f t="shared" si="150"/>
        <v>334.50638815329404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1.6770843627276637</v>
      </c>
      <c r="DG188" s="21">
        <f>EXP(-LN(2)/25)*DG187+(1-EXP(-LN(2)/25))/(LN(2)/25)*Calculateur!DB188*Calculateur!DD188*VLOOKUP('Données projet'!$B$13,Paramètres!$A$1:$I$89,3,0)*0.475*44/12</f>
        <v>0.43794907856701365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2.1150334412946772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68.016800235358346</v>
      </c>
      <c r="DU188" s="59">
        <f t="shared" si="152"/>
        <v>311.30433899203405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1.5506157058662338</v>
      </c>
      <c r="EB188" s="21">
        <f>EXP(-LN(2)/25)*EB187+(1-EXP(-LN(2)/25))/(LN(2)/25)*Calculateur!DW188*Calculateur!DY188*VLOOKUP('Données projet'!$B$14,Paramètres!$A$1:$I$89,3,0)*0.475*44/12</f>
        <v>0.40492341034720597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1.9555391162134397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439.06700232017681</v>
      </c>
      <c r="T189" s="59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487.04124684635974</v>
      </c>
      <c r="AO189" s="59">
        <f t="shared" si="144"/>
        <v>306.61893266146666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-5.9412741393316544E-14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356.31271939877655</v>
      </c>
      <c r="BJ189" s="59">
        <f t="shared" si="146"/>
        <v>499.70544707812991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0.33725004304043549</v>
      </c>
      <c r="BQ189" s="21">
        <f>EXP(-LN(2)/25)*BQ188+(1-EXP(-LN(2)/25))/(LN(2)/25)*Calculateur!BL189*Calculateur!BN189*VLOOKUP('Données projet'!$B$11,Paramètres!$A$1:$I$89,3,0)*0.475*44/12</f>
        <v>0.12606345912924979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0.46331350216968525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195.80903373714432</v>
      </c>
      <c r="CE189" s="59">
        <f t="shared" si="148"/>
        <v>388.30721786668977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2.6837404481367302</v>
      </c>
      <c r="CL189" s="21">
        <f>EXP(-LN(2)/25)*CL188+(1-EXP(-LN(2)/25))/(LN(2)/25)*Calculateur!CG189*Calculateur!CI189*VLOOKUP('Données projet'!$B$12,Paramètres!$A$1:$I$89,3,0)*0.475*44/12</f>
        <v>0.68329725293252364</v>
      </c>
      <c r="CM189" s="21">
        <f>EXP(-LN(2)/2)*CM188+(1-EXP(-LN(2)/2))/(LN(2)/2)*CG189*CJ189*VLOOKUP('Données projet'!$B$12,Paramètres!$A$1:$I$89,3,0)*0.475*44/12</f>
        <v>5.8993714138787509E-22</v>
      </c>
      <c r="CN189" s="22">
        <f t="shared" si="172"/>
        <v>3.367037701069254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72.638639486636521</v>
      </c>
      <c r="CZ189" s="59">
        <f t="shared" si="150"/>
        <v>334.50638815329404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1.6441977612950305</v>
      </c>
      <c r="DG189" s="21">
        <f>EXP(-LN(2)/25)*DG188+(1-EXP(-LN(2)/25))/(LN(2)/25)*Calculateur!DB189*Calculateur!DD189*VLOOKUP('Données projet'!$B$13,Paramètres!$A$1:$I$89,3,0)*0.475*44/12</f>
        <v>0.42597333798285758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2.0701710992778879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68.016800235358346</v>
      </c>
      <c r="DU189" s="59">
        <f t="shared" si="152"/>
        <v>311.30433899203405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1.5202090776563892</v>
      </c>
      <c r="EB189" s="21">
        <f>EXP(-LN(2)/25)*EB188+(1-EXP(-LN(2)/25))/(LN(2)/25)*Calculateur!DW189*Calculateur!DY189*VLOOKUP('Données projet'!$B$14,Paramètres!$A$1:$I$89,3,0)*0.475*44/12</f>
        <v>0.39385075839726491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1.9140598360536543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439.06700232017681</v>
      </c>
      <c r="T190" s="59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487.04124684635974</v>
      </c>
      <c r="AO190" s="59">
        <f t="shared" si="144"/>
        <v>306.61893266146666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-5.9412741393316544E-14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356.31271939877655</v>
      </c>
      <c r="BJ190" s="59">
        <f t="shared" si="146"/>
        <v>499.70544707812991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0.3306367753986274</v>
      </c>
      <c r="BQ190" s="21">
        <f>EXP(-LN(2)/25)*BQ189+(1-EXP(-LN(2)/25))/(LN(2)/25)*Calculateur!BL190*Calculateur!BN190*VLOOKUP('Données projet'!$B$11,Paramètres!$A$1:$I$89,3,0)*0.475*44/12</f>
        <v>0.12261624720997126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0.45325302260859868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195.80903373714432</v>
      </c>
      <c r="CE190" s="59">
        <f t="shared" si="148"/>
        <v>388.30721786668977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2.63111393486881</v>
      </c>
      <c r="CL190" s="21">
        <f>EXP(-LN(2)/25)*CL189+(1-EXP(-LN(2)/25))/(LN(2)/25)*Calculateur!CG190*Calculateur!CI190*VLOOKUP('Données projet'!$B$12,Paramètres!$A$1:$I$89,3,0)*0.475*44/12</f>
        <v>0.66461245361804289</v>
      </c>
      <c r="CM190" s="21">
        <f>EXP(-LN(2)/2)*CM189+(1-EXP(-LN(2)/2))/(LN(2)/2)*CG190*CJ190*VLOOKUP('Données projet'!$B$12,Paramètres!$A$1:$I$89,3,0)*0.475*44/12</f>
        <v>4.1714855314917357E-22</v>
      </c>
      <c r="CN190" s="22">
        <f t="shared" si="172"/>
        <v>3.2957263884868526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72.638639486636521</v>
      </c>
      <c r="CZ190" s="59">
        <f t="shared" si="150"/>
        <v>334.50638815329404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1.611956046057645</v>
      </c>
      <c r="DG190" s="21">
        <f>EXP(-LN(2)/25)*DG189+(1-EXP(-LN(2)/25))/(LN(2)/25)*Calculateur!DB190*Calculateur!DD190*VLOOKUP('Données projet'!$B$13,Paramètres!$A$1:$I$89,3,0)*0.475*44/12</f>
        <v>0.41432507465475205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2.026281120712397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68.016800235358346</v>
      </c>
      <c r="DU190" s="59">
        <f t="shared" si="152"/>
        <v>311.30433899203405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1.490398704879528</v>
      </c>
      <c r="EB190" s="21">
        <f>EXP(-LN(2)/25)*EB189+(1-EXP(-LN(2)/25))/(LN(2)/25)*Calculateur!DW190*Calculateur!DY190*VLOOKUP('Données projet'!$B$14,Paramètres!$A$1:$I$89,3,0)*0.475*44/12</f>
        <v>0.38308088869718049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1.8734795935767083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439.06700232017681</v>
      </c>
      <c r="T191" s="59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487.04124684635974</v>
      </c>
      <c r="AO191" s="59">
        <f t="shared" si="144"/>
        <v>306.61893266146666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-5.9412741393316544E-14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356.31271939877655</v>
      </c>
      <c r="BJ191" s="59">
        <f t="shared" si="146"/>
        <v>499.70544707812991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0.32415318990158021</v>
      </c>
      <c r="BQ191" s="21">
        <f>EXP(-LN(2)/25)*BQ190+(1-EXP(-LN(2)/25))/(LN(2)/25)*Calculateur!BL191*Calculateur!BN191*VLOOKUP('Données projet'!$B$11,Paramètres!$A$1:$I$89,3,0)*0.475*44/12</f>
        <v>0.11926329948190639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0.4434164893834866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195.80903373714432</v>
      </c>
      <c r="CE191" s="59">
        <f t="shared" si="148"/>
        <v>388.30721786668977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2.5795193954270701</v>
      </c>
      <c r="CL191" s="21">
        <f>EXP(-LN(2)/25)*CL190+(1-EXP(-LN(2)/25))/(LN(2)/25)*Calculateur!CG191*Calculateur!CI191*VLOOKUP('Données projet'!$B$12,Paramètres!$A$1:$I$89,3,0)*0.475*44/12</f>
        <v>0.64643859112340751</v>
      </c>
      <c r="CM191" s="21">
        <f>EXP(-LN(2)/2)*CM190+(1-EXP(-LN(2)/2))/(LN(2)/2)*CG191*CJ191*VLOOKUP('Données projet'!$B$12,Paramètres!$A$1:$I$89,3,0)*0.475*44/12</f>
        <v>2.9496857069393759E-22</v>
      </c>
      <c r="CN191" s="22">
        <f t="shared" si="172"/>
        <v>3.2259579865504775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72.638639486636521</v>
      </c>
      <c r="CZ191" s="59">
        <f t="shared" si="150"/>
        <v>334.50638815329404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1.58034657119056</v>
      </c>
      <c r="DG191" s="21">
        <f>EXP(-LN(2)/25)*DG190+(1-EXP(-LN(2)/25))/(LN(2)/25)*Calculateur!DB191*Calculateur!DD191*VLOOKUP('Données projet'!$B$13,Paramètres!$A$1:$I$89,3,0)*0.475*44/12</f>
        <v>0.40299533369990914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1.983341904890469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68.016800235358346</v>
      </c>
      <c r="DU191" s="59">
        <f t="shared" si="152"/>
        <v>311.30433899203405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1.4611728953302889</v>
      </c>
      <c r="EB191" s="21">
        <f>EXP(-LN(2)/25)*EB190+(1-EXP(-LN(2)/25))/(LN(2)/25)*Calculateur!DW191*Calculateur!DY191*VLOOKUP('Données projet'!$B$14,Paramètres!$A$1:$I$89,3,0)*0.475*44/12</f>
        <v>0.37260552165040767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1.8337784169806965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439.06700232017681</v>
      </c>
      <c r="T192" s="59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487.04124684635974</v>
      </c>
      <c r="AO192" s="59">
        <f t="shared" si="144"/>
        <v>306.61893266146666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-5.9412741393316544E-14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356.31271939877655</v>
      </c>
      <c r="BJ192" s="59">
        <f t="shared" si="146"/>
        <v>499.70544707812991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0.31779674356153342</v>
      </c>
      <c r="BQ192" s="21">
        <f>EXP(-LN(2)/25)*BQ191+(1-EXP(-LN(2)/25))/(LN(2)/25)*Calculateur!BL192*Calculateur!BN192*VLOOKUP('Données projet'!$B$11,Paramètres!$A$1:$I$89,3,0)*0.475*44/12</f>
        <v>0.11600203828578932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0.43379878184732273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195.80903373714432</v>
      </c>
      <c r="CE192" s="59">
        <f t="shared" si="148"/>
        <v>388.30721786668977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2.5289365934342207</v>
      </c>
      <c r="CL192" s="21">
        <f>EXP(-LN(2)/25)*CL191+(1-EXP(-LN(2)/25))/(LN(2)/25)*Calculateur!CG192*Calculateur!CI192*VLOOKUP('Données projet'!$B$12,Paramètres!$A$1:$I$89,3,0)*0.475*44/12</f>
        <v>0.62876169385440983</v>
      </c>
      <c r="CM192" s="21">
        <f>EXP(-LN(2)/2)*CM191+(1-EXP(-LN(2)/2))/(LN(2)/2)*CG192*CJ192*VLOOKUP('Données projet'!$B$12,Paramètres!$A$1:$I$89,3,0)*0.475*44/12</f>
        <v>2.0857427657458681E-22</v>
      </c>
      <c r="CN192" s="22">
        <f t="shared" si="172"/>
        <v>3.1576982872886306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72.638639486636521</v>
      </c>
      <c r="CZ192" s="59">
        <f t="shared" si="150"/>
        <v>334.50638815329404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1.5493569388457427</v>
      </c>
      <c r="DG192" s="21">
        <f>EXP(-LN(2)/25)*DG191+(1-EXP(-LN(2)/25))/(LN(2)/25)*Calculateur!DB192*Calculateur!DD192*VLOOKUP('Données projet'!$B$13,Paramètres!$A$1:$I$89,3,0)*0.475*44/12</f>
        <v>0.39197540510728157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1.9413323439530243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68.016800235358346</v>
      </c>
      <c r="DU192" s="59">
        <f t="shared" si="152"/>
        <v>311.30433899203405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1.4325201860803267</v>
      </c>
      <c r="EB192" s="21">
        <f>EXP(-LN(2)/25)*EB191+(1-EXP(-LN(2)/25))/(LN(2)/25)*Calculateur!DW192*Calculateur!DY192*VLOOKUP('Données projet'!$B$14,Paramètres!$A$1:$I$89,3,0)*0.475*44/12</f>
        <v>0.36241660406640447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1.7949367901467312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439.06700232017681</v>
      </c>
      <c r="T193" s="59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487.04124684635974</v>
      </c>
      <c r="AO193" s="59">
        <f t="shared" si="144"/>
        <v>306.61893266146666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-5.9412741393316544E-14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356.31271939877655</v>
      </c>
      <c r="BJ193" s="59">
        <f t="shared" si="146"/>
        <v>499.70544707812991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0.31156494325716555</v>
      </c>
      <c r="BQ193" s="21">
        <f>EXP(-LN(2)/25)*BQ192+(1-EXP(-LN(2)/25))/(LN(2)/25)*Calculateur!BL193*Calculateur!BN193*VLOOKUP('Données projet'!$B$11,Paramètres!$A$1:$I$89,3,0)*0.475*44/12</f>
        <v>0.11282995644858235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0.4243948997057479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195.80903373714432</v>
      </c>
      <c r="CE193" s="59">
        <f t="shared" si="148"/>
        <v>388.30721786668977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2.4793456893359886</v>
      </c>
      <c r="CL193" s="21">
        <f>EXP(-LN(2)/25)*CL192+(1-EXP(-LN(2)/25))/(LN(2)/25)*Calculateur!CG193*Calculateur!CI193*VLOOKUP('Données projet'!$B$12,Paramètres!$A$1:$I$89,3,0)*0.475*44/12</f>
        <v>0.61156817227082061</v>
      </c>
      <c r="CM193" s="21">
        <f>EXP(-LN(2)/2)*CM192+(1-EXP(-LN(2)/2))/(LN(2)/2)*CG193*CJ193*VLOOKUP('Données projet'!$B$12,Paramètres!$A$1:$I$89,3,0)*0.475*44/12</f>
        <v>1.4748428534696882E-22</v>
      </c>
      <c r="CN193" s="22">
        <f t="shared" si="172"/>
        <v>3.0909138616068095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72.638639486636521</v>
      </c>
      <c r="CZ193" s="59">
        <f t="shared" si="150"/>
        <v>334.50638815329404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1.518974994289398</v>
      </c>
      <c r="DG193" s="21">
        <f>EXP(-LN(2)/25)*DG192+(1-EXP(-LN(2)/25))/(LN(2)/25)*Calculateur!DB193*Calculateur!DD193*VLOOKUP('Données projet'!$B$13,Paramètres!$A$1:$I$89,3,0)*0.475*44/12</f>
        <v>0.38125681704153225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1.9002318113309302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68.016800235358346</v>
      </c>
      <c r="DU193" s="59">
        <f t="shared" si="152"/>
        <v>311.30433899203405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1.4044293389823292</v>
      </c>
      <c r="EB193" s="21">
        <f>EXP(-LN(2)/25)*EB192+(1-EXP(-LN(2)/25))/(LN(2)/25)*Calculateur!DW193*Calculateur!DY193*VLOOKUP('Données projet'!$B$14,Paramètres!$A$1:$I$89,3,0)*0.475*44/12</f>
        <v>0.35250630296954777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1.7569356419518769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439.06700232017681</v>
      </c>
      <c r="T194" s="59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487.04124684635974</v>
      </c>
      <c r="AO194" s="59">
        <f t="shared" si="144"/>
        <v>306.61893266146666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-5.9412741393316544E-14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356.31271939877655</v>
      </c>
      <c r="BJ194" s="59">
        <f t="shared" si="146"/>
        <v>499.70544707812991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0.30545534475574343</v>
      </c>
      <c r="BQ194" s="21">
        <f>EXP(-LN(2)/25)*BQ193+(1-EXP(-LN(2)/25))/(LN(2)/25)*Calculateur!BL194*Calculateur!BN194*VLOOKUP('Données projet'!$B$11,Paramètres!$A$1:$I$89,3,0)*0.475*44/12</f>
        <v>0.10974461535602632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0.41519996011176974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195.80903373714432</v>
      </c>
      <c r="CE194" s="59">
        <f t="shared" si="148"/>
        <v>388.30721786668977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2.4307272326196578</v>
      </c>
      <c r="CL194" s="21">
        <f>EXP(-LN(2)/25)*CL193+(1-EXP(-LN(2)/25))/(LN(2)/25)*Calculateur!CG194*Calculateur!CI194*VLOOKUP('Données projet'!$B$12,Paramètres!$A$1:$I$89,3,0)*0.475*44/12</f>
        <v>0.59484480843910259</v>
      </c>
      <c r="CM194" s="21">
        <f>EXP(-LN(2)/2)*CM193+(1-EXP(-LN(2)/2))/(LN(2)/2)*CG194*CJ194*VLOOKUP('Données projet'!$B$12,Paramètres!$A$1:$I$89,3,0)*0.475*44/12</f>
        <v>1.0428713828729343E-22</v>
      </c>
      <c r="CN194" s="22">
        <f t="shared" si="172"/>
        <v>3.0255720410587603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72.638639486636521</v>
      </c>
      <c r="CZ194" s="59">
        <f t="shared" si="150"/>
        <v>334.50638815329404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1.4891888211346467</v>
      </c>
      <c r="DG194" s="21">
        <f>EXP(-LN(2)/25)*DG193+(1-EXP(-LN(2)/25))/(LN(2)/25)*Calculateur!DB194*Calculateur!DD194*VLOOKUP('Données projet'!$B$13,Paramètres!$A$1:$I$89,3,0)*0.475*44/12</f>
        <v>0.37083132933010693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1.8600201504647536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68.016800235358346</v>
      </c>
      <c r="DU194" s="59">
        <f t="shared" si="152"/>
        <v>311.30433899203405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1.3768893362621986</v>
      </c>
      <c r="EB194" s="21">
        <f>EXP(-LN(2)/25)*EB193+(1-EXP(-LN(2)/25))/(LN(2)/25)*Calculateur!DW194*Calculateur!DY194*VLOOKUP('Données projet'!$B$14,Paramètres!$A$1:$I$89,3,0)*0.475*44/12</f>
        <v>0.34286699957734468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1.7197563358395431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439.06700232017681</v>
      </c>
      <c r="T195" s="59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487.04124684635974</v>
      </c>
      <c r="AO195" s="59">
        <f t="shared" si="144"/>
        <v>306.61893266146666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-5.9412741393316544E-14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356.31271939877655</v>
      </c>
      <c r="BJ195" s="59">
        <f t="shared" si="146"/>
        <v>499.70544707812991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0.29946555175444706</v>
      </c>
      <c r="BQ195" s="21">
        <f>EXP(-LN(2)/25)*BQ194+(1-EXP(-LN(2)/25))/(LN(2)/25)*Calculateur!BL195*Calculateur!BN195*VLOOKUP('Données projet'!$B$11,Paramètres!$A$1:$I$89,3,0)*0.475*44/12</f>
        <v>0.10674364307789729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0.40620919483234436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195.80903373714432</v>
      </c>
      <c r="CE195" s="59">
        <f t="shared" si="148"/>
        <v>388.30721786668977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2.383062154185204</v>
      </c>
      <c r="CL195" s="21">
        <f>EXP(-LN(2)/25)*CL194+(1-EXP(-LN(2)/25))/(LN(2)/25)*Calculateur!CG195*Calculateur!CI195*VLOOKUP('Données projet'!$B$12,Paramètres!$A$1:$I$89,3,0)*0.475*44/12</f>
        <v>0.57857874587080638</v>
      </c>
      <c r="CM195" s="21">
        <f>EXP(-LN(2)/2)*CM194+(1-EXP(-LN(2)/2))/(LN(2)/2)*CG195*CJ195*VLOOKUP('Données projet'!$B$12,Paramètres!$A$1:$I$89,3,0)*0.475*44/12</f>
        <v>7.3742142673484422E-23</v>
      </c>
      <c r="CN195" s="22">
        <f t="shared" si="172"/>
        <v>2.9616409000560102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72.638639486636521</v>
      </c>
      <c r="CZ195" s="59">
        <f t="shared" si="150"/>
        <v>334.50638815329404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1.4599867366676884</v>
      </c>
      <c r="DG195" s="21">
        <f>EXP(-LN(2)/25)*DG194+(1-EXP(-LN(2)/25))/(LN(2)/25)*Calculateur!DB195*Calculateur!DD195*VLOOKUP('Données projet'!$B$13,Paramètres!$A$1:$I$89,3,0)*0.475*44/12</f>
        <v>0.36069092712840312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1.8206776637960915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68.016800235358346</v>
      </c>
      <c r="DU195" s="59">
        <f t="shared" si="152"/>
        <v>311.30433899203405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1.3498893761976667</v>
      </c>
      <c r="EB195" s="21">
        <f>EXP(-LN(2)/25)*EB194+(1-EXP(-LN(2)/25))/(LN(2)/25)*Calculateur!DW195*Calculateur!DY195*VLOOKUP('Données projet'!$B$14,Paramètres!$A$1:$I$89,3,0)*0.475*44/12</f>
        <v>0.3334912834433103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1.6833806596409771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439.06700232017681</v>
      </c>
      <c r="T196" s="59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487.04124684635974</v>
      </c>
      <c r="AO196" s="59">
        <f t="shared" si="144"/>
        <v>306.61893266146666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-5.9412741393316544E-14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356.31271939877655</v>
      </c>
      <c r="BJ196" s="59">
        <f t="shared" si="146"/>
        <v>499.70544707812991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0.29359321494049312</v>
      </c>
      <c r="BQ196" s="21">
        <f>EXP(-LN(2)/25)*BQ195+(1-EXP(-LN(2)/25))/(LN(2)/25)*Calculateur!BL196*Calculateur!BN196*VLOOKUP('Données projet'!$B$11,Paramètres!$A$1:$I$89,3,0)*0.475*44/12</f>
        <v>0.10382473254452795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0.39741794748502107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195.80903373714432</v>
      </c>
      <c r="CE196" s="59">
        <f t="shared" si="148"/>
        <v>388.30721786668977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2.3363317588660224</v>
      </c>
      <c r="CL196" s="21">
        <f>EXP(-LN(2)/25)*CL195+(1-EXP(-LN(2)/25))/(LN(2)/25)*Calculateur!CG196*Calculateur!CI196*VLOOKUP('Données projet'!$B$12,Paramètres!$A$1:$I$89,3,0)*0.475*44/12</f>
        <v>0.56275747963883527</v>
      </c>
      <c r="CM196" s="21">
        <f>EXP(-LN(2)/2)*CM195+(1-EXP(-LN(2)/2))/(LN(2)/2)*CG196*CJ196*VLOOKUP('Données projet'!$B$12,Paramètres!$A$1:$I$89,3,0)*0.475*44/12</f>
        <v>5.2143569143646719E-23</v>
      </c>
      <c r="CN196" s="22">
        <f t="shared" si="172"/>
        <v>2.8990892385048577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72.638639486636521</v>
      </c>
      <c r="CZ196" s="59">
        <f t="shared" si="150"/>
        <v>334.50638815329404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1.4313572872656144</v>
      </c>
      <c r="DG196" s="21">
        <f>EXP(-LN(2)/25)*DG195+(1-EXP(-LN(2)/25))/(LN(2)/25)*Calculateur!DB196*Calculateur!DD196*VLOOKUP('Données projet'!$B$13,Paramètres!$A$1:$I$89,3,0)*0.475*44/12</f>
        <v>0.35082781475816543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1.7821851020237798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68.016800235358346</v>
      </c>
      <c r="DU196" s="59">
        <f t="shared" si="152"/>
        <v>311.30433899203405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1.3234188688816508</v>
      </c>
      <c r="EB196" s="21">
        <f>EXP(-LN(2)/25)*EB195+(1-EXP(-LN(2)/25))/(LN(2)/25)*Calculateur!DW196*Calculateur!DY196*VLOOKUP('Données projet'!$B$14,Paramètres!$A$1:$I$89,3,0)*0.475*44/12</f>
        <v>0.32437194676000858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1.6477908156416594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439.06700232017681</v>
      </c>
      <c r="T197" s="59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487.04124684635974</v>
      </c>
      <c r="AO197" s="59">
        <f t="shared" ref="AO197:AO203" si="205">$AO$3</f>
        <v>306.61893266146666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-5.9412741393316544E-14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356.31271939877655</v>
      </c>
      <c r="BJ197" s="59">
        <f t="shared" ref="BJ197:BJ203" si="206">$BJ$3</f>
        <v>499.70544707812991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0.28783603106968908</v>
      </c>
      <c r="BQ197" s="21">
        <f>EXP(-LN(2)/25)*BQ196+(1-EXP(-LN(2)/25))/(LN(2)/25)*Calculateur!BL197*Calculateur!BN197*VLOOKUP('Données projet'!$B$11,Paramètres!$A$1:$I$89,3,0)*0.475*44/12</f>
        <v>0.10098563977319244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0.38882167084288155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195.80903373714432</v>
      </c>
      <c r="CE197" s="59">
        <f t="shared" ref="CE197:CE203" si="207">$CE$3</f>
        <v>388.30721786668977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2.2905177180963232</v>
      </c>
      <c r="CL197" s="21">
        <f>EXP(-LN(2)/25)*CL196+(1-EXP(-LN(2)/25))/(LN(2)/25)*Calculateur!CG197*Calculateur!CI197*VLOOKUP('Données projet'!$B$12,Paramètres!$A$1:$I$89,3,0)*0.475*44/12</f>
        <v>0.54736884676398168</v>
      </c>
      <c r="CM197" s="21">
        <f>EXP(-LN(2)/2)*CM196+(1-EXP(-LN(2)/2))/(LN(2)/2)*CG197*CJ197*VLOOKUP('Données projet'!$B$12,Paramètres!$A$1:$I$89,3,0)*0.475*44/12</f>
        <v>3.6871071336742217E-23</v>
      </c>
      <c r="CN197" s="22">
        <f t="shared" si="172"/>
        <v>2.8378865648603049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72.638639486636521</v>
      </c>
      <c r="CZ197" s="59">
        <f t="shared" ref="CZ197:CZ203" si="208">$CZ$3</f>
        <v>334.50638815329404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1.4032892439040752</v>
      </c>
      <c r="DG197" s="21">
        <f>EXP(-LN(2)/25)*DG196+(1-EXP(-LN(2)/25))/(LN(2)/25)*Calculateur!DB197*Calculateur!DD197*VLOOKUP('Données projet'!$B$13,Paramètres!$A$1:$I$89,3,0)*0.475*44/12</f>
        <v>0.34123440971437047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1.7445236536184456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68.016800235358346</v>
      </c>
      <c r="DU197" s="59">
        <f t="shared" ref="DU197:DU203" si="209">$DU$3</f>
        <v>311.30433899203405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1.2974674320686868</v>
      </c>
      <c r="EB197" s="21">
        <f>EXP(-LN(2)/25)*EB196+(1-EXP(-LN(2)/25))/(LN(2)/25)*Calculateur!DW197*Calculateur!DY197*VLOOKUP('Données projet'!$B$14,Paramètres!$A$1:$I$89,3,0)*0.475*44/12</f>
        <v>0.31550197881787684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1.6129694108865635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439.06700232017681</v>
      </c>
      <c r="T198" s="59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487.04124684635974</v>
      </c>
      <c r="AO198" s="59">
        <f t="shared" si="205"/>
        <v>306.61893266146666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-5.9412741393316544E-14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356.31271939877655</v>
      </c>
      <c r="BJ198" s="59">
        <f t="shared" si="206"/>
        <v>499.70544707812991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0.28219174206305608</v>
      </c>
      <c r="BQ198" s="21">
        <f>EXP(-LN(2)/25)*BQ197+(1-EXP(-LN(2)/25))/(LN(2)/25)*Calculateur!BL198*Calculateur!BN198*VLOOKUP('Données projet'!$B$11,Paramètres!$A$1:$I$89,3,0)*0.475*44/12</f>
        <v>9.8224182142990502E-2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0.38041592420604659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195.80903373714432</v>
      </c>
      <c r="CE198" s="59">
        <f t="shared" si="207"/>
        <v>388.30721786668977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2.2456020627223126</v>
      </c>
      <c r="CL198" s="21">
        <f>EXP(-LN(2)/25)*CL197+(1-EXP(-LN(2)/25))/(LN(2)/25)*Calculateur!CG198*Calculateur!CI198*VLOOKUP('Données projet'!$B$12,Paramètres!$A$1:$I$89,3,0)*0.475*44/12</f>
        <v>0.53240101686434393</v>
      </c>
      <c r="CM198" s="21">
        <f>EXP(-LN(2)/2)*CM197+(1-EXP(-LN(2)/2))/(LN(2)/2)*CG198*CJ198*VLOOKUP('Données projet'!$B$12,Paramètres!$A$1:$I$89,3,0)*0.475*44/12</f>
        <v>2.6071784571823366E-23</v>
      </c>
      <c r="CN198" s="22">
        <f t="shared" si="172"/>
        <v>2.7780030795866564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72.638639486636521</v>
      </c>
      <c r="CZ198" s="59">
        <f t="shared" si="208"/>
        <v>334.50638815329404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1.3757715977530398</v>
      </c>
      <c r="DG198" s="21">
        <f>EXP(-LN(2)/25)*DG197+(1-EXP(-LN(2)/25))/(LN(2)/25)*Calculateur!DB198*Calculateur!DD198*VLOOKUP('Données projet'!$B$13,Paramètres!$A$1:$I$89,3,0)*0.475*44/12</f>
        <v>0.33190333683599332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1.7076749345890332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68.016800235358346</v>
      </c>
      <c r="DU198" s="59">
        <f t="shared" si="209"/>
        <v>311.30433899203405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1.2720248871028115</v>
      </c>
      <c r="EB198" s="21">
        <f>EXP(-LN(2)/25)*EB197+(1-EXP(-LN(2)/25))/(LN(2)/25)*Calculateur!DW198*Calculateur!DY198*VLOOKUP('Données projet'!$B$14,Paramètres!$A$1:$I$89,3,0)*0.475*44/12</f>
        <v>0.306874560615574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1.5788994477183855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439.06700232017681</v>
      </c>
      <c r="T199" s="59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487.04124684635974</v>
      </c>
      <c r="AO199" s="59">
        <f t="shared" si="205"/>
        <v>306.61893266146666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-5.9412741393316544E-14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356.31271939877655</v>
      </c>
      <c r="BJ199" s="59">
        <f t="shared" si="206"/>
        <v>499.70544707812991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0.2766581341211668</v>
      </c>
      <c r="BQ199" s="21">
        <f>EXP(-LN(2)/25)*BQ198+(1-EXP(-LN(2)/25))/(LN(2)/25)*Calculateur!BL199*Calculateur!BN199*VLOOKUP('Données projet'!$B$11,Paramètres!$A$1:$I$89,3,0)*0.475*44/12</f>
        <v>9.5538236716905187E-2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0.372196370838072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195.80903373714432</v>
      </c>
      <c r="CE199" s="59">
        <f t="shared" si="207"/>
        <v>388.30721786668977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2.2015671759543416</v>
      </c>
      <c r="CL199" s="21">
        <f>EXP(-LN(2)/25)*CL198+(1-EXP(-LN(2)/25))/(LN(2)/25)*Calculateur!CG199*Calculateur!CI199*VLOOKUP('Données projet'!$B$12,Paramètres!$A$1:$I$89,3,0)*0.475*44/12</f>
        <v>0.51784248306043579</v>
      </c>
      <c r="CM199" s="21">
        <f>EXP(-LN(2)/2)*CM198+(1-EXP(-LN(2)/2))/(LN(2)/2)*CG199*CJ199*VLOOKUP('Données projet'!$B$12,Paramètres!$A$1:$I$89,3,0)*0.475*44/12</f>
        <v>1.8435535668371111E-23</v>
      </c>
      <c r="CN199" s="22">
        <f t="shared" si="172"/>
        <v>2.7194096590147776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72.638639486636521</v>
      </c>
      <c r="CZ199" s="59">
        <f t="shared" si="208"/>
        <v>334.50638815329404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1.3487935558589192</v>
      </c>
      <c r="DG199" s="21">
        <f>EXP(-LN(2)/25)*DG198+(1-EXP(-LN(2)/25))/(LN(2)/25)*Calculateur!DB199*Calculateur!DD199*VLOOKUP('Données projet'!$B$13,Paramètres!$A$1:$I$89,3,0)*0.475*44/12</f>
        <v>0.3228274226361752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1.6716209784950944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68.016800235358346</v>
      </c>
      <c r="DU199" s="59">
        <f t="shared" si="209"/>
        <v>311.30433899203405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1.2470812549252968</v>
      </c>
      <c r="EB199" s="21">
        <f>EXP(-LN(2)/25)*EB198+(1-EXP(-LN(2)/25))/(LN(2)/25)*Calculateur!DW199*Calculateur!DY199*VLOOKUP('Données projet'!$B$14,Paramètres!$A$1:$I$89,3,0)*0.475*44/12</f>
        <v>0.29848305961770938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1.545564314543006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439.06700232017681</v>
      </c>
      <c r="T200" s="59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487.04124684635974</v>
      </c>
      <c r="AO200" s="59">
        <f t="shared" si="205"/>
        <v>306.61893266146666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-5.9412741393316544E-14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356.31271939877655</v>
      </c>
      <c r="BJ200" s="59">
        <f t="shared" si="206"/>
        <v>499.70544707812991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0.27123303685585037</v>
      </c>
      <c r="BQ200" s="21">
        <f>EXP(-LN(2)/25)*BQ199+(1-EXP(-LN(2)/25))/(LN(2)/25)*Calculateur!BL200*Calculateur!BN200*VLOOKUP('Données projet'!$B$11,Paramètres!$A$1:$I$89,3,0)*0.475*44/12</f>
        <v>9.2925738609743902E-2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0.36415877546559428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195.80903373714432</v>
      </c>
      <c r="CE200" s="59">
        <f t="shared" si="207"/>
        <v>388.30721786668977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2.1583957864572616</v>
      </c>
      <c r="CL200" s="21">
        <f>EXP(-LN(2)/25)*CL199+(1-EXP(-LN(2)/25))/(LN(2)/25)*Calculateur!CG200*Calculateur!CI200*VLOOKUP('Données projet'!$B$12,Paramètres!$A$1:$I$89,3,0)*0.475*44/12</f>
        <v>0.5036820531289955</v>
      </c>
      <c r="CM200" s="21">
        <f>EXP(-LN(2)/2)*CM199+(1-EXP(-LN(2)/2))/(LN(2)/2)*CG200*CJ200*VLOOKUP('Données projet'!$B$12,Paramètres!$A$1:$I$89,3,0)*0.475*44/12</f>
        <v>1.3035892285911684E-23</v>
      </c>
      <c r="CN200" s="22">
        <f t="shared" si="172"/>
        <v>2.662077839586257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72.638639486636521</v>
      </c>
      <c r="CZ200" s="59">
        <f t="shared" si="208"/>
        <v>334.50638815329404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1.3223445369113618</v>
      </c>
      <c r="DG200" s="21">
        <f>EXP(-LN(2)/25)*DG199+(1-EXP(-LN(2)/25))/(LN(2)/25)*Calculateur!DB200*Calculateur!DD200*VLOOKUP('Données projet'!$B$13,Paramètres!$A$1:$I$89,3,0)*0.475*44/12</f>
        <v>0.31399968978743265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1.6363442266987944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68.016800235358346</v>
      </c>
      <c r="DU200" s="59">
        <f t="shared" si="209"/>
        <v>311.30433899203405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1.2226267521606697</v>
      </c>
      <c r="EB200" s="21">
        <f>EXP(-LN(2)/25)*EB199+(1-EXP(-LN(2)/25))/(LN(2)/25)*Calculateur!DW200*Calculateur!DY200*VLOOKUP('Données projet'!$B$14,Paramètres!$A$1:$I$89,3,0)*0.475*44/12</f>
        <v>0.29032102465592119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1.5129477768165909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439.06700232017681</v>
      </c>
      <c r="T201" s="59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487.04124684635974</v>
      </c>
      <c r="AO201" s="59">
        <f t="shared" si="205"/>
        <v>306.61893266146666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-5.9412741393316544E-14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356.31271939877655</v>
      </c>
      <c r="BJ201" s="59">
        <f t="shared" si="206"/>
        <v>499.70544707812991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0.26591432243892421</v>
      </c>
      <c r="BQ201" s="21">
        <f>EXP(-LN(2)/25)*BQ200+(1-EXP(-LN(2)/25))/(LN(2)/25)*Calculateur!BL201*Calculateur!BN201*VLOOKUP('Données projet'!$B$11,Paramètres!$A$1:$I$89,3,0)*0.475*44/12</f>
        <v>9.038467940070824E-2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0.35629900183963248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195.80903373714432</v>
      </c>
      <c r="CE201" s="59">
        <f t="shared" si="207"/>
        <v>388.30721786668977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2.1160709615762716</v>
      </c>
      <c r="CL201" s="21">
        <f>EXP(-LN(2)/25)*CL200+(1-EXP(-LN(2)/25))/(LN(2)/25)*Calculateur!CG201*Calculateur!CI201*VLOOKUP('Données projet'!$B$12,Paramètres!$A$1:$I$89,3,0)*0.475*44/12</f>
        <v>0.48990884089869513</v>
      </c>
      <c r="CM201" s="21">
        <f>EXP(-LN(2)/2)*CM200+(1-EXP(-LN(2)/2))/(LN(2)/2)*CG201*CJ201*VLOOKUP('Données projet'!$B$12,Paramètres!$A$1:$I$89,3,0)*0.475*44/12</f>
        <v>9.2177678341855571E-24</v>
      </c>
      <c r="CN201" s="22">
        <f t="shared" si="172"/>
        <v>2.605979802474967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72.638639486636521</v>
      </c>
      <c r="CZ201" s="59">
        <f t="shared" si="208"/>
        <v>334.50638815329404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1.2964141670930573</v>
      </c>
      <c r="DG201" s="21">
        <f>EXP(-LN(2)/25)*DG200+(1-EXP(-LN(2)/25))/(LN(2)/25)*Calculateur!DB201*Calculateur!DD201*VLOOKUP('Données projet'!$B$13,Paramètres!$A$1:$I$89,3,0)*0.475*44/12</f>
        <v>0.30541335175766926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1.6018275188507265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68.016800235358346</v>
      </c>
      <c r="DU201" s="59">
        <f t="shared" si="209"/>
        <v>311.30433899203405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1.1986517872794833</v>
      </c>
      <c r="EB201" s="21">
        <f>EXP(-LN(2)/25)*EB200+(1-EXP(-LN(2)/25))/(LN(2)/25)*Calculateur!DW201*Calculateur!DY201*VLOOKUP('Données projet'!$B$14,Paramètres!$A$1:$I$89,3,0)*0.475*44/12</f>
        <v>0.28238218096938589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1.4810339682488691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439.06700232017681</v>
      </c>
      <c r="T202" s="59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487.04124684635974</v>
      </c>
      <c r="AO202" s="59">
        <f t="shared" si="205"/>
        <v>306.61893266146666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-5.9412741393316544E-14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356.31271939877655</v>
      </c>
      <c r="BJ202" s="59">
        <f t="shared" si="206"/>
        <v>499.70544707812991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0.26069990476761851</v>
      </c>
      <c r="BQ202" s="21">
        <f>EXP(-LN(2)/25)*BQ201+(1-EXP(-LN(2)/25))/(LN(2)/25)*Calculateur!BL202*Calculateur!BN202*VLOOKUP('Données projet'!$B$11,Paramètres!$A$1:$I$89,3,0)*0.475*44/12</f>
        <v>8.7913105589372154E-2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0.34861301035699066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195.80903373714432</v>
      </c>
      <c r="CE202" s="59">
        <f t="shared" si="207"/>
        <v>388.30721786668977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2.0745761006956038</v>
      </c>
      <c r="CL202" s="21">
        <f>EXP(-LN(2)/25)*CL201+(1-EXP(-LN(2)/25))/(LN(2)/25)*Calculateur!CG202*Calculateur!CI202*VLOOKUP('Données projet'!$B$12,Paramètres!$A$1:$I$89,3,0)*0.475*44/12</f>
        <v>0.47651225788113405</v>
      </c>
      <c r="CM202" s="21">
        <f>EXP(-LN(2)/2)*CM201+(1-EXP(-LN(2)/2))/(LN(2)/2)*CG202*CJ202*VLOOKUP('Données projet'!$B$12,Paramètres!$A$1:$I$89,3,0)*0.475*44/12</f>
        <v>6.5179461429558436E-24</v>
      </c>
      <c r="CN202" s="22">
        <f t="shared" si="172"/>
        <v>2.5510883585767381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72.638639486636521</v>
      </c>
      <c r="CZ202" s="59">
        <f t="shared" si="208"/>
        <v>334.50638815329404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1.2709922760109258</v>
      </c>
      <c r="DG202" s="21">
        <f>EXP(-LN(2)/25)*DG201+(1-EXP(-LN(2)/25))/(LN(2)/25)*Calculateur!DB202*Calculateur!DD202*VLOOKUP('Données projet'!$B$13,Paramètres!$A$1:$I$89,3,0)*0.475*44/12</f>
        <v>0.29706180759286566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1.5680540836037915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68.016800235358346</v>
      </c>
      <c r="DU202" s="59">
        <f t="shared" si="209"/>
        <v>311.30433899203405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1.1751469568363322</v>
      </c>
      <c r="EB202" s="21">
        <f>EXP(-LN(2)/25)*EB201+(1-EXP(-LN(2)/25))/(LN(2)/25)*Calculateur!DW202*Calculateur!DY202*VLOOKUP('Données projet'!$B$14,Paramètres!$A$1:$I$89,3,0)*0.475*44/12</f>
        <v>0.27466042538094454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1.4498073822172768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439.06700232017681</v>
      </c>
      <c r="T203" s="59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487.04124684635974</v>
      </c>
      <c r="AO203" s="59">
        <f t="shared" si="205"/>
        <v>306.61893266146666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-5.9412741393316544E-14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356.31271939877655</v>
      </c>
      <c r="BJ203" s="59">
        <f t="shared" si="206"/>
        <v>499.70544707812991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0.25558773864636636</v>
      </c>
      <c r="BQ203" s="21">
        <f>EXP(-LN(2)/25)*BQ202+(1-EXP(-LN(2)/25))/(LN(2)/25)*Calculateur!BL203*Calculateur!BN203*VLOOKUP('Données projet'!$B$11,Paramètres!$A$1:$I$89,3,0)*0.475*44/12</f>
        <v>8.5509117093881482E-2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0.34109685574024784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195.80903373714432</v>
      </c>
      <c r="CE203" s="59">
        <f t="shared" si="207"/>
        <v>388.30721786668977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2.0338949287274399</v>
      </c>
      <c r="CL203" s="21">
        <f>EXP(-LN(2)/25)*CL202+(1-EXP(-LN(2)/25))/(LN(2)/25)*Calculateur!CG203*Calculateur!CI203*VLOOKUP('Données projet'!$B$12,Paramètres!$A$1:$I$89,3,0)*0.475*44/12</f>
        <v>0.46348200513068388</v>
      </c>
      <c r="CM203" s="21">
        <f>EXP(-LN(2)/2)*CM202+(1-EXP(-LN(2)/2))/(LN(2)/2)*CG203*CJ203*VLOOKUP('Données projet'!$B$12,Paramètres!$A$1:$I$89,3,0)*0.475*44/12</f>
        <v>4.6088839170927793E-24</v>
      </c>
      <c r="CN203" s="22">
        <f t="shared" si="172"/>
        <v>2.4973769338581238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72.638639486636521</v>
      </c>
      <c r="CZ203" s="59">
        <f t="shared" si="208"/>
        <v>334.50638815329404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1.2460688927070924</v>
      </c>
      <c r="DG203" s="21">
        <f>EXP(-LN(2)/25)*DG202+(1-EXP(-LN(2)/25))/(LN(2)/25)*Calculateur!DB203*Calculateur!DD203*VLOOKUP('Données projet'!$B$13,Paramètres!$A$1:$I$89,3,0)*0.475*44/12</f>
        <v>0.2889386368424372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1.5350075295495296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68.016800235358346</v>
      </c>
      <c r="DU203" s="59">
        <f t="shared" si="209"/>
        <v>311.30433899203405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1.1521030417816402</v>
      </c>
      <c r="EB203" s="21">
        <f>EXP(-LN(2)/25)*EB202+(1-EXP(-LN(2)/25))/(LN(2)/25)*Calculateur!DW203*Calculateur!DY203*VLOOKUP('Données projet'!$B$14,Paramètres!$A$1:$I$89,3,0)*0.475*44/12</f>
        <v>0.26714982160513856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1.4192528633867787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1.3655017210306359</v>
      </c>
      <c r="BV205" s="82">
        <f>EXP(LN('Données projet'!B114)/'Données projet'!A114)</f>
        <v>1.4261938757879591</v>
      </c>
      <c r="CQ205" s="82">
        <f>EXP(LN('Données projet'!B140)/'Données projet'!A140)</f>
        <v>1.4288953862224394</v>
      </c>
      <c r="DL205" s="82">
        <f>EXP(LN('Données projet'!B166)/'Données projet'!A166)</f>
        <v>1.4288953862224394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D60" sqref="D60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G1" workbookViewId="0">
      <selection activeCell="E16" sqref="A16:XFD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0.16801967000000001</v>
      </c>
      <c r="C6" s="147">
        <f ca="1">IF(OR('Données projet'!B9="",'Données projet'!C9="",'Données projet'!C9=0%),0,Calculateur!S3)</f>
        <v>439.06700232017681</v>
      </c>
      <c r="D6" s="147">
        <f>IF(OR('Données projet'!B9="",'Données projet'!C9="",'Données projet'!C9=0%),0,Calculateur!T3)</f>
        <v>278.21741231699929</v>
      </c>
      <c r="E6" s="147">
        <f ca="1">MIN(C6,D6)</f>
        <v>278.21741231699929</v>
      </c>
      <c r="F6" s="147">
        <f ca="1">E6*B6</f>
        <v>46.745997805756161</v>
      </c>
      <c r="G6" s="147">
        <f ca="1">F6*(100%-'Données projet'!$C$24)*(100%-'Données projet'!$C$25)*(100%-'Données projet'!$C$26)*(100%-'Données projet'!$C$27)</f>
        <v>39.967828123921521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2.6043048850000003</v>
      </c>
      <c r="K6" s="151">
        <f>J6*(100%-'Données projet'!$C$24)*(100%-'Données projet'!$C$25)*(100%-'Données projet'!$C$26)*(100%-'Données projet'!$C$27)</f>
        <v>2.2266806766750005</v>
      </c>
      <c r="L6" s="152">
        <f ca="1">G6+I6+K6</f>
        <v>42.194508800596523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0.16801967000000001</v>
      </c>
      <c r="C7" s="147">
        <f ca="1">IF(OR('Données projet'!B10="",'Données projet'!C10="",'Données projet'!C10=0%),0,Calculateur!AN3)</f>
        <v>487.04124684635974</v>
      </c>
      <c r="D7" s="147">
        <f>IF(OR('Données projet'!B10="",'Données projet'!C10="",'Données projet'!C10=0%),0,Calculateur!AO3)</f>
        <v>306.61893266146666</v>
      </c>
      <c r="E7" s="147">
        <f t="shared" ref="E7:E15" ca="1" si="0">MIN(C7,D7)</f>
        <v>306.61893266146666</v>
      </c>
      <c r="F7" s="147">
        <f t="shared" ref="F7:F15" ca="1" si="1">E7*B7</f>
        <v>51.518011881531855</v>
      </c>
      <c r="G7" s="147">
        <f ca="1">F7*(100%-'Données projet'!$C$24)*(100%-'Données projet'!$C$25)*(100%-'Données projet'!$C$26)*(100%-'Données projet'!$C$27)</f>
        <v>44.04790015870973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2.6043048850000003</v>
      </c>
      <c r="K7" s="151">
        <f>J7*(100%-'Données projet'!$C$24)*(100%-'Données projet'!$C$25)*(100%-'Données projet'!$C$26)*(100%-'Données projet'!$C$27)</f>
        <v>2.2266806766750005</v>
      </c>
      <c r="L7" s="152">
        <f t="shared" ref="L7:L15" ca="1" si="2">G7+I7+K7</f>
        <v>46.274580835384732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chevelu</v>
      </c>
      <c r="B8" s="154">
        <f>'Données projet'!D11</f>
        <v>0.16801967000000001</v>
      </c>
      <c r="C8" s="147">
        <f ca="1">IF(OR('Données projet'!B11="",'Données projet'!C11="",'Données projet'!C11=0%),0,Calculateur!BI3)</f>
        <v>356.31271939877655</v>
      </c>
      <c r="D8" s="147">
        <f>IF(OR('Données projet'!B11="",'Données projet'!C11="",'Données projet'!C11=0%),0,Calculateur!BJ3)</f>
        <v>499.70544707812991</v>
      </c>
      <c r="E8" s="147">
        <f t="shared" ca="1" si="0"/>
        <v>356.31271939877655</v>
      </c>
      <c r="F8" s="147">
        <f t="shared" ca="1" si="1"/>
        <v>59.867545530185041</v>
      </c>
      <c r="G8" s="147">
        <f ca="1">F8*(100%-'Données projet'!$C$24)*(100%-'Données projet'!$C$25)*(100%-'Données projet'!$C$26)*(100%-'Données projet'!$C$27)</f>
        <v>51.186751428308213</v>
      </c>
      <c r="H8" s="155">
        <f>IF(OR('Données projet'!B11="",'Données projet'!C11="",'Données projet'!C11=0%),0,AVERAGE(Calculateur!$BS$3:$BS$33)*B8)</f>
        <v>0.29116999308727282</v>
      </c>
      <c r="I8" s="149">
        <f>H8*(100%-'Données projet'!$C$24)*(100%-'Données projet'!$C$25)*(100%-'Données projet'!$C$26)*(100%-'Données projet'!$C$27)</f>
        <v>0.24895034408961822</v>
      </c>
      <c r="J8" s="150">
        <f>IF(OR('Données projet'!B11="",'Données projet'!C11="",'Données projet'!C11=0%),0,SUM(Calculateur!$BL$3:$BL$33)*VLOOKUP('Données projet'!$B$11,Paramètres!$A$1:$I$89,9,0)*B8)</f>
        <v>7.8549195725000001</v>
      </c>
      <c r="K8" s="151">
        <f>J8*(100%-'Données projet'!$C$24)*(100%-'Données projet'!$C$25)*(100%-'Données projet'!$C$26)*(100%-'Données projet'!$C$27)</f>
        <v>6.7159562344874999</v>
      </c>
      <c r="L8" s="152">
        <f t="shared" ca="1" si="2"/>
        <v>58.151658006885334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pin maritime</v>
      </c>
      <c r="B9" s="154">
        <f>'Données projet'!D12</f>
        <v>2.3849669899999997</v>
      </c>
      <c r="C9" s="147">
        <f ca="1">IF(OR('Données projet'!B12="",'Données projet'!C12="",'Données projet'!C12=0%),0,Calculateur!CD3)</f>
        <v>195.80903373714432</v>
      </c>
      <c r="D9" s="147">
        <f>IF(OR('Données projet'!B12="",'Données projet'!C12="",'Données projet'!C12=0%),0,Calculateur!CE3)</f>
        <v>388.30721786668977</v>
      </c>
      <c r="E9" s="147">
        <f t="shared" ca="1" si="0"/>
        <v>195.80903373714432</v>
      </c>
      <c r="F9" s="147">
        <f t="shared" ca="1" si="1"/>
        <v>466.99808180688547</v>
      </c>
      <c r="G9" s="147">
        <f ca="1">F9*(100%-'Données projet'!$C$24)*(100%-'Données projet'!$C$25)*(100%-'Données projet'!$C$26)*(100%-'Données projet'!$C$27)</f>
        <v>399.28335994488708</v>
      </c>
      <c r="H9" s="155">
        <f>IF(OR('Données projet'!B12="",'Données projet'!C12="",'Données projet'!C12=0%),0,AVERAGE(Calculateur!$CN$3:$CN$33)*B9)</f>
        <v>22.611859212806593</v>
      </c>
      <c r="I9" s="149">
        <f>H9*(100%-'Données projet'!$C$24)*(100%-'Données projet'!$C$25)*(100%-'Données projet'!$C$26)*(100%-'Données projet'!$C$27)</f>
        <v>19.333139626949635</v>
      </c>
      <c r="J9" s="150">
        <f>IF(OR('Données projet'!B12="",'Données projet'!C12="",'Données projet'!C12=0%),0,SUM(Calculateur!$CG$3:$CG$33)*VLOOKUP('Données projet'!$B$12,Paramètres!$A$1:$I$89,9,0)*B9)</f>
        <v>168.85566289199997</v>
      </c>
      <c r="K9" s="151">
        <f>J9*(100%-'Données projet'!$C$24)*(100%-'Données projet'!$C$25)*(100%-'Données projet'!$C$26)*(100%-'Données projet'!$C$27)</f>
        <v>144.37159177265997</v>
      </c>
      <c r="L9" s="152">
        <f t="shared" ca="1" si="2"/>
        <v>562.98809134449664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Peuplier Polargo</v>
      </c>
      <c r="B10" s="154">
        <f>'Données projet'!D13</f>
        <v>1.8436547499999998</v>
      </c>
      <c r="C10" s="147">
        <f ca="1">IF(OR('Données projet'!B13="",'Données projet'!C13="",'Données projet'!C13=0%),0,Calculateur!CY3)</f>
        <v>72.638639486636521</v>
      </c>
      <c r="D10" s="147">
        <f>IF(OR('Données projet'!B13="",'Données projet'!C13="",'Données projet'!C13=0%),0,Calculateur!CZ3)</f>
        <v>334.50638815329404</v>
      </c>
      <c r="E10" s="147">
        <f t="shared" ca="1" si="0"/>
        <v>72.638639486636521</v>
      </c>
      <c r="F10" s="147">
        <f t="shared" ca="1" si="1"/>
        <v>133.92057272307497</v>
      </c>
      <c r="G10" s="147">
        <f ca="1">F10*(100%-'Données projet'!$C$24)*(100%-'Données projet'!$C$25)*(100%-'Données projet'!$C$26)*(100%-'Données projet'!$C$27)</f>
        <v>114.5020896782291</v>
      </c>
      <c r="H10" s="155">
        <f>IF(OR('Données projet'!B13="",'Données projet'!C13="",'Données projet'!C13=0%),0,AVERAGE(Calculateur!$DI$3:$DI$33)*B10)</f>
        <v>72.269427383198021</v>
      </c>
      <c r="I10" s="149">
        <f>H10*(100%-'Données projet'!$C$24)*(100%-'Données projet'!$C$25)*(100%-'Données projet'!$C$26)*(100%-'Données projet'!$C$27)</f>
        <v>61.7903604126343</v>
      </c>
      <c r="J10" s="150">
        <f>IF(OR('Données projet'!B13="",'Données projet'!C13="",'Données projet'!C13=0%),0,SUM(Calculateur!$DB$3:$DB$33)*VLOOKUP('Données projet'!$B$13,Paramètres!$A$1:$I$89,9,0)*B10)</f>
        <v>573.48724653499994</v>
      </c>
      <c r="K10" s="151">
        <f>J10*(100%-'Données projet'!$C$24)*(100%-'Données projet'!$C$25)*(100%-'Données projet'!$C$26)*(100%-'Données projet'!$C$27)</f>
        <v>490.33159578742493</v>
      </c>
      <c r="L10" s="152">
        <f t="shared" ca="1" si="2"/>
        <v>666.62404587828837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Peuplier I-214</v>
      </c>
      <c r="B11" s="154">
        <f>'Données projet'!D14</f>
        <v>2.8662178999999997</v>
      </c>
      <c r="C11" s="147">
        <f ca="1">IF(OR('Données projet'!B14="",'Données projet'!C14="",'Données projet'!C14=0%),0,Calculateur!DT3)</f>
        <v>68.016800235358346</v>
      </c>
      <c r="D11" s="147">
        <f>IF(OR('Données projet'!B14="",'Données projet'!C14="",'Données projet'!C14=0%),0,Calculateur!DU3)</f>
        <v>311.30433899203405</v>
      </c>
      <c r="E11" s="147">
        <f t="shared" ca="1" si="0"/>
        <v>68.016800235358346</v>
      </c>
      <c r="F11" s="147">
        <f t="shared" ca="1" si="1"/>
        <v>194.95097033530828</v>
      </c>
      <c r="G11" s="147">
        <f ca="1">F11*(100%-'Données projet'!$C$24)*(100%-'Données projet'!$C$25)*(100%-'Données projet'!$C$26)*(100%-'Données projet'!$C$27)</f>
        <v>166.6830796366886</v>
      </c>
      <c r="H11" s="155">
        <f>IF(OR('Données projet'!B14="",'Données projet'!C14="",'Données projet'!C14=0%),0,AVERAGE(Calculateur!$ED$3:$ED$33)*B11)</f>
        <v>103.88037049609352</v>
      </c>
      <c r="I11" s="149">
        <f>H11*(100%-'Données projet'!$C$24)*(100%-'Données projet'!$C$25)*(100%-'Données projet'!$C$26)*(100%-'Données projet'!$C$27)</f>
        <v>88.817716774159962</v>
      </c>
      <c r="J11" s="150">
        <f>IF(OR('Données projet'!B14="",'Données projet'!C14="",'Données projet'!C14=0%),0,SUM(Calculateur!$DW$3:$DW$33)*VLOOKUP('Données projet'!$B$14,Paramètres!$A$1:$I$89,9,0)*B11)</f>
        <v>891.56573997399994</v>
      </c>
      <c r="K11" s="151">
        <f>J11*(100%-'Données projet'!$C$24)*(100%-'Données projet'!$C$25)*(100%-'Données projet'!$C$26)*(100%-'Données projet'!$C$27)</f>
        <v>762.28870767776993</v>
      </c>
      <c r="L11" s="152">
        <f t="shared" ca="1" si="2"/>
        <v>1017.7895040886185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954.00118008274183</v>
      </c>
      <c r="G16" s="166">
        <f t="shared" ca="1" si="3"/>
        <v>815.67100897074431</v>
      </c>
      <c r="H16" s="167">
        <f t="shared" si="3"/>
        <v>199.05282708518541</v>
      </c>
      <c r="I16" s="167">
        <f t="shared" si="3"/>
        <v>170.19016715783351</v>
      </c>
      <c r="J16" s="168">
        <f t="shared" si="3"/>
        <v>1646.9721787434999</v>
      </c>
      <c r="K16" s="168">
        <f t="shared" si="3"/>
        <v>1408.1612128256925</v>
      </c>
      <c r="L16" s="169">
        <f t="shared" ca="1" si="3"/>
        <v>2394.0223889542704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Peuplier Polargo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Peuplier I-214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5" zoomScaleNormal="85" workbookViewId="0">
      <selection activeCell="V13" sqref="V1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78">
        <f>'Données projet'!D9</f>
        <v>0.16801967000000001</v>
      </c>
      <c r="V10" s="177">
        <f>U10*T10</f>
        <v>152.91684778255689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78">
        <f>'Données projet'!D10</f>
        <v>0.16801967000000001</v>
      </c>
      <c r="V11" s="177">
        <f t="shared" ref="V11" si="0">U11*T11</f>
        <v>140.39406393074557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2978.977468336192</v>
      </c>
      <c r="U12" s="178">
        <f>'Données projet'!D11</f>
        <v>0.16801967000000001</v>
      </c>
      <c r="V12" s="177">
        <f t="shared" ref="V12:V19" si="1">U12*T12</f>
        <v>500.52681116728246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maritime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4216.6438558190275</v>
      </c>
      <c r="U13" s="178">
        <f>'Données projet'!D12</f>
        <v>2.3849669899999997</v>
      </c>
      <c r="V13" s="177">
        <f t="shared" si="1"/>
        <v>10056.556404714698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Polargo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7466.4867741321523</v>
      </c>
      <c r="U14" s="178">
        <f>'Données projet'!D13</f>
        <v>1.8436547499999998</v>
      </c>
      <c r="V14" s="177">
        <f t="shared" si="1"/>
        <v>13765.623806940917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Peuplier I-214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7466.4867741321523</v>
      </c>
      <c r="U15" s="178">
        <f>'Données projet'!D14</f>
        <v>2.8662178999999997</v>
      </c>
      <c r="V15" s="177">
        <f t="shared" si="1"/>
        <v>21400.57804213083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f>(14471+6902)/7.88</f>
        <v>2712.3096446700506</v>
      </c>
      <c r="J20" s="4"/>
      <c r="K20" s="173"/>
      <c r="O20" s="23"/>
      <c r="P20" s="4"/>
      <c r="Q20" s="235"/>
      <c r="R20" s="4"/>
      <c r="V20" s="305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/>
      <c r="D22" s="197" t="s">
        <v>132</v>
      </c>
      <c r="E22" s="193"/>
      <c r="F22" s="230"/>
      <c r="H22" s="190">
        <v>2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6</v>
      </c>
      <c r="C23" s="257">
        <v>4</v>
      </c>
      <c r="D23" s="182">
        <f>B23*C23</f>
        <v>24</v>
      </c>
      <c r="E23" s="193"/>
      <c r="F23" s="230"/>
      <c r="H23" s="190">
        <v>3</v>
      </c>
      <c r="I23" s="191">
        <v>550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11654.257634120622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28</v>
      </c>
      <c r="C24" s="257">
        <v>8</v>
      </c>
      <c r="D24" s="182">
        <f t="shared" ref="D24:D42" si="2">B24*C24</f>
        <v>224</v>
      </c>
      <c r="E24" s="193"/>
      <c r="F24" s="233"/>
      <c r="H24" s="190">
        <v>4</v>
      </c>
      <c r="I24" s="191">
        <v>350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13951.731932076298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28</v>
      </c>
      <c r="C25" s="257">
        <v>10</v>
      </c>
      <c r="D25" s="182">
        <f t="shared" si="2"/>
        <v>280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300">
        <f ca="1">T23-T24</f>
        <v>-2297.4742979556759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257">
        <v>10</v>
      </c>
      <c r="D26" s="182">
        <f t="shared" si="2"/>
        <v>280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257">
        <v>10</v>
      </c>
      <c r="D27" s="182">
        <f t="shared" si="2"/>
        <v>280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257">
        <v>10</v>
      </c>
      <c r="D28" s="182">
        <f t="shared" si="2"/>
        <v>280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257">
        <v>15</v>
      </c>
      <c r="D29" s="182">
        <f t="shared" si="2"/>
        <v>420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257">
        <v>15</v>
      </c>
      <c r="D30" s="182">
        <f t="shared" si="2"/>
        <v>420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1835.102257365975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257">
        <v>15</v>
      </c>
      <c r="D31" s="182">
        <f t="shared" si="2"/>
        <v>420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257">
        <v>20</v>
      </c>
      <c r="D32" s="182">
        <f t="shared" si="2"/>
        <v>560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257">
        <v>20</v>
      </c>
      <c r="D33" s="182">
        <f t="shared" si="2"/>
        <v>560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257">
        <v>20</v>
      </c>
      <c r="D34" s="182">
        <f t="shared" si="2"/>
        <v>560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257">
        <v>20</v>
      </c>
      <c r="D35" s="182">
        <f t="shared" si="2"/>
        <v>560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85</v>
      </c>
      <c r="B36" s="181">
        <f>'Données projet'!D49</f>
        <v>28</v>
      </c>
      <c r="C36" s="257">
        <v>20</v>
      </c>
      <c r="D36" s="182">
        <f t="shared" si="2"/>
        <v>560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90</v>
      </c>
      <c r="B37" s="181">
        <f>'Données projet'!D50</f>
        <v>28</v>
      </c>
      <c r="C37" s="257">
        <v>30</v>
      </c>
      <c r="D37" s="182">
        <f t="shared" si="2"/>
        <v>840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95</v>
      </c>
      <c r="B38" s="181">
        <f>'Données projet'!D51</f>
        <v>28</v>
      </c>
      <c r="C38" s="257">
        <v>30</v>
      </c>
      <c r="D38" s="182">
        <f t="shared" si="2"/>
        <v>840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100</v>
      </c>
      <c r="B39" s="181">
        <f>'Données projet'!D52</f>
        <v>27</v>
      </c>
      <c r="C39" s="257">
        <v>40</v>
      </c>
      <c r="D39" s="182">
        <f t="shared" si="2"/>
        <v>1080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105</v>
      </c>
      <c r="B40" s="181">
        <f>'Données projet'!D53</f>
        <v>26</v>
      </c>
      <c r="C40" s="257">
        <v>50</v>
      </c>
      <c r="D40" s="182">
        <f t="shared" si="2"/>
        <v>1300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110</v>
      </c>
      <c r="B41" s="181">
        <f>'Données projet'!D54</f>
        <v>25</v>
      </c>
      <c r="C41" s="257">
        <v>70</v>
      </c>
      <c r="D41" s="182">
        <f t="shared" si="2"/>
        <v>1750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115</v>
      </c>
      <c r="B42" s="181">
        <f>'Données projet'!D55</f>
        <v>330</v>
      </c>
      <c r="C42" s="257">
        <v>150</v>
      </c>
      <c r="D42" s="182">
        <f t="shared" si="2"/>
        <v>49500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 t="str">
        <f>IF(O49+1&lt;=MIN('Données projet'!$E$9:$E$18),O49+1,"STOP")</f>
        <v>STOP</v>
      </c>
      <c r="P50" s="185" t="e">
        <f t="shared" si="3"/>
        <v>#VALUE!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6</v>
      </c>
      <c r="C54" s="257">
        <v>4</v>
      </c>
      <c r="D54" s="179">
        <f>B54*C54</f>
        <v>24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28</v>
      </c>
      <c r="C55" s="257">
        <v>8</v>
      </c>
      <c r="D55" s="179">
        <f t="shared" ref="D55:D73" si="4">B55*C55</f>
        <v>224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28</v>
      </c>
      <c r="C56" s="257">
        <v>10</v>
      </c>
      <c r="D56" s="179">
        <f t="shared" si="4"/>
        <v>280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257">
        <v>10</v>
      </c>
      <c r="D57" s="179">
        <f t="shared" si="4"/>
        <v>280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257">
        <v>10</v>
      </c>
      <c r="D58" s="179">
        <f t="shared" si="4"/>
        <v>280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257">
        <v>10</v>
      </c>
      <c r="D59" s="179">
        <f t="shared" si="4"/>
        <v>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257">
        <v>15</v>
      </c>
      <c r="D60" s="179">
        <f t="shared" si="4"/>
        <v>420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257">
        <v>15</v>
      </c>
      <c r="D61" s="179">
        <f t="shared" si="4"/>
        <v>420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257">
        <v>15</v>
      </c>
      <c r="D62" s="179">
        <f t="shared" si="4"/>
        <v>420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257">
        <v>20</v>
      </c>
      <c r="D63" s="179">
        <f t="shared" si="4"/>
        <v>560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257">
        <v>20</v>
      </c>
      <c r="D64" s="179">
        <f t="shared" si="4"/>
        <v>560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257">
        <v>20</v>
      </c>
      <c r="D65" s="179">
        <f t="shared" si="4"/>
        <v>560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257">
        <v>20</v>
      </c>
      <c r="D66" s="179">
        <f t="shared" si="4"/>
        <v>560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85</v>
      </c>
      <c r="B67" s="181">
        <f>'Données projet'!D75</f>
        <v>28</v>
      </c>
      <c r="C67" s="257">
        <v>20</v>
      </c>
      <c r="D67" s="179">
        <f t="shared" si="4"/>
        <v>560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90</v>
      </c>
      <c r="B68" s="181">
        <f>'Données projet'!D76</f>
        <v>28</v>
      </c>
      <c r="C68" s="257">
        <v>30</v>
      </c>
      <c r="D68" s="179">
        <f t="shared" si="4"/>
        <v>840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95</v>
      </c>
      <c r="B69" s="181">
        <f>'Données projet'!D77</f>
        <v>28</v>
      </c>
      <c r="C69" s="257">
        <v>30</v>
      </c>
      <c r="D69" s="179">
        <f t="shared" si="4"/>
        <v>840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100</v>
      </c>
      <c r="B70" s="181">
        <f>'Données projet'!D78</f>
        <v>27</v>
      </c>
      <c r="C70" s="257">
        <v>40</v>
      </c>
      <c r="D70" s="179">
        <f t="shared" si="4"/>
        <v>1080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105</v>
      </c>
      <c r="B71" s="181">
        <f>'Données projet'!D79</f>
        <v>26</v>
      </c>
      <c r="C71" s="257">
        <v>50</v>
      </c>
      <c r="D71" s="179">
        <f t="shared" si="4"/>
        <v>1300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110</v>
      </c>
      <c r="B72" s="181">
        <f>'Données projet'!D80</f>
        <v>25</v>
      </c>
      <c r="C72" s="257">
        <v>70</v>
      </c>
      <c r="D72" s="179">
        <f t="shared" si="4"/>
        <v>1750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115</v>
      </c>
      <c r="B73" s="181">
        <f>'Données projet'!D81</f>
        <v>330</v>
      </c>
      <c r="C73" s="257">
        <v>150</v>
      </c>
      <c r="D73" s="179">
        <f t="shared" si="4"/>
        <v>49500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34</v>
      </c>
      <c r="C85" s="257">
        <v>5</v>
      </c>
      <c r="D85" s="179">
        <f>B85*C85</f>
        <v>170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50</v>
      </c>
      <c r="C86" s="257">
        <v>7</v>
      </c>
      <c r="D86" s="179">
        <f t="shared" ref="D86:D104" si="6">B86*C86</f>
        <v>350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52</v>
      </c>
      <c r="C87" s="257">
        <v>9</v>
      </c>
      <c r="D87" s="179">
        <f t="shared" si="6"/>
        <v>468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51</v>
      </c>
      <c r="C88" s="257">
        <v>14</v>
      </c>
      <c r="D88" s="179">
        <f t="shared" si="6"/>
        <v>714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49</v>
      </c>
      <c r="C89" s="257">
        <v>14</v>
      </c>
      <c r="D89" s="179">
        <f t="shared" si="6"/>
        <v>686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45</v>
      </c>
      <c r="C90" s="257">
        <v>20</v>
      </c>
      <c r="D90" s="179">
        <f t="shared" si="6"/>
        <v>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41</v>
      </c>
      <c r="C91" s="257">
        <v>25</v>
      </c>
      <c r="D91" s="179">
        <f t="shared" si="6"/>
        <v>1025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50</v>
      </c>
      <c r="B92" s="181">
        <f>'Données projet'!D95</f>
        <v>37</v>
      </c>
      <c r="C92" s="257">
        <v>30</v>
      </c>
      <c r="D92" s="179">
        <f t="shared" si="6"/>
        <v>1110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55</v>
      </c>
      <c r="B93" s="181">
        <f>'Données projet'!D96</f>
        <v>258</v>
      </c>
      <c r="C93" s="257">
        <v>80</v>
      </c>
      <c r="D93" s="179">
        <f t="shared" si="6"/>
        <v>20640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pin maritime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13</v>
      </c>
      <c r="B116" s="181">
        <f>'Données projet'!D114</f>
        <v>28</v>
      </c>
      <c r="C116" s="191">
        <v>10</v>
      </c>
      <c r="D116" s="179">
        <f>B116*C116</f>
        <v>280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18</v>
      </c>
      <c r="B117" s="181">
        <f>'Données projet'!D115</f>
        <v>40</v>
      </c>
      <c r="C117" s="191">
        <v>12</v>
      </c>
      <c r="D117" s="179">
        <f t="shared" ref="D117:D135" si="8">B117*C117</f>
        <v>480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23</v>
      </c>
      <c r="B118" s="181">
        <f>'Données projet'!D116</f>
        <v>52</v>
      </c>
      <c r="C118" s="191">
        <v>30</v>
      </c>
      <c r="D118" s="179">
        <f t="shared" si="8"/>
        <v>1560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0</v>
      </c>
      <c r="C119" s="191">
        <v>0</v>
      </c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34</v>
      </c>
      <c r="B120" s="181">
        <f>'Données projet'!D118</f>
        <v>325</v>
      </c>
      <c r="C120" s="191">
        <v>45</v>
      </c>
      <c r="D120" s="179">
        <f t="shared" si="8"/>
        <v>14625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Peuplier Polargo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16</v>
      </c>
      <c r="B147" s="175">
        <f>'Données projet'!D140</f>
        <v>302</v>
      </c>
      <c r="C147" s="191">
        <v>50</v>
      </c>
      <c r="D147" s="182">
        <f>B147*C147</f>
        <v>15100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Peuplier I-214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16</v>
      </c>
      <c r="B178" s="181">
        <f>'Données projet'!D166</f>
        <v>302</v>
      </c>
      <c r="C178" s="193">
        <v>50</v>
      </c>
      <c r="D178" s="179">
        <f>B178*C178</f>
        <v>15100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 xmlns="8c1d9445-5ca3-48db-a349-49511c70e687">
      <UserInfo>
        <DisplayName/>
        <AccountId xsi:nil="true"/>
        <AccountType/>
      </UserInfo>
    </Acces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20" ma:contentTypeDescription="Crée un document." ma:contentTypeScope="" ma:versionID="738020d6de6fffb06116fa3905ce679a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8554a7bc8deafab9328aabd1d58cbebf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cc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" ma:index="25" nillable="true" ma:displayName="Acces" ma:format="Dropdown" ma:list="UserInfo" ma:SharePointGroup="0" ma:internalName="Acc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DAB97-7707-41C1-A8EB-99036F4D11CF}">
  <ds:schemaRefs>
    <ds:schemaRef ds:uri="8c1d9445-5ca3-48db-a349-49511c70e687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cca48d1-260d-4848-9875-be9a6e46318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1D0DB5-66FA-4FC7-96C6-312D840B3F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F5F8C-A046-4D1A-918F-E552D2447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Charlène Cornet</cp:lastModifiedBy>
  <dcterms:created xsi:type="dcterms:W3CDTF">2021-02-01T08:22:39Z</dcterms:created>
  <dcterms:modified xsi:type="dcterms:W3CDTF">2025-10-07T14:47:30Z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