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V-GENSAC - JOUHANNEAU Jean-Louis\Dossier LBC\"/>
    </mc:Choice>
  </mc:AlternateContent>
  <xr:revisionPtr revIDLastSave="0" documentId="13_ncr:1_{E42CB328-E503-401C-8494-4DDB4AE6E3EE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6" l="1"/>
  <c r="I23" i="6"/>
  <c r="I22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40" i="2" l="1"/>
  <c r="BI47" i="2"/>
  <c r="BI137" i="2"/>
  <c r="BI41" i="2"/>
  <c r="BI99" i="2"/>
  <c r="BI116" i="2"/>
  <c r="BI90" i="2"/>
  <c r="BI102" i="2"/>
  <c r="BI32" i="2"/>
  <c r="BI13" i="2"/>
  <c r="BI125" i="2"/>
  <c r="BI123" i="2"/>
  <c r="BI155" i="2"/>
  <c r="BI74" i="2"/>
  <c r="BI57" i="2"/>
  <c r="BI108" i="2"/>
  <c r="BI128" i="2"/>
  <c r="BI139" i="2"/>
  <c r="BI150" i="2"/>
  <c r="BI22" i="2"/>
  <c r="BI71" i="2"/>
  <c r="BI120" i="2"/>
  <c r="BI7" i="2"/>
  <c r="BI88" i="2"/>
  <c r="BI73" i="2"/>
  <c r="BI114" i="2"/>
  <c r="BI63" i="2"/>
  <c r="BI10" i="2"/>
  <c r="BI78" i="2"/>
  <c r="BI199" i="2"/>
  <c r="BI180" i="2"/>
  <c r="BI143" i="2"/>
  <c r="BI45" i="2"/>
  <c r="BI3" i="2"/>
  <c r="C8" i="4" s="1"/>
  <c r="E8" i="4" s="1"/>
  <c r="F8" i="4" s="1"/>
  <c r="G8" i="4" s="1"/>
  <c r="L8" i="4" s="1"/>
  <c r="BI42" i="2"/>
  <c r="BI195" i="2"/>
  <c r="BI85" i="2"/>
  <c r="BI152" i="2"/>
  <c r="BI197" i="2"/>
  <c r="BI43" i="2"/>
  <c r="BI8" i="2"/>
  <c r="BI154" i="2"/>
  <c r="BI4" i="2"/>
  <c r="BI76" i="2"/>
  <c r="BI147" i="2"/>
  <c r="BI23" i="2"/>
  <c r="BI93" i="2"/>
  <c r="BI60" i="2"/>
  <c r="BI186" i="2"/>
  <c r="BI70" i="2"/>
  <c r="BI161" i="2"/>
  <c r="BI203" i="2"/>
  <c r="BI165" i="2"/>
  <c r="BI185" i="2"/>
  <c r="BI49" i="2"/>
  <c r="BI193" i="2"/>
  <c r="BI118" i="2"/>
  <c r="BI159" i="2"/>
  <c r="BI92" i="2"/>
  <c r="BI33" i="2"/>
  <c r="BI132" i="2"/>
  <c r="BI72" i="2"/>
  <c r="BI14" i="2"/>
  <c r="BI61" i="2"/>
  <c r="BI112" i="2"/>
  <c r="BI53" i="2"/>
  <c r="BI104" i="2"/>
  <c r="BI189" i="2"/>
  <c r="BI26" i="2"/>
  <c r="BI166" i="2"/>
  <c r="BI187" i="2"/>
  <c r="BI149" i="2"/>
  <c r="BI16" i="2"/>
  <c r="BI151" i="2"/>
  <c r="BI144" i="2"/>
  <c r="BI95" i="2"/>
  <c r="BI62" i="2"/>
  <c r="BI27" i="2"/>
  <c r="BI65" i="2"/>
  <c r="BI48" i="2"/>
  <c r="BI121" i="2"/>
  <c r="BI115" i="2"/>
  <c r="BI24" i="2"/>
  <c r="BI69" i="2"/>
  <c r="BI138" i="2"/>
  <c r="BI164" i="2"/>
  <c r="BI200" i="2"/>
  <c r="BI54" i="2"/>
  <c r="BI100" i="2"/>
  <c r="BI192" i="2"/>
  <c r="BI12" i="2"/>
  <c r="BI135" i="2"/>
  <c r="BI202" i="2"/>
  <c r="BI145" i="2"/>
  <c r="BI171" i="2"/>
  <c r="BI17" i="2"/>
  <c r="BI157" i="2"/>
  <c r="BI170" i="2"/>
  <c r="BI66" i="2"/>
  <c r="BI77" i="2"/>
  <c r="BI109" i="2"/>
  <c r="BI40" i="2"/>
  <c r="BI80" i="2"/>
  <c r="BI174" i="2"/>
  <c r="BI31" i="2"/>
  <c r="BI28" i="2"/>
  <c r="BI117" i="2"/>
  <c r="BI106" i="2"/>
  <c r="BI36" i="2"/>
  <c r="BI113" i="2"/>
  <c r="BI182" i="2"/>
  <c r="BI59" i="2"/>
  <c r="BI141" i="2"/>
  <c r="BI52" i="2"/>
  <c r="BI178" i="2"/>
  <c r="BI134" i="2"/>
  <c r="BI127" i="2"/>
  <c r="BI179" i="2"/>
  <c r="BI167" i="2"/>
  <c r="BI46" i="2"/>
  <c r="BI35" i="2"/>
  <c r="BI96" i="2"/>
  <c r="BI131" i="2"/>
  <c r="BI11" i="2"/>
  <c r="BI79" i="2"/>
  <c r="BI6" i="2"/>
  <c r="BI83" i="2"/>
  <c r="BI103" i="2"/>
  <c r="BI55" i="2"/>
  <c r="BI20" i="2"/>
  <c r="BI94" i="2"/>
  <c r="BI175" i="2"/>
  <c r="BI163" i="2"/>
  <c r="BI191" i="2"/>
  <c r="BI176" i="2"/>
  <c r="BI201" i="2"/>
  <c r="BI84" i="2"/>
  <c r="BI126" i="2"/>
  <c r="BI129" i="2"/>
  <c r="BI15" i="2"/>
  <c r="BI177" i="2"/>
  <c r="BI58" i="2"/>
  <c r="BI158" i="2"/>
  <c r="BI190" i="2"/>
  <c r="BI68" i="2"/>
  <c r="BI89" i="2"/>
  <c r="BI172" i="2"/>
  <c r="BI56" i="2"/>
  <c r="BI105" i="2"/>
  <c r="BI148" i="2"/>
  <c r="BI101" i="2"/>
  <c r="BI142" i="2"/>
  <c r="BI67" i="2"/>
  <c r="BI188" i="2"/>
  <c r="BI136" i="2"/>
  <c r="BI122" i="2"/>
  <c r="BI173" i="2"/>
  <c r="BI98" i="2"/>
  <c r="BI51" i="2"/>
  <c r="BI160" i="2"/>
  <c r="BI156" i="2"/>
  <c r="BI18" i="2"/>
  <c r="BI21" i="2"/>
  <c r="BI194" i="2"/>
  <c r="BI44" i="2"/>
  <c r="BI97" i="2"/>
  <c r="BI183" i="2"/>
  <c r="BI64" i="2"/>
  <c r="BI37" i="2"/>
  <c r="BI119" i="2"/>
  <c r="BI50" i="2"/>
  <c r="BI82" i="2"/>
  <c r="BI25" i="2"/>
  <c r="BI124" i="2"/>
  <c r="BI30" i="2"/>
  <c r="BI130" i="2"/>
  <c r="BI198" i="2"/>
  <c r="BI196" i="2"/>
  <c r="BI39" i="2"/>
  <c r="BI75" i="2"/>
  <c r="BI146" i="2"/>
  <c r="BI162" i="2"/>
  <c r="BI5" i="2"/>
  <c r="BI110" i="2"/>
  <c r="BI91" i="2"/>
  <c r="BI184" i="2"/>
  <c r="BI181" i="2"/>
  <c r="BI29" i="2"/>
  <c r="BI169" i="2"/>
  <c r="BI153" i="2"/>
  <c r="BI133" i="2"/>
  <c r="BI38" i="2"/>
  <c r="BI34" i="2"/>
  <c r="BI111" i="2"/>
  <c r="BI87" i="2"/>
  <c r="BI19" i="2"/>
  <c r="BI86" i="2"/>
  <c r="BI81" i="2"/>
  <c r="BI168" i="2"/>
  <c r="BI9" i="2"/>
  <c r="BI10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<sst xmlns="http://schemas.openxmlformats.org/spreadsheetml/2006/main" count="1171" uniqueCount="325">
  <si>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</si>
  <si>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</si>
  <si>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</si>
  <si>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</si>
  <si>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</si>
  <si>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</si>
  <si>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</si>
  <si>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</si>
  <si>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</si>
  <si>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</si>
  <si>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</si>
  <si>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</si>
  <si>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</si>
  <si>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</si>
  <si>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</si>
  <si>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</si>
  <si>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</si>
  <si>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</si>
  <si>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</si>
  <si>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</si>
  <si>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</si>
  <si>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</si>
  <si>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</si>
  <si>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</si>
  <si>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</si>
  <si>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</si>
  <si>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</si>
  <si>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</si>
  <si>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</si>
  <si>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</si>
  <si>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</si>
  <si>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</si>
  <si>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</si>
  <si>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</si>
  <si>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</si>
  <si>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</si>
  <si>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</si>
  <si>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</si>
  <si>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</si>
  <si>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</si>
  <si>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</si>
  <si>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</si>
  <si>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</si>
  <si>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</si>
  <si>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</si>
  <si>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</si>
  <si>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</si>
  <si>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</si>
  <si>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</si>
  <si>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</si>
  <si>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</si>
  <si>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</si>
  <si>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</si>
  <si>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</si>
  <si>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</si>
  <si>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</si>
  <si>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</si>
  <si>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</si>
  <si>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</si>
  <si>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</si>
  <si>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</si>
  <si>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</si>
  <si>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</si>
  <si>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</si>
  <si>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</si>
  <si>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</si>
  <si>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</si>
  <si>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</si>
  <si>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</si>
  <si>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</si>
  <si>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</si>
  <si>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</si>
  <si>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</si>
  <si>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</si>
  <si>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</si>
  <si>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</si>
  <si>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</si>
  <si>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</si>
  <si>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</si>
  <si>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</si>
  <si>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</si>
  <si>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</si>
  <si>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</si>
  <si>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</si>
  <si>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</si>
  <si>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</si>
  <si>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</si>
  <si>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</si>
  <si>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</si>
  <si>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</si>
  <si>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</si>
  <si>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</si>
  <si>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</si>
  <si>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</si>
  <si>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</si>
  <si>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</si>
  <si>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</si>
  <si>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</si>
  <si>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</si>
  <si>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</si>
  <si>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</si>
  <si>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</si>
  <si>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</si>
  <si>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</si>
  <si>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</si>
  <si>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</si>
  <si>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</si>
  <si>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</si>
  <si>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</si>
  <si>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</si>
  <si>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</si>
  <si>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</si>
  <si>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</si>
  <si>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</si>
  <si>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</si>
  <si>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</si>
  <si>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</si>
  <si>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</si>
  <si>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</si>
  <si>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</si>
  <si>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</si>
  <si>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</si>
  <si>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</si>
  <si>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</si>
  <si>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</si>
  <si>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</si>
  <si>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</si>
  <si>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</si>
  <si>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</si>
  <si>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</si>
  <si>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</si>
  <si>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</si>
  <si>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</si>
  <si>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</si>
  <si>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</si>
  <si>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</si>
  <si>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</si>
  <si>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</si>
  <si>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</si>
  <si>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</si>
  <si>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</si>
  <si>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</si>
  <si>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</si>
  <si>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</si>
  <si>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</si>
  <si>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</si>
  <si>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</si>
  <si>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</si>
  <si>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</si>
  <si>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</si>
  <si>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</si>
  <si>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</si>
  <si>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</si>
  <si>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</si>
  <si>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</si>
  <si>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</si>
  <si>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</si>
  <si>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</si>
  <si>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</si>
  <si>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</si>
  <si>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</si>
  <si>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</si>
  <si>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</si>
  <si>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</si>
  <si>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</si>
  <si>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</si>
  <si>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</si>
  <si>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</si>
  <si>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</si>
  <si>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</si>
  <si>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</si>
  <si>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</si>
  <si>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</si>
  <si>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</si>
  <si>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</si>
  <si>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</si>
  <si>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</si>
  <si>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</si>
  <si>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</si>
  <si>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</si>
  <si>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</si>
  <si>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</si>
  <si>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</si>
  <si>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</si>
  <si>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</si>
  <si>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</si>
  <si>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</si>
  <si>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</si>
  <si>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</si>
  <si>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</si>
  <si>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</si>
  <si>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</si>
  <si>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</si>
  <si>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</si>
  <si>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</si>
  <si>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</si>
  <si>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</si>
  <si>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</si>
  <si>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</si>
  <si>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</si>
  <si>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</si>
  <si>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</si>
  <si>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</si>
  <si>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</si>
  <si>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</si>
  <si>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</si>
  <si>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</si>
  <si>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</si>
  <si>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</si>
  <si>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</si>
  <si>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</si>
  <si>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</si>
  <si>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</si>
  <si>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</si>
  <si>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</si>
  <si>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</si>
  <si>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</si>
  <si>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</si>
  <si>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</si>
  <si>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</si>
  <si>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</si>
  <si>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</si>
  <si>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</si>
  <si>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</si>
  <si>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</si>
  <si>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</si>
  <si>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</si>
  <si>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</si>
  <si>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</si>
  <si>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</si>
  <si>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</si>
  <si>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</si>
  <si>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</si>
  <si>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</si>
  <si>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</si>
  <si>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</si>
  <si>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</si>
  <si>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</si>
  <si>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</si>
  <si>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</si>
  <si>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</si>
  <si>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</si>
  <si>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</si>
  <si>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</si>
  <si>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</si>
  <si>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</si>
  <si>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</si>
  <si>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</si>
  <si>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</si>
  <si>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</si>
  <si>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</si>
  <si>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</si>
  <si>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</si>
  <si>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</si>
  <si>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</si>
  <si>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</si>
  <si>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</si>
  <si>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</si>
  <si>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</si>
  <si>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</si>
  <si>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</si>
  <si>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</si>
  <si>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</si>
  <si>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</si>
  <si>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</si>
  <si>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</si>
  <si>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</si>
  <si>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</si>
  <si>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</si>
  <si>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</si>
  <si>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</si>
  <si>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</si>
  <si>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</si>
  <si>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</si>
  <si>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</si>
  <si>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</si>
  <si>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</si>
  <si>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</si>
  <si>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</si>
  <si>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</si>
  <si>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</si>
  <si>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</si>
  <si>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</si>
  <si>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</si>
  <si>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</si>
  <si>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</si>
  <si>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</si>
  <si>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</si>
  <si>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</si>
  <si>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</si>
  <si>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</si>
  <si>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</si>
  <si>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</si>
  <si>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</si>
  <si>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</si>
  <si>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</si>
  <si>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</si>
  <si>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</si>
  <si>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</si>
  <si>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</si>
  <si>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</si>
  <si>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</si>
  <si>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</si>
  <si>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</si>
  <si>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</si>
  <si>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</si>
  <si>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</si>
  <si>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</si>
  <si>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</si>
  <si>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</si>
  <si>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</si>
  <si>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</si>
  <si>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</si>
  <si>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</si>
  <si>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</si>
  <si>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</si>
  <si>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</si>
  <si>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</si>
  <si>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</si>
  <si>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</si>
  <si>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</si>
  <si>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</si>
  <si>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</si>
  <si>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</si>
  <si>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cèdre de l'Atlas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</si>
</sst>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I12" sqref="I12:I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2.79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0.35630000000000001</v>
      </c>
      <c r="D9" s="36">
        <f t="shared" ref="D9:D18" si="0">C9*$C$5</f>
        <v>0.99407699999999999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0.17549999999999999</v>
      </c>
      <c r="D10" s="36">
        <f t="shared" si="0"/>
        <v>0.489645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0.46800000000000003</v>
      </c>
      <c r="D11" s="36">
        <f t="shared" si="0"/>
        <v>1.30572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0.99980000000000002</v>
      </c>
      <c r="D19" s="41">
        <f>SUM(D9:D18)</f>
        <v>2.7894420000000002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195</v>
      </c>
      <c r="C36" s="63">
        <v>1</v>
      </c>
      <c r="D36" s="63">
        <v>0</v>
      </c>
      <c r="E36" s="54"/>
      <c r="F36" s="54"/>
      <c r="G36" s="54">
        <v>1</v>
      </c>
      <c r="H36" s="54"/>
      <c r="I36" s="52">
        <f>IFERROR(B36/A36,"")</f>
        <v>6.5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3">
        <v>280</v>
      </c>
      <c r="C37" s="63">
        <v>2</v>
      </c>
      <c r="D37" s="63">
        <v>0</v>
      </c>
      <c r="E37" s="54"/>
      <c r="F37" s="54"/>
      <c r="G37" s="54">
        <v>1</v>
      </c>
      <c r="H37" s="54"/>
      <c r="I37" s="56">
        <f t="shared" ref="I37:I55" si="1">IF(A37&lt;&gt;0,(B37-(B36-D36))/(A37-A36),"")</f>
        <v>17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3">
        <v>417</v>
      </c>
      <c r="C38" s="63">
        <v>3</v>
      </c>
      <c r="D38" s="63">
        <v>182</v>
      </c>
      <c r="E38" s="54"/>
      <c r="F38" s="54"/>
      <c r="G38" s="54">
        <v>1</v>
      </c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43</v>
      </c>
      <c r="B39" s="63">
        <v>256</v>
      </c>
      <c r="C39" s="63">
        <v>4</v>
      </c>
      <c r="D39" s="63">
        <v>0</v>
      </c>
      <c r="E39" s="54"/>
      <c r="F39" s="54">
        <v>0.4</v>
      </c>
      <c r="G39" s="54">
        <v>0.6</v>
      </c>
      <c r="H39" s="54"/>
      <c r="I39" s="52">
        <f t="shared" si="1"/>
        <v>21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361</v>
      </c>
      <c r="C40" s="63">
        <v>5</v>
      </c>
      <c r="D40" s="63">
        <v>100</v>
      </c>
      <c r="E40" s="54"/>
      <c r="F40" s="54"/>
      <c r="G40" s="54"/>
      <c r="H40" s="54"/>
      <c r="I40" s="52">
        <f t="shared" si="1"/>
        <v>17.5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278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380</v>
      </c>
      <c r="C42" s="63">
        <v>7</v>
      </c>
      <c r="D42" s="63">
        <v>79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57</v>
      </c>
      <c r="B43" s="63">
        <v>316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v>416</v>
      </c>
      <c r="C44" s="63">
        <v>9</v>
      </c>
      <c r="D44" s="63">
        <v>79</v>
      </c>
      <c r="E44" s="54"/>
      <c r="F44" s="54"/>
      <c r="G44" s="54"/>
      <c r="H44" s="54"/>
      <c r="I44" s="52">
        <f t="shared" si="1"/>
        <v>16.666666666666668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64</v>
      </c>
      <c r="B45" s="63">
        <v>353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71</v>
      </c>
      <c r="B46" s="63">
        <v>466</v>
      </c>
      <c r="C46" s="63">
        <v>11</v>
      </c>
      <c r="D46" s="63">
        <v>91</v>
      </c>
      <c r="E46" s="54"/>
      <c r="F46" s="54"/>
      <c r="G46" s="54"/>
      <c r="H46" s="54"/>
      <c r="I46" s="52">
        <f t="shared" si="1"/>
        <v>16.142857142857142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72</v>
      </c>
      <c r="B47" s="63">
        <v>390</v>
      </c>
      <c r="C47" s="63">
        <v>12</v>
      </c>
      <c r="D47" s="63">
        <v>0</v>
      </c>
      <c r="E47" s="54"/>
      <c r="F47" s="54"/>
      <c r="G47" s="54"/>
      <c r="H47" s="54"/>
      <c r="I47" s="52">
        <f t="shared" si="1"/>
        <v>15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79</v>
      </c>
      <c r="B48" s="63">
        <v>496</v>
      </c>
      <c r="C48" s="63">
        <v>13</v>
      </c>
      <c r="D48" s="63">
        <v>88</v>
      </c>
      <c r="E48" s="54"/>
      <c r="F48" s="54"/>
      <c r="G48" s="54"/>
      <c r="H48" s="54"/>
      <c r="I48" s="52">
        <f t="shared" si="1"/>
        <v>15.142857142857142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v>423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15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87</v>
      </c>
      <c r="B50" s="53">
        <v>522</v>
      </c>
      <c r="C50" s="53">
        <v>15</v>
      </c>
      <c r="D50" s="53">
        <v>89</v>
      </c>
      <c r="E50" s="54"/>
      <c r="F50" s="54"/>
      <c r="G50" s="54"/>
      <c r="H50" s="54"/>
      <c r="I50" s="52">
        <f t="shared" si="1"/>
        <v>14.142857142857142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88</v>
      </c>
      <c r="B51" s="53">
        <v>447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94</v>
      </c>
      <c r="B52" s="53">
        <v>525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13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95</v>
      </c>
      <c r="B53" s="53">
        <v>538</v>
      </c>
      <c r="C53" s="53">
        <v>18</v>
      </c>
      <c r="D53" s="53">
        <v>269</v>
      </c>
      <c r="E53" s="54"/>
      <c r="F53" s="54"/>
      <c r="G53" s="54"/>
      <c r="H53" s="54"/>
      <c r="I53" s="52">
        <f t="shared" si="1"/>
        <v>13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96</v>
      </c>
      <c r="B54" s="53">
        <v>280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11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105</v>
      </c>
      <c r="B55" s="53">
        <v>357</v>
      </c>
      <c r="C55" s="53">
        <v>20</v>
      </c>
      <c r="D55" s="53">
        <v>357</v>
      </c>
      <c r="E55" s="54"/>
      <c r="F55" s="54"/>
      <c r="G55" s="54"/>
      <c r="H55" s="54"/>
      <c r="I55" s="52">
        <f t="shared" si="1"/>
        <v>8.5555555555555554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/>
      <c r="F63" s="54">
        <v>0.4</v>
      </c>
      <c r="G63" s="54">
        <v>0.6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/>
      <c r="F64" s="54">
        <v>0.4</v>
      </c>
      <c r="G64" s="54">
        <v>0.6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I8" sqref="I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0.48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0.52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laricio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pubescent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2.6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9.5333333333333332</v>
      </c>
      <c r="H3" s="70">
        <f>(B3+E3+F3)*44/12+(C3+D3)*0.475*44/12</f>
        <v>193.74666666666667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184.21333333333334</v>
      </c>
      <c r="S3" s="62">
        <f ca="1">AVERAGE(OFFSET($R$3,0,0,'Données projet'!$E$9+1,1))-AVERAGE(OFFSET($H$3,0,0,'Données projet'!$E$9+1,1))</f>
        <v>347.22603428907496</v>
      </c>
      <c r="T3" s="62">
        <f>IF('Données projet'!E9&gt;30,$R$33-$H$33,LOOKUP('Données projet'!$E$9,$A$3:$A$203,R3:R203)-LOOKUP('Données projet'!$E$9,$A$3:$A$203,$H$3:$H$203))</f>
        <v>258.98427374339872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184.21333333333334</v>
      </c>
      <c r="AN3" s="62">
        <f ca="1">AVERAGE(OFFSET($AM$3,0,0,'Données projet'!$E$10+1,1))-AVERAGE(OFFSET($H$3,0,0,'Données projet'!$E$10+1,1))</f>
        <v>387.18736830550665</v>
      </c>
      <c r="AO3" s="62">
        <f>IF('Données projet'!E10&gt;30,$AM$33-$H$33,LOOKUP('Données projet'!$E$10,$A$3:$A$203,AM3:AM203)-LOOKUP('Données projet'!$E$10,$A$3:$A$203,$H$3:$H$203))</f>
        <v>312.32487363394125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184.21333333333334</v>
      </c>
      <c r="BI3" s="62">
        <f ca="1">AVERAGE(OFFSET($BH$3,0,0,'Données projet'!$E$11+1,1))-AVERAGE(OFFSET($H$3,0,0,'Données projet'!$E$11+1,1))</f>
        <v>343.31521637281833</v>
      </c>
      <c r="BJ3" s="62">
        <f>IF('Données projet'!E11&gt;30,$BH$33-$H$33,LOOKUP('Données projet'!$E$11,$A$3:$A$203,BH3:BH203)-LOOKUP('Données projet'!$E$11,$A$3:$A$203,$H$3:$H$203))</f>
        <v>179.67327892360623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50.24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2.6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9.5333333333333332</v>
      </c>
      <c r="H4" s="70">
        <f t="shared" ref="H4:H67" si="1">(B4+E4+F4)*44/12+(C4+D4)*0.475*44/12</f>
        <v>193.74666666666667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</v>
      </c>
      <c r="N4" s="14">
        <f>IF('Données projet'!$A$36&gt;35,N3+M4-V3,IF(A4&lt;'Données projet'!$A$36,$K$205^A4,IF(A4='Données projet'!$A$36,'Données projet'!$B$36,N3+M4-V3)))</f>
        <v>1.1921598380198544</v>
      </c>
      <c r="O4" s="14">
        <f>N4*VLOOKUP('Données projet'!$B$9,Paramètres!$A$1:$I$89,3,0)*VLOOKUP('Données projet'!$B$9,Paramètres!$A$1:$I$89,5,0)</f>
        <v>0.55793080419329188</v>
      </c>
      <c r="P4" s="14">
        <f>EXP(-1.0587+0.8836*LN(O4)+0.284)</f>
        <v>0.27518860925423011</v>
      </c>
      <c r="Q4" s="22">
        <f t="shared" ref="Q4:Q34" si="2">(O4+P4)*0.475*44/12</f>
        <v>1.4510163117544339</v>
      </c>
      <c r="R4" s="62">
        <f t="shared" si="0"/>
        <v>188.14347521925657</v>
      </c>
      <c r="S4" s="62">
        <f ca="1">AVERAGE(OFFSET($R$3,0,0,'Données projet'!$E$9+1,1))-AVERAGE(OFFSET($H$3,0,0,'Données projet'!$E$9+1,1))</f>
        <v>347.22603428907496</v>
      </c>
      <c r="T4" s="62">
        <f>$T$3</f>
        <v>258.98427374339872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188.60685644496465</v>
      </c>
      <c r="AN4" s="62">
        <f ca="1">AVERAGE(OFFSET($AM$3,0,0,'Données projet'!$E$10+1,1))-AVERAGE(OFFSET($H$3,0,0,'Données projet'!$E$10+1,1))</f>
        <v>387.18736830550665</v>
      </c>
      <c r="AO4" s="62">
        <f>$AO$3</f>
        <v>312.32487363394125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1.161777082395637</v>
      </c>
      <c r="BF4" s="14">
        <f>EXP(-1.0587+0.8836*LN(BE4)+0.284)</f>
        <v>0.52613182870286601</v>
      </c>
      <c r="BG4" s="22">
        <f t="shared" ref="BG4:BG67" si="7">(BE4+BF4)*0.475*44/12</f>
        <v>2.9397746868298928</v>
      </c>
      <c r="BH4" s="62">
        <f t="shared" ref="BH4:BH67" si="8">BG4+(AY4+AZ4)*44/12</f>
        <v>189.63223359433204</v>
      </c>
      <c r="BI4" s="62">
        <f ca="1">AVERAGE(OFFSET($BH$3,0,0,'Données projet'!$E$11+1,1))-AVERAGE(OFFSET($H$3,0,0,'Données projet'!$E$11+1,1))</f>
        <v>343.31521637281833</v>
      </c>
      <c r="BJ4" s="62">
        <f>$BJ$3</f>
        <v>179.67327892360623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50.582791823258155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2.6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9.5333333333333332</v>
      </c>
      <c r="H5" s="70">
        <f t="shared" si="1"/>
        <v>193.74666666666667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</v>
      </c>
      <c r="N5" s="14">
        <f>IF('Données projet'!$A$36&gt;35,N4+M5-V4,IF(A5&lt;'Données projet'!$A$36,$K$205^A5,IF(A5='Données projet'!$A$36,'Données projet'!$B$36,N4+M5-V4)))</f>
        <v>1.4212450793875253</v>
      </c>
      <c r="O5" s="14">
        <f>N5*VLOOKUP('Données projet'!$B$9,Paramètres!$A$1:$I$89,3,0)*VLOOKUP('Données projet'!$B$9,Paramètres!$A$1:$I$89,5,0)</f>
        <v>0.66514269715336183</v>
      </c>
      <c r="P5" s="14">
        <f t="shared" ref="P5:P68" si="33">EXP(-1.0587+0.8836*LN(O5)+0.284)</f>
        <v>0.3214249656415451</v>
      </c>
      <c r="Q5" s="22">
        <f t="shared" si="2"/>
        <v>1.7182720127011295</v>
      </c>
      <c r="R5" s="62">
        <f t="shared" si="0"/>
        <v>190.86805203123069</v>
      </c>
      <c r="S5" s="62">
        <f ca="1">AVERAGE(OFFSET($R$3,0,0,'Données projet'!$E$9+1,1))-AVERAGE(OFFSET($H$3,0,0,'Données projet'!$E$9+1,1))</f>
        <v>347.22603428907496</v>
      </c>
      <c r="T5" s="62">
        <f t="shared" ref="T5:T68" si="34">$T$3</f>
        <v>258.98427374339872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191.51291014088972</v>
      </c>
      <c r="AN5" s="62">
        <f ca="1">AVERAGE(OFFSET($AM$3,0,0,'Données projet'!$E$10+1,1))-AVERAGE(OFFSET($H$3,0,0,'Données projet'!$E$10+1,1))</f>
        <v>387.18736830550665</v>
      </c>
      <c r="AO5" s="62">
        <f t="shared" ref="AO5:AO68" si="36">$AO$3</f>
        <v>312.32487363394125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1.3310907191121488</v>
      </c>
      <c r="BF5" s="14">
        <f t="shared" ref="BF5:BF68" si="37">EXP(-1.0587+0.8836*LN(BE5)+0.284)</f>
        <v>0.59333770733536928</v>
      </c>
      <c r="BG5" s="22">
        <f t="shared" si="7"/>
        <v>3.3517128427294267</v>
      </c>
      <c r="BH5" s="62">
        <f t="shared" si="8"/>
        <v>192.50149286125898</v>
      </c>
      <c r="BI5" s="62">
        <f ca="1">AVERAGE(OFFSET($BH$3,0,0,'Données projet'!$E$11+1,1))-AVERAGE(OFFSET($H$3,0,0,'Données projet'!$E$11+1,1))</f>
        <v>343.31521637281833</v>
      </c>
      <c r="BJ5" s="62">
        <f t="shared" ref="BJ5:BJ68" si="38">$BJ$3</f>
        <v>179.67327892360623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50.919636974750489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2.6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9.5333333333333332</v>
      </c>
      <c r="H6" s="70">
        <f t="shared" si="1"/>
        <v>193.74666666666667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</v>
      </c>
      <c r="N6" s="14">
        <f>IF('Données projet'!$A$36&gt;35,N5+M6-V5,IF(A6&lt;'Données projet'!$A$36,$K$205^A6,IF(A6='Données projet'!$A$36,'Données projet'!$B$36,N5+M6-V5)))</f>
        <v>1.6943513036291473</v>
      </c>
      <c r="O6" s="14">
        <f>N6*VLOOKUP('Données projet'!$B$9,Paramètres!$A$1:$I$89,3,0)*VLOOKUP('Données projet'!$B$9,Paramètres!$A$1:$I$89,5,0)</f>
        <v>0.79295641009844098</v>
      </c>
      <c r="P6" s="14">
        <f t="shared" si="33"/>
        <v>0.37542981454665864</v>
      </c>
      <c r="Q6" s="22">
        <f t="shared" si="2"/>
        <v>2.0349393412568815</v>
      </c>
      <c r="R6" s="62">
        <f t="shared" si="0"/>
        <v>193.62061426636058</v>
      </c>
      <c r="S6" s="62">
        <f ca="1">AVERAGE(OFFSET($R$3,0,0,'Données projet'!$E$9+1,1))-AVERAGE(OFFSET($H$3,0,0,'Données projet'!$E$9+1,1))</f>
        <v>347.22603428907496</v>
      </c>
      <c r="T6" s="62">
        <f t="shared" si="34"/>
        <v>258.98427374339872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194.50312974897571</v>
      </c>
      <c r="AN6" s="62">
        <f ca="1">AVERAGE(OFFSET($AM$3,0,0,'Données projet'!$E$10+1,1))-AVERAGE(OFFSET($H$3,0,0,'Données projet'!$E$10+1,1))</f>
        <v>387.18736830550665</v>
      </c>
      <c r="AO6" s="62">
        <f t="shared" si="36"/>
        <v>312.32487363394125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1.525079577962547</v>
      </c>
      <c r="BF6" s="14">
        <f t="shared" si="37"/>
        <v>0.6691281837366525</v>
      </c>
      <c r="BG6" s="22">
        <f t="shared" si="7"/>
        <v>3.8215785182927724</v>
      </c>
      <c r="BH6" s="62">
        <f t="shared" si="8"/>
        <v>195.40725344339646</v>
      </c>
      <c r="BI6" s="62">
        <f ca="1">AVERAGE(OFFSET($BH$3,0,0,'Données projet'!$E$11+1,1))-AVERAGE(OFFSET($H$3,0,0,'Données projet'!$E$11+1,1))</f>
        <v>343.31521637281833</v>
      </c>
      <c r="BJ6" s="62">
        <f t="shared" si="38"/>
        <v>179.67327892360623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51.250638615937369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2.6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9.5333333333333332</v>
      </c>
      <c r="H7" s="70">
        <f t="shared" si="1"/>
        <v>193.74666666666667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</v>
      </c>
      <c r="N7" s="14">
        <f>IF('Données projet'!$A$36&gt;35,N6+M7-V6,IF(A7&lt;'Données projet'!$A$36,$K$205^A7,IF(A7='Données projet'!$A$36,'Données projet'!$B$36,N6+M7-V6)))</f>
        <v>2.0199375756832532</v>
      </c>
      <c r="O7" s="14">
        <f>N7*VLOOKUP('Données projet'!$B$9,Paramètres!$A$1:$I$89,3,0)*VLOOKUP('Données projet'!$B$9,Paramètres!$A$1:$I$89,5,0)</f>
        <v>0.94533078541976245</v>
      </c>
      <c r="P7" s="14">
        <f t="shared" si="33"/>
        <v>0.43850839454619067</v>
      </c>
      <c r="Q7" s="22">
        <f t="shared" si="2"/>
        <v>2.4101865717740352</v>
      </c>
      <c r="R7" s="62">
        <f t="shared" si="0"/>
        <v>196.41070189574395</v>
      </c>
      <c r="S7" s="62">
        <f ca="1">AVERAGE(OFFSET($R$3,0,0,'Données projet'!$E$9+1,1))-AVERAGE(OFFSET($H$3,0,0,'Données projet'!$E$9+1,1))</f>
        <v>347.22603428907496</v>
      </c>
      <c r="T7" s="62">
        <f t="shared" si="34"/>
        <v>258.98427374339872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197.60282517047068</v>
      </c>
      <c r="AN7" s="62">
        <f ca="1">AVERAGE(OFFSET($AM$3,0,0,'Données projet'!$E$10+1,1))-AVERAGE(OFFSET($H$3,0,0,'Données projet'!$E$10+1,1))</f>
        <v>387.18736830550665</v>
      </c>
      <c r="AO7" s="62">
        <f t="shared" si="36"/>
        <v>312.32487363394125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1.7473397460616347</v>
      </c>
      <c r="BF7" s="14">
        <f t="shared" si="37"/>
        <v>0.7545998185105095</v>
      </c>
      <c r="BG7" s="22">
        <f t="shared" si="7"/>
        <v>4.3575447416298188</v>
      </c>
      <c r="BH7" s="62">
        <f t="shared" si="8"/>
        <v>198.35806006559974</v>
      </c>
      <c r="BI7" s="62">
        <f ca="1">AVERAGE(OFFSET($BH$3,0,0,'Données projet'!$E$11+1,1))-AVERAGE(OFFSET($H$3,0,0,'Données projet'!$E$11+1,1))</f>
        <v>343.31521637281833</v>
      </c>
      <c r="BJ7" s="62">
        <f t="shared" si="38"/>
        <v>179.67327892360623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51.575898118658465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2.6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9.5333333333333332</v>
      </c>
      <c r="H8" s="70">
        <f t="shared" si="1"/>
        <v>193.74666666666667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</v>
      </c>
      <c r="N8" s="14">
        <f>IF('Données projet'!$A$36&gt;35,N7+M8-V7,IF(A8&lt;'Données projet'!$A$36,$K$205^A8,IF(A8='Données projet'!$A$36,'Données projet'!$B$36,N7+M8-V7)))</f>
        <v>2.4080884530367643</v>
      </c>
      <c r="O8" s="14">
        <f>N8*VLOOKUP('Données projet'!$B$9,Paramètres!$A$1:$I$89,3,0)*VLOOKUP('Données projet'!$B$9,Paramètres!$A$1:$I$89,5,0)</f>
        <v>1.1269853960212057</v>
      </c>
      <c r="P8" s="14">
        <f t="shared" si="33"/>
        <v>0.51218524644792107</v>
      </c>
      <c r="Q8" s="22">
        <f t="shared" si="2"/>
        <v>2.8548888689670626</v>
      </c>
      <c r="R8" s="62">
        <f t="shared" si="0"/>
        <v>199.24955533273325</v>
      </c>
      <c r="S8" s="62">
        <f ca="1">AVERAGE(OFFSET($R$3,0,0,'Données projet'!$E$9+1,1))-AVERAGE(OFFSET($H$3,0,0,'Données projet'!$E$9+1,1))</f>
        <v>347.22603428907496</v>
      </c>
      <c r="T8" s="62">
        <f t="shared" si="34"/>
        <v>258.98427374339872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200.84320982346449</v>
      </c>
      <c r="AN8" s="62">
        <f ca="1">AVERAGE(OFFSET($AM$3,0,0,'Données projet'!$E$10+1,1))-AVERAGE(OFFSET($H$3,0,0,'Données projet'!$E$10+1,1))</f>
        <v>387.18736830550665</v>
      </c>
      <c r="AO8" s="62">
        <f t="shared" si="36"/>
        <v>312.32487363394125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2.0019913926365076</v>
      </c>
      <c r="BF8" s="14">
        <f t="shared" si="37"/>
        <v>0.85098924232460604</v>
      </c>
      <c r="BG8" s="22">
        <f t="shared" si="7"/>
        <v>4.9689412725572728</v>
      </c>
      <c r="BH8" s="62">
        <f t="shared" si="8"/>
        <v>201.36360773632344</v>
      </c>
      <c r="BI8" s="62">
        <f ca="1">AVERAGE(OFFSET($BH$3,0,0,'Données projet'!$E$11+1,1))-AVERAGE(OFFSET($H$3,0,0,'Données projet'!$E$11+1,1))</f>
        <v>343.31521637281833</v>
      </c>
      <c r="BJ8" s="62">
        <f t="shared" si="38"/>
        <v>179.67327892360623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51.895515096178663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2.6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9.5333333333333332</v>
      </c>
      <c r="H9" s="70">
        <f t="shared" si="1"/>
        <v>193.74666666666667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</v>
      </c>
      <c r="N9" s="14">
        <f>IF('Données projet'!$A$36&gt;35,N8+M9-V8,IF(A9&lt;'Données projet'!$A$36,$K$205^A9,IF(A9='Données projet'!$A$36,'Données projet'!$B$36,N8+M9-V8)))</f>
        <v>2.8708263401097907</v>
      </c>
      <c r="O9" s="14">
        <f>N9*VLOOKUP('Données projet'!$B$9,Paramètres!$A$1:$I$89,3,0)*VLOOKUP('Données projet'!$B$9,Paramètres!$A$1:$I$89,5,0)</f>
        <v>1.3435467271713821</v>
      </c>
      <c r="P9" s="14">
        <f t="shared" si="33"/>
        <v>0.59824105978724762</v>
      </c>
      <c r="Q9" s="22">
        <f t="shared" si="2"/>
        <v>3.3819470622862799</v>
      </c>
      <c r="R9" s="62">
        <f t="shared" si="0"/>
        <v>202.15043431916939</v>
      </c>
      <c r="S9" s="62">
        <f ca="1">AVERAGE(OFFSET($R$3,0,0,'Données projet'!$E$9+1,1))-AVERAGE(OFFSET($H$3,0,0,'Données projet'!$E$9+1,1))</f>
        <v>347.22603428907496</v>
      </c>
      <c r="T9" s="62">
        <f t="shared" si="34"/>
        <v>258.98427374339872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204.26280578024975</v>
      </c>
      <c r="AN9" s="62">
        <f ca="1">AVERAGE(OFFSET($AM$3,0,0,'Données projet'!$E$10+1,1))-AVERAGE(OFFSET($H$3,0,0,'Données projet'!$E$10+1,1))</f>
        <v>387.18736830550665</v>
      </c>
      <c r="AO9" s="62">
        <f t="shared" si="36"/>
        <v>312.32487363394125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2.2937551470595863</v>
      </c>
      <c r="BF9" s="14">
        <f t="shared" si="37"/>
        <v>0.95969104787443238</v>
      </c>
      <c r="BG9" s="22">
        <f t="shared" si="7"/>
        <v>5.6664187895100824</v>
      </c>
      <c r="BH9" s="62">
        <f t="shared" si="8"/>
        <v>204.43490604639319</v>
      </c>
      <c r="BI9" s="62">
        <f ca="1">AVERAGE(OFFSET($BH$3,0,0,'Données projet'!$E$11+1,1))-AVERAGE(OFFSET($H$3,0,0,'Données projet'!$E$11+1,1))</f>
        <v>343.31521637281833</v>
      </c>
      <c r="BJ9" s="62">
        <f t="shared" si="38"/>
        <v>179.67327892360623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52.20958743369539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2.6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9.5333333333333332</v>
      </c>
      <c r="H10" s="70">
        <f t="shared" si="1"/>
        <v>193.74666666666667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</v>
      </c>
      <c r="N10" s="14">
        <f>IF('Données projet'!$A$36&gt;35,N9+M10-V9,IF(A10&lt;'Données projet'!$A$36,$K$205^A10,IF(A10='Données projet'!$A$36,'Données projet'!$B$36,N9+M10-V9)))</f>
        <v>3.4224838646084192</v>
      </c>
      <c r="O10" s="14">
        <f>N10*VLOOKUP('Données projet'!$B$9,Paramètres!$A$1:$I$89,3,0)*VLOOKUP('Données projet'!$B$9,Paramètres!$A$1:$I$89,5,0)</f>
        <v>1.6017224486367401</v>
      </c>
      <c r="P10" s="14">
        <f t="shared" si="33"/>
        <v>0.69875571016034643</v>
      </c>
      <c r="Q10" s="22">
        <f t="shared" si="2"/>
        <v>4.0066661265715924</v>
      </c>
      <c r="R10" s="62">
        <f t="shared" si="0"/>
        <v>205.12899651595529</v>
      </c>
      <c r="S10" s="62">
        <f ca="1">AVERAGE(OFFSET($R$3,0,0,'Données projet'!$E$9+1,1))-AVERAGE(OFFSET($H$3,0,0,'Données projet'!$E$9+1,1))</f>
        <v>347.22603428907496</v>
      </c>
      <c r="T10" s="62">
        <f t="shared" si="34"/>
        <v>258.98427374339872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207.90918391148733</v>
      </c>
      <c r="AN10" s="62">
        <f ca="1">AVERAGE(OFFSET($AM$3,0,0,'Données projet'!$E$10+1,1))-AVERAGE(OFFSET($H$3,0,0,'Données projet'!$E$10+1,1))</f>
        <v>387.18736830550665</v>
      </c>
      <c r="AO10" s="62">
        <f t="shared" si="36"/>
        <v>312.32487363394125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2.6280396079692911</v>
      </c>
      <c r="BF10" s="14">
        <f t="shared" si="37"/>
        <v>1.082277967291873</v>
      </c>
      <c r="BG10" s="22">
        <f t="shared" si="7"/>
        <v>6.4621364435798609</v>
      </c>
      <c r="BH10" s="62">
        <f t="shared" si="8"/>
        <v>207.58446683296356</v>
      </c>
      <c r="BI10" s="62">
        <f ca="1">AVERAGE(OFFSET($BH$3,0,0,'Données projet'!$E$11+1,1))-AVERAGE(OFFSET($H$3,0,0,'Données projet'!$E$11+1,1))</f>
        <v>343.31521637281833</v>
      </c>
      <c r="BJ10" s="62">
        <f t="shared" si="38"/>
        <v>179.67327892360623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52.518211318316766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2.6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9.5333333333333332</v>
      </c>
      <c r="H11" s="70">
        <f t="shared" si="1"/>
        <v>193.74666666666667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</v>
      </c>
      <c r="N11" s="14">
        <f>IF('Données projet'!$A$36&gt;35,N10+M11-V10,IF(A11&lt;'Données projet'!$A$36,$K$205^A11,IF(A11='Données projet'!$A$36,'Données projet'!$B$36,N10+M11-V10)))</f>
        <v>4.080147809657138</v>
      </c>
      <c r="O11" s="14">
        <f>N11*VLOOKUP('Données projet'!$B$9,Paramètres!$A$1:$I$89,3,0)*VLOOKUP('Données projet'!$B$9,Paramètres!$A$1:$I$89,5,0)</f>
        <v>1.9095091749195405</v>
      </c>
      <c r="P11" s="14">
        <f t="shared" si="33"/>
        <v>0.81615852755965934</v>
      </c>
      <c r="Q11" s="22">
        <f t="shared" si="2"/>
        <v>4.7472045818179396</v>
      </c>
      <c r="R11" s="62">
        <f t="shared" si="0"/>
        <v>208.20374701083421</v>
      </c>
      <c r="S11" s="62">
        <f ca="1">AVERAGE(OFFSET($R$3,0,0,'Données projet'!$E$9+1,1))-AVERAGE(OFFSET($H$3,0,0,'Données projet'!$E$9+1,1))</f>
        <v>347.22603428907496</v>
      </c>
      <c r="T11" s="62">
        <f t="shared" si="34"/>
        <v>258.98427374339872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211.84111913032879</v>
      </c>
      <c r="AN11" s="62">
        <f ca="1">AVERAGE(OFFSET($AM$3,0,0,'Données projet'!$E$10+1,1))-AVERAGE(OFFSET($H$3,0,0,'Données projet'!$E$10+1,1))</f>
        <v>387.18736830550665</v>
      </c>
      <c r="AO11" s="62">
        <f t="shared" si="36"/>
        <v>312.32487363394125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3.0110416056871174</v>
      </c>
      <c r="BF11" s="14">
        <f t="shared" si="37"/>
        <v>1.2205236269315363</v>
      </c>
      <c r="BG11" s="22">
        <f t="shared" si="7"/>
        <v>7.3699761134774882</v>
      </c>
      <c r="BH11" s="62">
        <f t="shared" si="8"/>
        <v>210.82651854249377</v>
      </c>
      <c r="BI11" s="62">
        <f ca="1">AVERAGE(OFFSET($BH$3,0,0,'Données projet'!$E$11+1,1))-AVERAGE(OFFSET($H$3,0,0,'Données projet'!$E$11+1,1))</f>
        <v>343.31521637281833</v>
      </c>
      <c r="BJ11" s="62">
        <f t="shared" si="38"/>
        <v>179.67327892360623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52.821481268519598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2.6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9.5333333333333332</v>
      </c>
      <c r="H12" s="70">
        <f t="shared" si="1"/>
        <v>193.74666666666667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</v>
      </c>
      <c r="N12" s="14">
        <f>IF('Données projet'!$A$36&gt;35,N11+M12-V11,IF(A12&lt;'Données projet'!$A$36,$K$205^A12,IF(A12='Données projet'!$A$36,'Données projet'!$B$36,N11+M12-V11)))</f>
        <v>4.8641883518579174</v>
      </c>
      <c r="O12" s="14">
        <f>N12*VLOOKUP('Données projet'!$B$9,Paramètres!$A$1:$I$89,3,0)*VLOOKUP('Données projet'!$B$9,Paramètres!$A$1:$I$89,5,0)</f>
        <v>2.2764401486695052</v>
      </c>
      <c r="P12" s="14">
        <f t="shared" si="33"/>
        <v>0.95328701064281096</v>
      </c>
      <c r="Q12" s="22">
        <f t="shared" si="2"/>
        <v>5.6251081358022832</v>
      </c>
      <c r="R12" s="62">
        <f t="shared" si="0"/>
        <v>211.39657206715592</v>
      </c>
      <c r="S12" s="62">
        <f ca="1">AVERAGE(OFFSET($R$3,0,0,'Données projet'!$E$9+1,1))-AVERAGE(OFFSET($H$3,0,0,'Données projet'!$E$9+1,1))</f>
        <v>347.22603428907496</v>
      </c>
      <c r="T12" s="62">
        <f t="shared" si="34"/>
        <v>258.98427374339872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216.13126002512271</v>
      </c>
      <c r="AN12" s="62">
        <f ca="1">AVERAGE(OFFSET($AM$3,0,0,'Données projet'!$E$10+1,1))-AVERAGE(OFFSET($H$3,0,0,'Données projet'!$E$10+1,1))</f>
        <v>387.18736830550665</v>
      </c>
      <c r="AO12" s="62">
        <f t="shared" si="36"/>
        <v>312.32487363394125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3.4498610765552797</v>
      </c>
      <c r="BF12" s="14">
        <f t="shared" si="37"/>
        <v>1.3764282087582862</v>
      </c>
      <c r="BG12" s="22">
        <f t="shared" si="7"/>
        <v>8.4057871719211263</v>
      </c>
      <c r="BH12" s="62">
        <f t="shared" si="8"/>
        <v>214.17725110327476</v>
      </c>
      <c r="BI12" s="62">
        <f ca="1">AVERAGE(OFFSET($BH$3,0,0,'Données projet'!$E$11+1,1))-AVERAGE(OFFSET($H$3,0,0,'Données projet'!$E$11+1,1))</f>
        <v>343.31521637281833</v>
      </c>
      <c r="BJ12" s="62">
        <f t="shared" si="38"/>
        <v>179.67327892360623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53.119490163096444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2.6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9.5333333333333332</v>
      </c>
      <c r="H13" s="70">
        <f t="shared" si="1"/>
        <v>193.74666666666667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</v>
      </c>
      <c r="N13" s="14">
        <f>IF('Données projet'!$A$36&gt;35,N12+M13-V12,IF(A13&lt;'Données projet'!$A$36,$K$205^A13,IF(A13='Données projet'!$A$36,'Données projet'!$B$36,N12+M13-V12)))</f>
        <v>5.7988899976489963</v>
      </c>
      <c r="O13" s="14">
        <f>N13*VLOOKUP('Données projet'!$B$9,Paramètres!$A$1:$I$89,3,0)*VLOOKUP('Données projet'!$B$9,Paramètres!$A$1:$I$89,5,0)</f>
        <v>2.7138805188997304</v>
      </c>
      <c r="P13" s="14">
        <f t="shared" si="33"/>
        <v>1.1134554059951043</v>
      </c>
      <c r="Q13" s="22">
        <f t="shared" si="2"/>
        <v>6.66594340252517</v>
      </c>
      <c r="R13" s="62">
        <f t="shared" si="0"/>
        <v>214.73337294661576</v>
      </c>
      <c r="S13" s="62">
        <f ca="1">AVERAGE(OFFSET($R$3,0,0,'Données projet'!$E$9+1,1))-AVERAGE(OFFSET($H$3,0,0,'Données projet'!$E$9+1,1))</f>
        <v>347.22603428907496</v>
      </c>
      <c r="T13" s="62">
        <f t="shared" si="34"/>
        <v>258.98427374339872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220.86943597552795</v>
      </c>
      <c r="AN13" s="62">
        <f ca="1">AVERAGE(OFFSET($AM$3,0,0,'Données projet'!$E$10+1,1))-AVERAGE(OFFSET($H$3,0,0,'Données projet'!$E$10+1,1))</f>
        <v>387.18736830550665</v>
      </c>
      <c r="AO13" s="62">
        <f t="shared" si="36"/>
        <v>312.32487363394125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3.9526326786890178</v>
      </c>
      <c r="BF13" s="14">
        <f t="shared" si="37"/>
        <v>1.552247389613062</v>
      </c>
      <c r="BG13" s="22">
        <f t="shared" si="7"/>
        <v>9.5876661189594543</v>
      </c>
      <c r="BH13" s="62">
        <f t="shared" si="8"/>
        <v>217.65509566305005</v>
      </c>
      <c r="BI13" s="62">
        <f ca="1">AVERAGE(OFFSET($BH$3,0,0,'Données projet'!$E$11+1,1))-AVERAGE(OFFSET($H$3,0,0,'Données projet'!$E$11+1,1))</f>
        <v>343.31521637281833</v>
      </c>
      <c r="BJ13" s="62">
        <f t="shared" si="38"/>
        <v>179.67327892360623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53.412329269600463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2.6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9.5333333333333332</v>
      </c>
      <c r="H14" s="70">
        <f t="shared" si="1"/>
        <v>193.74666666666667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</v>
      </c>
      <c r="N14" s="14">
        <f>IF('Données projet'!$A$36&gt;35,N13+M14-V13,IF(A14&lt;'Données projet'!$A$36,$K$205^A14,IF(A14='Données projet'!$A$36,'Données projet'!$B$36,N13+M14-V13)))</f>
        <v>6.9132037602921814</v>
      </c>
      <c r="O14" s="14">
        <f>N14*VLOOKUP('Données projet'!$B$9,Paramètres!$A$1:$I$89,3,0)*VLOOKUP('Données projet'!$B$9,Paramètres!$A$1:$I$89,5,0)</f>
        <v>3.2353793598167409</v>
      </c>
      <c r="P14" s="14">
        <f t="shared" si="33"/>
        <v>1.3005348098719234</v>
      </c>
      <c r="Q14" s="22">
        <f t="shared" si="2"/>
        <v>7.9000505122077564</v>
      </c>
      <c r="R14" s="62">
        <f t="shared" si="0"/>
        <v>218.24481862174045</v>
      </c>
      <c r="S14" s="62">
        <f ca="1">AVERAGE(OFFSET($R$3,0,0,'Données projet'!$E$9+1,1))-AVERAGE(OFFSET($H$3,0,0,'Données projet'!$E$9+1,1))</f>
        <v>347.22603428907496</v>
      </c>
      <c r="T14" s="62">
        <f t="shared" si="34"/>
        <v>258.98427374339872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226.16675437349423</v>
      </c>
      <c r="AN14" s="62">
        <f ca="1">AVERAGE(OFFSET($AM$3,0,0,'Données projet'!$E$10+1,1))-AVERAGE(OFFSET($H$3,0,0,'Données projet'!$E$10+1,1))</f>
        <v>387.18736830550665</v>
      </c>
      <c r="AO14" s="62">
        <f t="shared" si="36"/>
        <v>312.32487363394125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4.5286765889832141</v>
      </c>
      <c r="BF14" s="14">
        <f t="shared" si="37"/>
        <v>1.7505249770594407</v>
      </c>
      <c r="BG14" s="22">
        <f t="shared" si="7"/>
        <v>10.936276060857622</v>
      </c>
      <c r="BH14" s="62">
        <f t="shared" si="8"/>
        <v>221.28104417039032</v>
      </c>
      <c r="BI14" s="62">
        <f ca="1">AVERAGE(OFFSET($BH$3,0,0,'Données projet'!$E$11+1,1))-AVERAGE(OFFSET($H$3,0,0,'Données projet'!$E$11+1,1))</f>
        <v>343.31521637281833</v>
      </c>
      <c r="BJ14" s="62">
        <f t="shared" si="38"/>
        <v>179.67327892360623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53.700088272296796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2.6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9.5333333333333332</v>
      </c>
      <c r="H15" s="70">
        <f t="shared" si="1"/>
        <v>193.74666666666667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</v>
      </c>
      <c r="N15" s="14">
        <f>IF('Données projet'!$A$36&gt;35,N14+M15-V14,IF(A15&lt;'Données projet'!$A$36,$K$205^A15,IF(A15='Données projet'!$A$36,'Données projet'!$B$36,N14+M15-V14)))</f>
        <v>8.2416438750681742</v>
      </c>
      <c r="O15" s="14">
        <f>N15*VLOOKUP('Données projet'!$B$9,Paramètres!$A$1:$I$89,3,0)*VLOOKUP('Données projet'!$B$9,Paramètres!$A$1:$I$89,5,0)</f>
        <v>3.8570893335319059</v>
      </c>
      <c r="P15" s="14">
        <f t="shared" si="33"/>
        <v>1.5190467283932132</v>
      </c>
      <c r="Q15" s="22">
        <f t="shared" si="2"/>
        <v>9.3634369745195816</v>
      </c>
      <c r="R15" s="62">
        <f t="shared" si="0"/>
        <v>221.96723973982628</v>
      </c>
      <c r="S15" s="62">
        <f ca="1">AVERAGE(OFFSET($R$3,0,0,'Données projet'!$E$9+1,1))-AVERAGE(OFFSET($H$3,0,0,'Données projet'!$E$9+1,1))</f>
        <v>347.22603428907496</v>
      </c>
      <c r="T15" s="62">
        <f t="shared" si="34"/>
        <v>258.98427374339872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232.16067719493157</v>
      </c>
      <c r="AN15" s="62">
        <f ca="1">AVERAGE(OFFSET($AM$3,0,0,'Données projet'!$E$10+1,1))-AVERAGE(OFFSET($H$3,0,0,'Données projet'!$E$10+1,1))</f>
        <v>387.18736830550665</v>
      </c>
      <c r="AO15" s="62">
        <f t="shared" si="36"/>
        <v>312.32487363394125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5.1886712767873213</v>
      </c>
      <c r="BF15" s="14">
        <f t="shared" si="37"/>
        <v>1.9741297139966976</v>
      </c>
      <c r="BG15" s="22">
        <f t="shared" si="7"/>
        <v>12.4752117256155</v>
      </c>
      <c r="BH15" s="62">
        <f t="shared" si="8"/>
        <v>225.07901449092222</v>
      </c>
      <c r="BI15" s="62">
        <f ca="1">AVERAGE(OFFSET($BH$3,0,0,'Données projet'!$E$11+1,1))-AVERAGE(OFFSET($H$3,0,0,'Données projet'!$E$11+1,1))</f>
        <v>343.31521637281833</v>
      </c>
      <c r="BJ15" s="62">
        <f t="shared" si="38"/>
        <v>179.67327892360623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53.982855299629108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2.6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9.5333333333333332</v>
      </c>
      <c r="H16" s="70">
        <f t="shared" si="1"/>
        <v>193.74666666666667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</v>
      </c>
      <c r="N16" s="14">
        <f>IF('Données projet'!$A$36&gt;35,N15+M16-V15,IF(A16&lt;'Données projet'!$A$36,$K$205^A16,IF(A16='Données projet'!$A$36,'Données projet'!$B$36,N15+M16-V15)))</f>
        <v>9.8253568271186005</v>
      </c>
      <c r="O16" s="14">
        <f>N16*VLOOKUP('Données projet'!$B$9,Paramètres!$A$1:$I$89,3,0)*VLOOKUP('Données projet'!$B$9,Paramètres!$A$1:$I$89,5,0)</f>
        <v>4.5982669950915049</v>
      </c>
      <c r="P16" s="14">
        <f t="shared" si="33"/>
        <v>1.7742723574383734</v>
      </c>
      <c r="Q16" s="22">
        <f t="shared" si="2"/>
        <v>11.098839372322871</v>
      </c>
      <c r="R16" s="62">
        <f t="shared" si="0"/>
        <v>225.94369041564681</v>
      </c>
      <c r="S16" s="62">
        <f ca="1">AVERAGE(OFFSET($R$3,0,0,'Données projet'!$E$9+1,1))-AVERAGE(OFFSET($H$3,0,0,'Données projet'!$E$9+1,1))</f>
        <v>347.22603428907496</v>
      </c>
      <c r="T16" s="62">
        <f t="shared" si="34"/>
        <v>258.98427374339872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239.02131159946447</v>
      </c>
      <c r="AN16" s="62">
        <f ca="1">AVERAGE(OFFSET($AM$3,0,0,'Données projet'!$E$10+1,1))-AVERAGE(OFFSET($H$3,0,0,'Données projet'!$E$10+1,1))</f>
        <v>387.18736830550665</v>
      </c>
      <c r="AO16" s="62">
        <f t="shared" si="36"/>
        <v>312.32487363394125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5.9448514570572168</v>
      </c>
      <c r="BF16" s="14">
        <f t="shared" si="37"/>
        <v>2.2262967845401667</v>
      </c>
      <c r="BG16" s="22">
        <f t="shared" si="7"/>
        <v>14.231416520782107</v>
      </c>
      <c r="BH16" s="62">
        <f t="shared" si="8"/>
        <v>229.07626756410608</v>
      </c>
      <c r="BI16" s="62">
        <f ca="1">AVERAGE(OFFSET($BH$3,0,0,'Données projet'!$E$11+1,1))-AVERAGE(OFFSET($H$3,0,0,'Données projet'!$E$11+1,1))</f>
        <v>343.31521637281833</v>
      </c>
      <c r="BJ16" s="62">
        <f t="shared" si="38"/>
        <v>179.67327892360623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54.26071695120956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2.6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9.5333333333333332</v>
      </c>
      <c r="H17" s="70">
        <f t="shared" si="1"/>
        <v>193.74666666666667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</v>
      </c>
      <c r="N17" s="14">
        <f>IF('Données projet'!$A$36&gt;35,N16+M17-V16,IF(A17&lt;'Données projet'!$A$36,$K$205^A17,IF(A17='Données projet'!$A$36,'Données projet'!$B$36,N16+M17-V16)))</f>
        <v>11.71339580350498</v>
      </c>
      <c r="O17" s="14">
        <f>N17*VLOOKUP('Données projet'!$B$9,Paramètres!$A$1:$I$89,3,0)*VLOOKUP('Données projet'!$B$9,Paramètres!$A$1:$I$89,5,0)</f>
        <v>5.4818692360403301</v>
      </c>
      <c r="P17" s="14">
        <f t="shared" si="33"/>
        <v>2.0723802234180093</v>
      </c>
      <c r="Q17" s="22">
        <f t="shared" si="2"/>
        <v>13.156984475223274</v>
      </c>
      <c r="R17" s="62">
        <f t="shared" si="0"/>
        <v>230.22520944225025</v>
      </c>
      <c r="S17" s="62">
        <f ca="1">AVERAGE(OFFSET($R$3,0,0,'Données projet'!$E$9+1,1))-AVERAGE(OFFSET($H$3,0,0,'Données projet'!$E$9+1,1))</f>
        <v>347.22603428907496</v>
      </c>
      <c r="T17" s="62">
        <f t="shared" si="34"/>
        <v>258.98427374339872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246.95920559638228</v>
      </c>
      <c r="AN17" s="62">
        <f ca="1">AVERAGE(OFFSET($AM$3,0,0,'Données projet'!$E$10+1,1))-AVERAGE(OFFSET($H$3,0,0,'Données projet'!$E$10+1,1))</f>
        <v>387.18736830550665</v>
      </c>
      <c r="AO17" s="62">
        <f t="shared" si="36"/>
        <v>312.32487363394125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6.8112348925595523</v>
      </c>
      <c r="BF17" s="14">
        <f t="shared" si="37"/>
        <v>2.5106746216891089</v>
      </c>
      <c r="BG17" s="22">
        <f t="shared" si="7"/>
        <v>16.235659070649749</v>
      </c>
      <c r="BH17" s="62">
        <f t="shared" si="8"/>
        <v>233.30388403767671</v>
      </c>
      <c r="BI17" s="62">
        <f ca="1">AVERAGE(OFFSET($BH$3,0,0,'Données projet'!$E$11+1,1))-AVERAGE(OFFSET($H$3,0,0,'Données projet'!$E$11+1,1))</f>
        <v>343.31521637281833</v>
      </c>
      <c r="BJ17" s="62">
        <f t="shared" si="38"/>
        <v>179.67327892360623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54.533758324340688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2.6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9.5333333333333332</v>
      </c>
      <c r="H18" s="70">
        <f t="shared" si="1"/>
        <v>193.74666666666667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</v>
      </c>
      <c r="N18" s="14">
        <f>IF('Données projet'!$A$36&gt;35,N17+M18-V17,IF(A18&lt;'Données projet'!$A$36,$K$205^A18,IF(A18='Données projet'!$A$36,'Données projet'!$B$36,N17+M18-V17)))</f>
        <v>13.964240043768939</v>
      </c>
      <c r="O18" s="14">
        <f>N18*VLOOKUP('Données projet'!$B$9,Paramètres!$A$1:$I$89,3,0)*VLOOKUP('Données projet'!$B$9,Paramètres!$A$1:$I$89,5,0)</f>
        <v>6.5352643404838631</v>
      </c>
      <c r="P18" s="14">
        <f t="shared" si="33"/>
        <v>2.4205752698614362</v>
      </c>
      <c r="Q18" s="22">
        <f t="shared" si="2"/>
        <v>15.598087321351393</v>
      </c>
      <c r="R18" s="62">
        <f t="shared" si="0"/>
        <v>234.87231846830056</v>
      </c>
      <c r="S18" s="62">
        <f ca="1">AVERAGE(OFFSET($R$3,0,0,'Données projet'!$E$9+1,1))-AVERAGE(OFFSET($H$3,0,0,'Données projet'!$E$9+1,1))</f>
        <v>347.22603428907496</v>
      </c>
      <c r="T18" s="62">
        <f t="shared" si="34"/>
        <v>258.98427374339872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256.23500973878248</v>
      </c>
      <c r="AN18" s="62">
        <f ca="1">AVERAGE(OFFSET($AM$3,0,0,'Données projet'!$E$10+1,1))-AVERAGE(OFFSET($H$3,0,0,'Données projet'!$E$10+1,1))</f>
        <v>387.18736830550665</v>
      </c>
      <c r="AO18" s="62">
        <f t="shared" si="36"/>
        <v>312.32487363394125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7.8038822494962501</v>
      </c>
      <c r="BF18" s="14">
        <f t="shared" si="37"/>
        <v>2.8313776940102406</v>
      </c>
      <c r="BG18" s="22">
        <f t="shared" si="7"/>
        <v>18.523077734940472</v>
      </c>
      <c r="BH18" s="62">
        <f t="shared" si="8"/>
        <v>237.79730888188965</v>
      </c>
      <c r="BI18" s="62">
        <f ca="1">AVERAGE(OFFSET($BH$3,0,0,'Données projet'!$E$11+1,1))-AVERAGE(OFFSET($H$3,0,0,'Données projet'!$E$11+1,1))</f>
        <v>343.31521637281833</v>
      </c>
      <c r="BJ18" s="62">
        <f t="shared" si="38"/>
        <v>179.67327892360623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54.802063040077044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2.6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9.5333333333333332</v>
      </c>
      <c r="H19" s="70">
        <f t="shared" si="1"/>
        <v>193.74666666666667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</v>
      </c>
      <c r="N19" s="14">
        <f>IF('Données projet'!$A$36&gt;35,N18+M19-V18,IF(A19&lt;'Données projet'!$A$36,$K$205^A19,IF(A19='Données projet'!$A$36,'Données projet'!$B$36,N18+M19-V18)))</f>
        <v>16.647606148649942</v>
      </c>
      <c r="O19" s="14">
        <f>N19*VLOOKUP('Données projet'!$B$9,Paramètres!$A$1:$I$89,3,0)*VLOOKUP('Données projet'!$B$9,Paramètres!$A$1:$I$89,5,0)</f>
        <v>7.791079677568173</v>
      </c>
      <c r="P19" s="14">
        <f t="shared" si="33"/>
        <v>2.8272729930809319</v>
      </c>
      <c r="Q19" s="22">
        <f t="shared" si="2"/>
        <v>18.493630901380524</v>
      </c>
      <c r="R19" s="62">
        <f t="shared" si="0"/>
        <v>239.95680177599726</v>
      </c>
      <c r="S19" s="62">
        <f ca="1">AVERAGE(OFFSET($R$3,0,0,'Données projet'!$E$9+1,1))-AVERAGE(OFFSET($H$3,0,0,'Données projet'!$E$9+1,1))</f>
        <v>347.22603428907496</v>
      </c>
      <c r="T19" s="62">
        <f t="shared" si="34"/>
        <v>258.98427374339872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267.17145256489812</v>
      </c>
      <c r="AN19" s="62">
        <f ca="1">AVERAGE(OFFSET($AM$3,0,0,'Données projet'!$E$10+1,1))-AVERAGE(OFFSET($H$3,0,0,'Données projet'!$E$10+1,1))</f>
        <v>387.18736830550665</v>
      </c>
      <c r="AO19" s="62">
        <f t="shared" si="36"/>
        <v>312.32487363394125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8.9411948236477841</v>
      </c>
      <c r="BF19" s="14">
        <f t="shared" si="37"/>
        <v>3.1930460350713803</v>
      </c>
      <c r="BG19" s="22">
        <f t="shared" si="7"/>
        <v>21.133802828935874</v>
      </c>
      <c r="BH19" s="62">
        <f t="shared" si="8"/>
        <v>242.59697370355261</v>
      </c>
      <c r="BI19" s="62">
        <f ca="1">AVERAGE(OFFSET($BH$3,0,0,'Données projet'!$E$11+1,1))-AVERAGE(OFFSET($H$3,0,0,'Données projet'!$E$11+1,1))</f>
        <v>343.31521637281833</v>
      </c>
      <c r="BJ19" s="62">
        <f t="shared" si="38"/>
        <v>179.67327892360623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55.06571326883487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2.6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9.5333333333333332</v>
      </c>
      <c r="H20" s="70">
        <f t="shared" si="1"/>
        <v>193.74666666666667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</v>
      </c>
      <c r="N20" s="14">
        <f>IF('Données projet'!$A$36&gt;35,N19+M20-V19,IF(A20&lt;'Données projet'!$A$36,$K$205^A20,IF(A20='Données projet'!$A$36,'Données projet'!$B$36,N19+M20-V19)))</f>
        <v>19.846607449592845</v>
      </c>
      <c r="O20" s="14">
        <f>N20*VLOOKUP('Données projet'!$B$9,Paramètres!$A$1:$I$89,3,0)*VLOOKUP('Données projet'!$B$9,Paramètres!$A$1:$I$89,5,0)</f>
        <v>9.2882122864094523</v>
      </c>
      <c r="P20" s="14">
        <f t="shared" si="33"/>
        <v>3.3023028355827138</v>
      </c>
      <c r="Q20" s="22">
        <f t="shared" si="2"/>
        <v>21.928480504136356</v>
      </c>
      <c r="R20" s="62">
        <f t="shared" si="0"/>
        <v>245.56382071895771</v>
      </c>
      <c r="S20" s="62">
        <f ca="1">AVERAGE(OFFSET($R$3,0,0,'Données projet'!$E$9+1,1))-AVERAGE(OFFSET($H$3,0,0,'Données projet'!$E$9+1,1))</f>
        <v>347.22603428907496</v>
      </c>
      <c r="T20" s="62">
        <f t="shared" si="34"/>
        <v>258.98427374339872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280.16818515525557</v>
      </c>
      <c r="AN20" s="62">
        <f ca="1">AVERAGE(OFFSET($AM$3,0,0,'Données projet'!$E$10+1,1))-AVERAGE(OFFSET($H$3,0,0,'Données projet'!$E$10+1,1))</f>
        <v>387.18736830550665</v>
      </c>
      <c r="AO20" s="62">
        <f t="shared" si="36"/>
        <v>312.32487363394125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10.244255656162224</v>
      </c>
      <c r="BF20" s="14">
        <f t="shared" si="37"/>
        <v>3.6009123769158946</v>
      </c>
      <c r="BG20" s="22">
        <f t="shared" si="7"/>
        <v>24.113667657611057</v>
      </c>
      <c r="BH20" s="62">
        <f t="shared" si="8"/>
        <v>247.7490078724324</v>
      </c>
      <c r="BI20" s="62">
        <f ca="1">AVERAGE(OFFSET($BH$3,0,0,'Données projet'!$E$11+1,1))-AVERAGE(OFFSET($H$3,0,0,'Données projet'!$E$11+1,1))</f>
        <v>343.31521637281833</v>
      </c>
      <c r="BJ20" s="62">
        <f t="shared" si="38"/>
        <v>179.67327892360623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55.324789755557347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2.6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9.5333333333333332</v>
      </c>
      <c r="H21" s="70">
        <f t="shared" si="1"/>
        <v>193.74666666666667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</v>
      </c>
      <c r="N21" s="14">
        <f>IF('Données projet'!$A$36&gt;35,N20+M21-V20,IF(A21&lt;'Données projet'!$A$36,$K$205^A21,IF(A21='Données projet'!$A$36,'Données projet'!$B$36,N20+M21-V20)))</f>
        <v>23.660328322350242</v>
      </c>
      <c r="O21" s="14">
        <f>N21*VLOOKUP('Données projet'!$B$9,Paramètres!$A$1:$I$89,3,0)*VLOOKUP('Données projet'!$B$9,Paramètres!$A$1:$I$89,5,0)</f>
        <v>11.073033654859913</v>
      </c>
      <c r="P21" s="14">
        <f t="shared" si="33"/>
        <v>3.8571457530226052</v>
      </c>
      <c r="Q21" s="22">
        <f t="shared" si="2"/>
        <v>26.003395802062048</v>
      </c>
      <c r="R21" s="62">
        <f t="shared" si="0"/>
        <v>251.79442589835466</v>
      </c>
      <c r="S21" s="62">
        <f ca="1">AVERAGE(OFFSET($R$3,0,0,'Données projet'!$E$9+1,1))-AVERAGE(OFFSET($H$3,0,0,'Données projet'!$E$9+1,1))</f>
        <v>347.22603428907496</v>
      </c>
      <c r="T21" s="62">
        <f t="shared" si="34"/>
        <v>258.98427374339872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295.72018375678664</v>
      </c>
      <c r="AN21" s="62">
        <f ca="1">AVERAGE(OFFSET($AM$3,0,0,'Données projet'!$E$10+1,1))-AVERAGE(OFFSET($H$3,0,0,'Données projet'!$E$10+1,1))</f>
        <v>387.18736830550665</v>
      </c>
      <c r="AO21" s="62">
        <f t="shared" si="36"/>
        <v>312.32487363394125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11.737220362456757</v>
      </c>
      <c r="BF21" s="14">
        <f t="shared" si="37"/>
        <v>4.0608778588863084</v>
      </c>
      <c r="BG21" s="22">
        <f t="shared" si="7"/>
        <v>27.515021068839172</v>
      </c>
      <c r="BH21" s="62">
        <f t="shared" si="8"/>
        <v>253.30605116513178</v>
      </c>
      <c r="BI21" s="62">
        <f ca="1">AVERAGE(OFFSET($BH$3,0,0,'Données projet'!$E$11+1,1))-AVERAGE(OFFSET($H$3,0,0,'Données projet'!$E$11+1,1))</f>
        <v>343.31521637281833</v>
      </c>
      <c r="BJ21" s="62">
        <f t="shared" si="38"/>
        <v>179.67327892360623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55.579371844443443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2.6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9.5333333333333332</v>
      </c>
      <c r="H22" s="70">
        <f t="shared" si="1"/>
        <v>193.74666666666667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</v>
      </c>
      <c r="N22" s="14">
        <f>IF('Données projet'!$A$36&gt;35,N21+M22-V21,IF(A22&lt;'Données projet'!$A$36,$K$205^A22,IF(A22='Données projet'!$A$36,'Données projet'!$B$36,N21+M22-V21)))</f>
        <v>28.206893180269638</v>
      </c>
      <c r="O22" s="14">
        <f>N22*VLOOKUP('Données projet'!$B$9,Paramètres!$A$1:$I$89,3,0)*VLOOKUP('Données projet'!$B$9,Paramètres!$A$1:$I$89,5,0)</f>
        <v>13.200826008366192</v>
      </c>
      <c r="P22" s="14">
        <f t="shared" si="33"/>
        <v>4.5052116964418483</v>
      </c>
      <c r="Q22" s="22">
        <f t="shared" si="2"/>
        <v>30.838015669207337</v>
      </c>
      <c r="R22" s="62">
        <f t="shared" si="0"/>
        <v>258.76854207000429</v>
      </c>
      <c r="S22" s="62">
        <f ca="1">AVERAGE(OFFSET($R$3,0,0,'Données projet'!$E$9+1,1))-AVERAGE(OFFSET($H$3,0,0,'Données projet'!$E$9+1,1))</f>
        <v>347.22603428907496</v>
      </c>
      <c r="T22" s="62">
        <f t="shared" si="34"/>
        <v>258.98427374339872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314.44056519827234</v>
      </c>
      <c r="AN22" s="62">
        <f ca="1">AVERAGE(OFFSET($AM$3,0,0,'Données projet'!$E$10+1,1))-AVERAGE(OFFSET($H$3,0,0,'Données projet'!$E$10+1,1))</f>
        <v>387.18736830550665</v>
      </c>
      <c r="AO22" s="62">
        <f t="shared" si="36"/>
        <v>312.32487363394125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13.447764919260033</v>
      </c>
      <c r="BF22" s="14">
        <f t="shared" si="37"/>
        <v>4.5795974071762906</v>
      </c>
      <c r="BG22" s="22">
        <f t="shared" si="7"/>
        <v>31.397656051876599</v>
      </c>
      <c r="BH22" s="62">
        <f t="shared" si="8"/>
        <v>259.32818245267356</v>
      </c>
      <c r="BI22" s="62">
        <f ca="1">AVERAGE(OFFSET($BH$3,0,0,'Données projet'!$E$11+1,1))-AVERAGE(OFFSET($H$3,0,0,'Données projet'!$E$11+1,1))</f>
        <v>343.31521637281833</v>
      </c>
      <c r="BJ22" s="62">
        <f t="shared" si="38"/>
        <v>179.67327892360623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55.82953750324765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2.6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9.5333333333333332</v>
      </c>
      <c r="H23" s="70">
        <f t="shared" si="1"/>
        <v>193.74666666666667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</v>
      </c>
      <c r="N23" s="14">
        <f>IF('Données projet'!$A$36&gt;35,N22+M23-V22,IF(A23&lt;'Données projet'!$A$36,$K$205^A23,IF(A23='Données projet'!$A$36,'Données projet'!$B$36,N22+M23-V22)))</f>
        <v>33.627125204833582</v>
      </c>
      <c r="O23" s="14">
        <f>N23*VLOOKUP('Données projet'!$B$9,Paramètres!$A$1:$I$89,3,0)*VLOOKUP('Données projet'!$B$9,Paramètres!$A$1:$I$89,5,0)</f>
        <v>15.737494595862117</v>
      </c>
      <c r="P23" s="14">
        <f t="shared" si="33"/>
        <v>5.2621637162274721</v>
      </c>
      <c r="Q23" s="22">
        <f t="shared" si="2"/>
        <v>36.574404893556029</v>
      </c>
      <c r="R23" s="62">
        <f t="shared" si="0"/>
        <v>266.62851494424729</v>
      </c>
      <c r="S23" s="62">
        <f ca="1">AVERAGE(OFFSET($R$3,0,0,'Données projet'!$E$9+1,1))-AVERAGE(OFFSET($H$3,0,0,'Données projet'!$E$9+1,1))</f>
        <v>347.22603428907496</v>
      </c>
      <c r="T23" s="62">
        <f t="shared" si="34"/>
        <v>258.98427374339872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337.08887555593714</v>
      </c>
      <c r="AN23" s="62">
        <f ca="1">AVERAGE(OFFSET($AM$3,0,0,'Données projet'!$E$10+1,1))-AVERAGE(OFFSET($H$3,0,0,'Données projet'!$E$10+1,1))</f>
        <v>387.18736830550665</v>
      </c>
      <c r="AO23" s="62">
        <f t="shared" si="36"/>
        <v>312.32487363394125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15.407598710690648</v>
      </c>
      <c r="BF23" s="14">
        <f t="shared" si="37"/>
        <v>5.1645760204094255</v>
      </c>
      <c r="BG23" s="22">
        <f t="shared" si="7"/>
        <v>35.829870989999293</v>
      </c>
      <c r="BH23" s="62">
        <f t="shared" si="8"/>
        <v>265.88398104069057</v>
      </c>
      <c r="BI23" s="62">
        <f ca="1">AVERAGE(OFFSET($BH$3,0,0,'Données projet'!$E$11+1,1))-AVERAGE(OFFSET($H$3,0,0,'Données projet'!$E$11+1,1))</f>
        <v>343.31521637281833</v>
      </c>
      <c r="BJ23" s="62">
        <f t="shared" si="38"/>
        <v>179.67327892360623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56.075363347158223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2.6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9.5333333333333332</v>
      </c>
      <c r="H24" s="70">
        <f t="shared" si="1"/>
        <v>193.74666666666667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40.088908137267765</v>
      </c>
      <c r="O24" s="14">
        <f>N24*VLOOKUP('Données projet'!$B$9,Paramètres!$A$1:$I$89,3,0)*VLOOKUP('Données projet'!$B$9,Paramètres!$A$1:$I$89,5,0)</f>
        <v>18.761609008241315</v>
      </c>
      <c r="P24" s="14">
        <f t="shared" si="33"/>
        <v>6.1462965210381464</v>
      </c>
      <c r="Q24" s="22">
        <f t="shared" si="2"/>
        <v>43.381268796828387</v>
      </c>
      <c r="R24" s="62">
        <f t="shared" si="0"/>
        <v>275.54332589178614</v>
      </c>
      <c r="S24" s="62">
        <f ca="1">AVERAGE(OFFSET($R$3,0,0,'Données projet'!$E$9+1,1))-AVERAGE(OFFSET($H$3,0,0,'Données projet'!$E$9+1,1))</f>
        <v>347.22603428907496</v>
      </c>
      <c r="T24" s="62">
        <f t="shared" si="34"/>
        <v>258.98427374339872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364.60616787255174</v>
      </c>
      <c r="AN24" s="62">
        <f ca="1">AVERAGE(OFFSET($AM$3,0,0,'Données projet'!$E$10+1,1))-AVERAGE(OFFSET($H$3,0,0,'Données projet'!$E$10+1,1))</f>
        <v>387.18736830550665</v>
      </c>
      <c r="AO24" s="62">
        <f t="shared" si="36"/>
        <v>312.32487363394125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17.653052344012782</v>
      </c>
      <c r="BF24" s="14">
        <f t="shared" si="37"/>
        <v>5.8242773543349813</v>
      </c>
      <c r="BG24" s="22">
        <f t="shared" si="7"/>
        <v>40.889682557955688</v>
      </c>
      <c r="BH24" s="62">
        <f t="shared" si="8"/>
        <v>273.05173965291345</v>
      </c>
      <c r="BI24" s="62">
        <f ca="1">AVERAGE(OFFSET($BH$3,0,0,'Données projet'!$E$11+1,1))-AVERAGE(OFFSET($H$3,0,0,'Données projet'!$E$11+1,1))</f>
        <v>343.31521637281833</v>
      </c>
      <c r="BJ24" s="62">
        <f t="shared" si="38"/>
        <v>179.67327892360623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56.316924662261208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2.6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9.5333333333333332</v>
      </c>
      <c r="H25" s="70">
        <f t="shared" si="1"/>
        <v>193.74666666666667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47.792386231317963</v>
      </c>
      <c r="O25" s="14">
        <f>N25*VLOOKUP('Données projet'!$B$9,Paramètres!$A$1:$I$89,3,0)*VLOOKUP('Données projet'!$B$9,Paramètres!$A$1:$I$89,5,0)</f>
        <v>22.366836756256806</v>
      </c>
      <c r="P25" s="14">
        <f t="shared" si="33"/>
        <v>7.178978641053865</v>
      </c>
      <c r="Q25" s="22">
        <f t="shared" si="2"/>
        <v>51.458961816982743</v>
      </c>
      <c r="R25" s="62">
        <f t="shared" si="0"/>
        <v>285.71360061072858</v>
      </c>
      <c r="S25" s="62">
        <f ca="1">AVERAGE(OFFSET($R$3,0,0,'Données projet'!$E$9+1,1))-AVERAGE(OFFSET($H$3,0,0,'Données projet'!$E$9+1,1))</f>
        <v>347.22603428907496</v>
      </c>
      <c r="T25" s="62">
        <f t="shared" si="34"/>
        <v>258.98427374339872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398.15850167017692</v>
      </c>
      <c r="AN25" s="62">
        <f ca="1">AVERAGE(OFFSET($AM$3,0,0,'Données projet'!$E$10+1,1))-AVERAGE(OFFSET($H$3,0,0,'Données projet'!$E$10+1,1))</f>
        <v>387.18736830550665</v>
      </c>
      <c r="AO25" s="62">
        <f t="shared" si="36"/>
        <v>312.32487363394125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20.225751131759992</v>
      </c>
      <c r="BF25" s="14">
        <f t="shared" si="37"/>
        <v>6.5682461766784241</v>
      </c>
      <c r="BG25" s="22">
        <f t="shared" si="7"/>
        <v>46.666211978863579</v>
      </c>
      <c r="BH25" s="62">
        <f t="shared" si="8"/>
        <v>280.92085077260941</v>
      </c>
      <c r="BI25" s="62">
        <f ca="1">AVERAGE(OFFSET($BH$3,0,0,'Données projet'!$E$11+1,1))-AVERAGE(OFFSET($H$3,0,0,'Données projet'!$E$11+1,1))</f>
        <v>343.31521637281833</v>
      </c>
      <c r="BJ25" s="62">
        <f t="shared" si="38"/>
        <v>179.67327892360623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56.554295428597349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2.6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9.5333333333333332</v>
      </c>
      <c r="H26" s="70">
        <f t="shared" si="1"/>
        <v>193.74666666666667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56.976163428110333</v>
      </c>
      <c r="O26" s="14">
        <f>N26*VLOOKUP('Données projet'!$B$9,Paramètres!$A$1:$I$89,3,0)*VLOOKUP('Données projet'!$B$9,Paramètres!$A$1:$I$89,5,0)</f>
        <v>26.664844484355637</v>
      </c>
      <c r="P26" s="14">
        <f t="shared" si="33"/>
        <v>8.3851688821551527</v>
      </c>
      <c r="Q26" s="22">
        <f t="shared" si="2"/>
        <v>61.045439946672957</v>
      </c>
      <c r="R26" s="62">
        <f t="shared" si="0"/>
        <v>297.37756164812077</v>
      </c>
      <c r="S26" s="62">
        <f ca="1">AVERAGE(OFFSET($R$3,0,0,'Données projet'!$E$9+1,1))-AVERAGE(OFFSET($H$3,0,0,'Données projet'!$E$9+1,1))</f>
        <v>347.22603428907496</v>
      </c>
      <c r="T26" s="62">
        <f t="shared" si="34"/>
        <v>258.98427374339872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395.47252097219871</v>
      </c>
      <c r="AN26" s="62">
        <f ca="1">AVERAGE(OFFSET($AM$3,0,0,'Données projet'!$E$10+1,1))-AVERAGE(OFFSET($H$3,0,0,'Données projet'!$E$10+1,1))</f>
        <v>387.18736830550665</v>
      </c>
      <c r="AO26" s="62">
        <f t="shared" si="36"/>
        <v>312.32487363394125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23.173386724966843</v>
      </c>
      <c r="BF26" s="14">
        <f t="shared" si="37"/>
        <v>7.4072464638622444</v>
      </c>
      <c r="BG26" s="22">
        <f t="shared" si="7"/>
        <v>53.261269470543994</v>
      </c>
      <c r="BH26" s="62">
        <f t="shared" si="8"/>
        <v>289.59339117199181</v>
      </c>
      <c r="BI26" s="62">
        <f ca="1">AVERAGE(OFFSET($BH$3,0,0,'Données projet'!$E$11+1,1))-AVERAGE(OFFSET($H$3,0,0,'Données projet'!$E$11+1,1))</f>
        <v>343.31521637281833</v>
      </c>
      <c r="BJ26" s="62">
        <f t="shared" si="38"/>
        <v>179.67327892360623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56.787548342819093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2.6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9.5333333333333332</v>
      </c>
      <c r="H27" s="70">
        <f t="shared" si="1"/>
        <v>193.74666666666667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67.924693763448758</v>
      </c>
      <c r="O27" s="14">
        <f>N27*VLOOKUP('Données projet'!$B$9,Paramètres!$A$1:$I$89,3,0)*VLOOKUP('Données projet'!$B$9,Paramètres!$A$1:$I$89,5,0)</f>
        <v>31.788756681294021</v>
      </c>
      <c r="P27" s="14">
        <f t="shared" si="33"/>
        <v>9.7940195531688623</v>
      </c>
      <c r="Q27" s="22">
        <f t="shared" si="2"/>
        <v>72.423335275022851</v>
      </c>
      <c r="R27" s="62">
        <f t="shared" si="0"/>
        <v>310.818103023356</v>
      </c>
      <c r="S27" s="62">
        <f ca="1">AVERAGE(OFFSET($R$3,0,0,'Données projet'!$E$9+1,1))-AVERAGE(OFFSET($H$3,0,0,'Données projet'!$E$9+1,1))</f>
        <v>347.22603428907496</v>
      </c>
      <c r="T27" s="62">
        <f t="shared" si="34"/>
        <v>258.98427374339872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413.5449076899755</v>
      </c>
      <c r="AN27" s="62">
        <f ca="1">AVERAGE(OFFSET($AM$3,0,0,'Données projet'!$E$10+1,1))-AVERAGE(OFFSET($H$3,0,0,'Données projet'!$E$10+1,1))</f>
        <v>387.18736830550665</v>
      </c>
      <c r="AO27" s="62">
        <f t="shared" si="36"/>
        <v>312.32487363394125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26.550601201733496</v>
      </c>
      <c r="BF27" s="14">
        <f t="shared" si="37"/>
        <v>8.3534171376241328</v>
      </c>
      <c r="BG27" s="22">
        <f t="shared" si="7"/>
        <v>60.7911652743812</v>
      </c>
      <c r="BH27" s="62">
        <f t="shared" si="8"/>
        <v>299.18593302271432</v>
      </c>
      <c r="BI27" s="62">
        <f ca="1">AVERAGE(OFFSET($BH$3,0,0,'Données projet'!$E$11+1,1))-AVERAGE(OFFSET($H$3,0,0,'Données projet'!$E$11+1,1))</f>
        <v>343.31521637281833</v>
      </c>
      <c r="BJ27" s="62">
        <f t="shared" si="38"/>
        <v>179.67327892360623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57.016754840454482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2.6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9.5333333333333332</v>
      </c>
      <c r="H28" s="70">
        <f t="shared" si="1"/>
        <v>193.74666666666667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80.977091914581294</v>
      </c>
      <c r="O28" s="14">
        <f>N28*VLOOKUP('Données projet'!$B$9,Paramètres!$A$1:$I$89,3,0)*VLOOKUP('Données projet'!$B$9,Paramètres!$A$1:$I$89,5,0)</f>
        <v>37.897279016024044</v>
      </c>
      <c r="P28" s="14">
        <f t="shared" si="33"/>
        <v>11.43958104552808</v>
      </c>
      <c r="Q28" s="22">
        <f t="shared" si="2"/>
        <v>85.928364607203278</v>
      </c>
      <c r="R28" s="62">
        <f t="shared" si="0"/>
        <v>326.37119892797</v>
      </c>
      <c r="S28" s="62">
        <f ca="1">AVERAGE(OFFSET($R$3,0,0,'Données projet'!$E$9+1,1))-AVERAGE(OFFSET($H$3,0,0,'Données projet'!$E$9+1,1))</f>
        <v>347.22603428907496</v>
      </c>
      <c r="T28" s="62">
        <f t="shared" si="34"/>
        <v>258.98427374339872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431.56834730706777</v>
      </c>
      <c r="AN28" s="62">
        <f ca="1">AVERAGE(OFFSET($AM$3,0,0,'Données projet'!$E$10+1,1))-AVERAGE(OFFSET($H$3,0,0,'Données projet'!$E$10+1,1))</f>
        <v>387.18736830550665</v>
      </c>
      <c r="AO28" s="62">
        <f t="shared" si="36"/>
        <v>312.32487363394125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0.18000000000000002</v>
      </c>
      <c r="AT28" s="17">
        <f>IF(ISNA(VLOOKUP(A28,'Données projet'!$A$61:$I$81,7,0)),0%,VLOOKUP(A28,'Données projet'!$A$61:$I$81,7,0))</f>
        <v>0.6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2.4178959553116695</v>
      </c>
      <c r="AW28" s="23">
        <f>EXP(-LN(2)/2)*AW27+(1-EXP(-LN(2)/2))/(LN(2)/2)*AQ28*AT28*VLOOKUP('Données projet'!$B$10,Paramètres!$A$1:$I$89,3,0)*0.475*44/12</f>
        <v>10.736278226030148</v>
      </c>
      <c r="AX28" s="23">
        <f t="shared" si="6"/>
        <v>13.154174181341817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30.42</v>
      </c>
      <c r="BF28" s="14">
        <f t="shared" si="37"/>
        <v>9.4204476947792024</v>
      </c>
      <c r="BG28" s="22">
        <f t="shared" si="7"/>
        <v>69.388779735073783</v>
      </c>
      <c r="BH28" s="62">
        <f t="shared" si="8"/>
        <v>309.83161405584048</v>
      </c>
      <c r="BI28" s="62">
        <f ca="1">AVERAGE(OFFSET($BH$3,0,0,'Données projet'!$E$11+1,1))-AVERAGE(OFFSET($H$3,0,0,'Données projet'!$E$11+1,1))</f>
        <v>343.31521637281833</v>
      </c>
      <c r="BJ28" s="62">
        <f t="shared" si="38"/>
        <v>179.67327892360623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57.241985117784857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2.6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9.5333333333333332</v>
      </c>
      <c r="H29" s="70">
        <f t="shared" si="1"/>
        <v>193.74666666666667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96.537636780206071</v>
      </c>
      <c r="O29" s="14">
        <f>N29*VLOOKUP('Données projet'!$B$9,Paramètres!$A$1:$I$89,3,0)*VLOOKUP('Données projet'!$B$9,Paramètres!$A$1:$I$89,5,0)</f>
        <v>45.179614013136444</v>
      </c>
      <c r="P29" s="14">
        <f t="shared" si="33"/>
        <v>13.361624794271938</v>
      </c>
      <c r="Q29" s="22">
        <f t="shared" si="2"/>
        <v>101.95932425623626</v>
      </c>
      <c r="R29" s="62">
        <f t="shared" si="0"/>
        <v>344.43589859627178</v>
      </c>
      <c r="S29" s="62">
        <f ca="1">AVERAGE(OFFSET($R$3,0,0,'Données projet'!$E$9+1,1))-AVERAGE(OFFSET($H$3,0,0,'Données projet'!$E$9+1,1))</f>
        <v>347.22603428907496</v>
      </c>
      <c r="T29" s="62">
        <f t="shared" si="34"/>
        <v>258.98427374339872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428.94235262411405</v>
      </c>
      <c r="AN29" s="62">
        <f ca="1">AVERAGE(OFFSET($AM$3,0,0,'Données projet'!$E$10+1,1))-AVERAGE(OFFSET($H$3,0,0,'Données projet'!$E$10+1,1))</f>
        <v>387.18736830550665</v>
      </c>
      <c r="AO29" s="62">
        <f t="shared" si="36"/>
        <v>312.32487363394125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2.3517784632620495</v>
      </c>
      <c r="AW29" s="23">
        <f>EXP(-LN(2)/2)*AW28+(1-EXP(-LN(2)/2))/(LN(2)/2)*AQ29*AT29*VLOOKUP('Données projet'!$B$10,Paramètres!$A$1:$I$89,3,0)*0.475*44/12</f>
        <v>7.5916951383313949</v>
      </c>
      <c r="AX29" s="23">
        <f t="shared" si="6"/>
        <v>9.9434736015934444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35.287199999999999</v>
      </c>
      <c r="BF29" s="14">
        <f t="shared" si="37"/>
        <v>10.740552489323523</v>
      </c>
      <c r="BG29" s="22">
        <f t="shared" si="7"/>
        <v>80.165002252238452</v>
      </c>
      <c r="BH29" s="62">
        <f t="shared" si="8"/>
        <v>322.64157659227396</v>
      </c>
      <c r="BI29" s="62">
        <f ca="1">AVERAGE(OFFSET($BH$3,0,0,'Données projet'!$E$11+1,1))-AVERAGE(OFFSET($H$3,0,0,'Données projet'!$E$11+1,1))</f>
        <v>343.31521637281833</v>
      </c>
      <c r="BJ29" s="62">
        <f t="shared" si="38"/>
        <v>179.67327892360623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57.463308153343014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2.6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9.5333333333333332</v>
      </c>
      <c r="H30" s="70">
        <f t="shared" si="1"/>
        <v>193.74666666666667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115.08829342671002</v>
      </c>
      <c r="O30" s="14">
        <f>N30*VLOOKUP('Données projet'!$B$9,Paramètres!$A$1:$I$89,3,0)*VLOOKUP('Données projet'!$B$9,Paramètres!$A$1:$I$89,5,0)</f>
        <v>53.861321323700288</v>
      </c>
      <c r="P30" s="14">
        <f t="shared" si="33"/>
        <v>15.606604510459258</v>
      </c>
      <c r="Q30" s="22">
        <f t="shared" si="2"/>
        <v>120.98997082782786</v>
      </c>
      <c r="R30" s="62">
        <f t="shared" si="0"/>
        <v>365.48620716763537</v>
      </c>
      <c r="S30" s="62">
        <f ca="1">AVERAGE(OFFSET($R$3,0,0,'Données projet'!$E$9+1,1))-AVERAGE(OFFSET($H$3,0,0,'Données projet'!$E$9+1,1))</f>
        <v>347.22603428907496</v>
      </c>
      <c r="T30" s="62">
        <f t="shared" si="34"/>
        <v>258.98427374339872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448.29338777576083</v>
      </c>
      <c r="AN30" s="62">
        <f ca="1">AVERAGE(OFFSET($AM$3,0,0,'Données projet'!$E$10+1,1))-AVERAGE(OFFSET($H$3,0,0,'Données projet'!$E$10+1,1))</f>
        <v>387.18736830550665</v>
      </c>
      <c r="AO30" s="62">
        <f t="shared" si="36"/>
        <v>312.32487363394125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2.2874689575094944</v>
      </c>
      <c r="AW30" s="23">
        <f>EXP(-LN(2)/2)*AW29+(1-EXP(-LN(2)/2))/(LN(2)/2)*AQ30*AT30*VLOOKUP('Données projet'!$B$10,Paramètres!$A$1:$I$89,3,0)*0.475*44/12</f>
        <v>5.3681391130150748</v>
      </c>
      <c r="AX30" s="23">
        <f t="shared" si="6"/>
        <v>7.6556080705245693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40.154399999999995</v>
      </c>
      <c r="BF30" s="14">
        <f t="shared" si="37"/>
        <v>12.039561463286329</v>
      </c>
      <c r="BG30" s="22">
        <f t="shared" si="7"/>
        <v>90.90448288189036</v>
      </c>
      <c r="BH30" s="62">
        <f t="shared" si="8"/>
        <v>335.4007192216979</v>
      </c>
      <c r="BI30" s="62">
        <f ca="1">AVERAGE(OFFSET($BH$3,0,0,'Données projet'!$E$11+1,1))-AVERAGE(OFFSET($H$3,0,0,'Données projet'!$E$11+1,1))</f>
        <v>343.31521637281833</v>
      </c>
      <c r="BJ30" s="62">
        <f t="shared" si="38"/>
        <v>179.67327892360623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57.680791729038418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2.6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9.5333333333333332</v>
      </c>
      <c r="H31" s="70">
        <f t="shared" si="1"/>
        <v>193.74666666666667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137.20364124956808</v>
      </c>
      <c r="O31" s="14">
        <f>N31*VLOOKUP('Données projet'!$B$9,Paramètres!$A$1:$I$89,3,0)*VLOOKUP('Données projet'!$B$9,Paramètres!$A$1:$I$89,5,0)</f>
        <v>64.211304104797861</v>
      </c>
      <c r="P31" s="14">
        <f t="shared" si="33"/>
        <v>18.228778916940001</v>
      </c>
      <c r="Q31" s="22">
        <f t="shared" si="2"/>
        <v>143.58314459619342</v>
      </c>
      <c r="R31" s="62">
        <f t="shared" si="0"/>
        <v>390.08520913844075</v>
      </c>
      <c r="S31" s="62">
        <f ca="1">AVERAGE(OFFSET($R$3,0,0,'Données projet'!$E$9+1,1))-AVERAGE(OFFSET($H$3,0,0,'Données projet'!$E$9+1,1))</f>
        <v>347.22603428907496</v>
      </c>
      <c r="T31" s="62">
        <f t="shared" si="34"/>
        <v>258.98427374339872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467.59648859139247</v>
      </c>
      <c r="AN31" s="62">
        <f ca="1">AVERAGE(OFFSET($AM$3,0,0,'Données projet'!$E$10+1,1))-AVERAGE(OFFSET($H$3,0,0,'Données projet'!$E$10+1,1))</f>
        <v>387.18736830550665</v>
      </c>
      <c r="AO31" s="62">
        <f t="shared" si="36"/>
        <v>312.32487363394125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2.2249179985736327</v>
      </c>
      <c r="AW31" s="23">
        <f>EXP(-LN(2)/2)*AW30+(1-EXP(-LN(2)/2))/(LN(2)/2)*AQ31*AT31*VLOOKUP('Données projet'!$B$10,Paramètres!$A$1:$I$89,3,0)*0.475*44/12</f>
        <v>3.7958475691656983</v>
      </c>
      <c r="AX31" s="23">
        <f t="shared" si="6"/>
        <v>6.020765567739331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45.021599999999992</v>
      </c>
      <c r="BF31" s="14">
        <f t="shared" si="37"/>
        <v>13.320324173992205</v>
      </c>
      <c r="BG31" s="22">
        <f t="shared" si="7"/>
        <v>101.6121846030364</v>
      </c>
      <c r="BH31" s="62">
        <f t="shared" si="8"/>
        <v>348.11424914528374</v>
      </c>
      <c r="BI31" s="62">
        <f ca="1">AVERAGE(OFFSET($BH$3,0,0,'Données projet'!$E$11+1,1))-AVERAGE(OFFSET($H$3,0,0,'Données projet'!$E$11+1,1))</f>
        <v>343.31521637281833</v>
      </c>
      <c r="BJ31" s="62">
        <f t="shared" si="38"/>
        <v>179.67327892360623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57.894502450915937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2.6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9.5333333333333332</v>
      </c>
      <c r="H32" s="70">
        <f t="shared" si="1"/>
        <v>193.74666666666667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163.5686707278193</v>
      </c>
      <c r="O32" s="14">
        <f>N32*VLOOKUP('Données projet'!$B$9,Paramètres!$A$1:$I$89,3,0)*VLOOKUP('Données projet'!$B$9,Paramètres!$A$1:$I$89,5,0)</f>
        <v>76.550137900619433</v>
      </c>
      <c r="P32" s="14">
        <f t="shared" si="33"/>
        <v>21.291523122789648</v>
      </c>
      <c r="Q32" s="22">
        <f t="shared" si="2"/>
        <v>170.40755961577079</v>
      </c>
      <c r="R32" s="62">
        <f t="shared" si="0"/>
        <v>418.90185854858169</v>
      </c>
      <c r="S32" s="62">
        <f ca="1">AVERAGE(OFFSET($R$3,0,0,'Données projet'!$E$9+1,1))-AVERAGE(OFFSET($H$3,0,0,'Données projet'!$E$9+1,1))</f>
        <v>347.22603428907496</v>
      </c>
      <c r="T32" s="62">
        <f t="shared" si="34"/>
        <v>258.98427374339872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486.85493870403292</v>
      </c>
      <c r="AN32" s="62">
        <f ca="1">AVERAGE(OFFSET($AM$3,0,0,'Données projet'!$E$10+1,1))-AVERAGE(OFFSET($H$3,0,0,'Données projet'!$E$10+1,1))</f>
        <v>387.18736830550665</v>
      </c>
      <c r="AO32" s="62">
        <f t="shared" si="36"/>
        <v>312.32487363394125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2.1640774988992844</v>
      </c>
      <c r="AW32" s="23">
        <f>EXP(-LN(2)/2)*AW31+(1-EXP(-LN(2)/2))/(LN(2)/2)*AQ32*AT32*VLOOKUP('Données projet'!$B$10,Paramètres!$A$1:$I$89,3,0)*0.475*44/12</f>
        <v>2.6840695565075379</v>
      </c>
      <c r="AX32" s="23">
        <f t="shared" si="6"/>
        <v>4.8481470554068222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49.888799999999989</v>
      </c>
      <c r="BF32" s="14">
        <f t="shared" si="37"/>
        <v>14.585038058304724</v>
      </c>
      <c r="BG32" s="22">
        <f t="shared" si="7"/>
        <v>112.29193461821403</v>
      </c>
      <c r="BH32" s="62">
        <f t="shared" si="8"/>
        <v>360.78623355102491</v>
      </c>
      <c r="BI32" s="62">
        <f ca="1">AVERAGE(OFFSET($BH$3,0,0,'Données projet'!$E$11+1,1))-AVERAGE(OFFSET($H$3,0,0,'Données projet'!$E$11+1,1))</f>
        <v>343.31521637281833</v>
      </c>
      <c r="BJ32" s="62">
        <f t="shared" si="38"/>
        <v>179.67327892360623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58.104505769554486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2.6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9.5333333333333332</v>
      </c>
      <c r="H33" s="70">
        <f t="shared" si="1"/>
        <v>193.74666666666667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195</v>
      </c>
      <c r="O33" s="14">
        <f>N33*VLOOKUP('Données projet'!$B$9,Paramètres!$A$1:$I$89,3,0)*VLOOKUP('Données projet'!$B$9,Paramètres!$A$1:$I$89,5,0)</f>
        <v>91.26</v>
      </c>
      <c r="P33" s="14">
        <f t="shared" si="33"/>
        <v>24.868860330902777</v>
      </c>
      <c r="Q33" s="22">
        <f t="shared" si="2"/>
        <v>202.25776507632233</v>
      </c>
      <c r="R33" s="62">
        <f t="shared" si="0"/>
        <v>452.73094041006539</v>
      </c>
      <c r="S33" s="62">
        <f ca="1">AVERAGE(OFFSET($R$3,0,0,'Données projet'!$E$9+1,1))-AVERAGE(OFFSET($H$3,0,0,'Données projet'!$E$9+1,1))</f>
        <v>347.22603428907496</v>
      </c>
      <c r="T33" s="62">
        <f t="shared" si="34"/>
        <v>258.98427374339872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506.07154030060792</v>
      </c>
      <c r="AN33" s="62">
        <f ca="1">AVERAGE(OFFSET($AM$3,0,0,'Données projet'!$E$10+1,1))-AVERAGE(OFFSET($H$3,0,0,'Données projet'!$E$10+1,1))</f>
        <v>387.18736830550665</v>
      </c>
      <c r="AO33" s="62">
        <f t="shared" si="36"/>
        <v>312.32487363394125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6.9406925965113331</v>
      </c>
      <c r="AW33" s="23">
        <f>EXP(-LN(2)/2)*AW32+(1-EXP(-LN(2)/2))/(LN(2)/2)*AQ33*AT33*VLOOKUP('Données projet'!$B$10,Paramètres!$A$1:$I$89,3,0)*0.475*44/12</f>
        <v>15.710252028567712</v>
      </c>
      <c r="AX33" s="23">
        <f t="shared" si="6"/>
        <v>22.650944625079045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54.755999999999993</v>
      </c>
      <c r="BF33" s="14">
        <f t="shared" si="37"/>
        <v>15.835447037242044</v>
      </c>
      <c r="BG33" s="22">
        <f t="shared" si="7"/>
        <v>122.94677025652987</v>
      </c>
      <c r="BH33" s="62">
        <f t="shared" si="8"/>
        <v>373.4199455902729</v>
      </c>
      <c r="BI33" s="62">
        <f ca="1">AVERAGE(OFFSET($BH$3,0,0,'Données projet'!$E$11+1,1))-AVERAGE(OFFSET($H$3,0,0,'Données projet'!$E$11+1,1))</f>
        <v>343.31521637281833</v>
      </c>
      <c r="BJ33" s="62">
        <f t="shared" si="38"/>
        <v>179.67327892360623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58.310866000111737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2.6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9.5333333333333332</v>
      </c>
      <c r="H34" s="70">
        <f t="shared" si="1"/>
        <v>193.74666666666667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</v>
      </c>
      <c r="N34" s="14">
        <f>IF('Données projet'!$A$36&gt;35,N33+M34-V33,IF(A34&lt;'Données projet'!$A$36,$K$205^A34,IF(A34='Données projet'!$A$36,'Données projet'!$B$36,N33+M34-V33)))</f>
        <v>212</v>
      </c>
      <c r="O34" s="14">
        <f>N34*VLOOKUP('Données projet'!$B$9,Paramètres!$A$1:$I$89,3,0)*VLOOKUP('Données projet'!$B$9,Paramètres!$A$1:$I$89,5,0)</f>
        <v>99.215999999999994</v>
      </c>
      <c r="P34" s="14">
        <f t="shared" si="33"/>
        <v>26.775134885576414</v>
      </c>
      <c r="Q34" s="22">
        <f t="shared" si="2"/>
        <v>219.43455992571219</v>
      </c>
      <c r="R34" s="62">
        <f t="shared" si="0"/>
        <v>470.65126317978979</v>
      </c>
      <c r="S34" s="62">
        <f ca="1">AVERAGE(OFFSET($R$3,0,0,'Données projet'!$E$9+1,1))-AVERAGE(OFFSET($H$3,0,0,'Données projet'!$E$9+1,1))</f>
        <v>347.22603428907496</v>
      </c>
      <c r="T34" s="62">
        <f t="shared" si="34"/>
        <v>258.98427374339872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481.84986754097474</v>
      </c>
      <c r="AN34" s="62">
        <f ca="1">AVERAGE(OFFSET($AM$3,0,0,'Données projet'!$E$10+1,1))-AVERAGE(OFFSET($H$3,0,0,'Données projet'!$E$10+1,1))</f>
        <v>387.18736830550665</v>
      </c>
      <c r="AO34" s="62">
        <f t="shared" si="36"/>
        <v>312.32487363394125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6.7508989924645704</v>
      </c>
      <c r="AW34" s="23">
        <f>EXP(-LN(2)/2)*AW33+(1-EXP(-LN(2)/2))/(LN(2)/2)*AQ34*AT34*VLOOKUP('Données projet'!$B$10,Paramètres!$A$1:$I$89,3,0)*0.475*44/12</f>
        <v>11.108825743549945</v>
      </c>
      <c r="AX34" s="23">
        <f t="shared" si="6"/>
        <v>17.859724736014513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59.825999999999993</v>
      </c>
      <c r="BF34" s="14">
        <f t="shared" si="37"/>
        <v>17.124268920142534</v>
      </c>
      <c r="BG34" s="22">
        <f t="shared" si="7"/>
        <v>134.02171836924822</v>
      </c>
      <c r="BH34" s="62">
        <f t="shared" si="8"/>
        <v>385.23842162332585</v>
      </c>
      <c r="BI34" s="62">
        <f ca="1">AVERAGE(OFFSET($BH$3,0,0,'Données projet'!$E$11+1,1))-AVERAGE(OFFSET($H$3,0,0,'Données projet'!$E$11+1,1))</f>
        <v>343.31521637281833</v>
      </c>
      <c r="BJ34" s="62">
        <f t="shared" si="38"/>
        <v>179.67327892360623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58.513646342021175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2.6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9.5333333333333332</v>
      </c>
      <c r="H35" s="70">
        <f t="shared" si="1"/>
        <v>193.74666666666667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17</v>
      </c>
      <c r="N35" s="14">
        <f>IF('Données projet'!$A$36&gt;35,N34+M35-V34,IF(A35&lt;'Données projet'!$A$36,$K$205^A35,IF(A35='Données projet'!$A$36,'Données projet'!$B$36,N34+M35-V34)))</f>
        <v>229</v>
      </c>
      <c r="O35" s="14">
        <f>N35*VLOOKUP('Données projet'!$B$9,Paramètres!$A$1:$I$89,3,0)*VLOOKUP('Données projet'!$B$9,Paramètres!$A$1:$I$89,5,0)</f>
        <v>107.172</v>
      </c>
      <c r="P35" s="14">
        <f t="shared" si="33"/>
        <v>28.663679082578788</v>
      </c>
      <c r="Q35" s="22">
        <f t="shared" ref="Q35:Q66" si="53">(O35+P35)*0.475*44/12</f>
        <v>236.58047440215805</v>
      </c>
      <c r="R35" s="62">
        <f t="shared" si="0"/>
        <v>488.52780702943193</v>
      </c>
      <c r="S35" s="62">
        <f ca="1">AVERAGE(OFFSET($R$3,0,0,'Données projet'!$E$9+1,1))-AVERAGE(OFFSET($H$3,0,0,'Données projet'!$E$9+1,1))</f>
        <v>347.22603428907496</v>
      </c>
      <c r="T35" s="62">
        <f t="shared" si="34"/>
        <v>258.98427374339872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501.3741200509246</v>
      </c>
      <c r="AN35" s="62">
        <f ca="1">AVERAGE(OFFSET($AM$3,0,0,'Données projet'!$E$10+1,1))-AVERAGE(OFFSET($H$3,0,0,'Données projet'!$E$10+1,1))</f>
        <v>387.18736830550665</v>
      </c>
      <c r="AO35" s="62">
        <f t="shared" si="36"/>
        <v>312.32487363394125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6.5662953045012777</v>
      </c>
      <c r="AW35" s="23">
        <f>EXP(-LN(2)/2)*AW34+(1-EXP(-LN(2)/2))/(LN(2)/2)*AQ35*AT35*VLOOKUP('Données projet'!$B$10,Paramètres!$A$1:$I$89,3,0)*0.475*44/12</f>
        <v>7.855126014283857</v>
      </c>
      <c r="AX35" s="23">
        <f t="shared" si="6"/>
        <v>14.421421318785136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64.895999999999987</v>
      </c>
      <c r="BF35" s="14">
        <f t="shared" si="37"/>
        <v>18.400423846102949</v>
      </c>
      <c r="BG35" s="22">
        <f t="shared" si="7"/>
        <v>145.07460486529592</v>
      </c>
      <c r="BH35" s="62">
        <f t="shared" si="8"/>
        <v>397.0219374925698</v>
      </c>
      <c r="BI35" s="62">
        <f ca="1">AVERAGE(OFFSET($BH$3,0,0,'Données projet'!$E$11+1,1))-AVERAGE(OFFSET($H$3,0,0,'Données projet'!$E$11+1,1))</f>
        <v>343.31521637281833</v>
      </c>
      <c r="BJ35" s="62">
        <f t="shared" si="38"/>
        <v>179.67327892360623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58.712908898347422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2.6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9.5333333333333332</v>
      </c>
      <c r="H36" s="70">
        <f t="shared" si="1"/>
        <v>193.74666666666667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17</v>
      </c>
      <c r="N36" s="14">
        <f>IF('Données projet'!$A$36&gt;35,N35+M36-V35,IF(A36&lt;'Données projet'!$A$36,$K$205^A36,IF(A36='Données projet'!$A$36,'Données projet'!$B$36,N35+M36-V35)))</f>
        <v>246</v>
      </c>
      <c r="O36" s="14">
        <f>N36*VLOOKUP('Données projet'!$B$9,Paramètres!$A$1:$I$89,3,0)*VLOOKUP('Données projet'!$B$9,Paramètres!$A$1:$I$89,5,0)</f>
        <v>115.128</v>
      </c>
      <c r="P36" s="14">
        <f t="shared" si="33"/>
        <v>30.53595882135</v>
      </c>
      <c r="Q36" s="22">
        <f t="shared" si="53"/>
        <v>253.69806161385125</v>
      </c>
      <c r="R36" s="62">
        <f t="shared" si="0"/>
        <v>506.36334882813895</v>
      </c>
      <c r="S36" s="62">
        <f ca="1">AVERAGE(OFFSET($R$3,0,0,'Données projet'!$E$9+1,1))-AVERAGE(OFFSET($H$3,0,0,'Données projet'!$E$9+1,1))</f>
        <v>347.22603428907496</v>
      </c>
      <c r="T36" s="62">
        <f t="shared" si="34"/>
        <v>258.98427374339872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520.85358483125003</v>
      </c>
      <c r="AN36" s="62">
        <f ca="1">AVERAGE(OFFSET($AM$3,0,0,'Données projet'!$E$10+1,1))-AVERAGE(OFFSET($H$3,0,0,'Données projet'!$E$10+1,1))</f>
        <v>387.18736830550665</v>
      </c>
      <c r="AO36" s="62">
        <f t="shared" si="36"/>
        <v>312.32487363394125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6.3867396140932273</v>
      </c>
      <c r="AW36" s="23">
        <f>EXP(-LN(2)/2)*AW35+(1-EXP(-LN(2)/2))/(LN(2)/2)*AQ36*AT36*VLOOKUP('Données projet'!$B$10,Paramètres!$A$1:$I$89,3,0)*0.475*44/12</f>
        <v>5.5544128717749732</v>
      </c>
      <c r="AX36" s="23">
        <f t="shared" si="6"/>
        <v>11.941152485868201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69.965999999999994</v>
      </c>
      <c r="BF36" s="14">
        <f t="shared" si="37"/>
        <v>19.665013934342461</v>
      </c>
      <c r="BG36" s="22">
        <f t="shared" si="7"/>
        <v>156.10734926897979</v>
      </c>
      <c r="BH36" s="62">
        <f t="shared" si="8"/>
        <v>408.77263648326749</v>
      </c>
      <c r="BI36" s="62">
        <f ca="1">AVERAGE(OFFSET($BH$3,0,0,'Données projet'!$E$11+1,1))-AVERAGE(OFFSET($H$3,0,0,'Données projet'!$E$11+1,1))</f>
        <v>343.31521637281833</v>
      </c>
      <c r="BJ36" s="62">
        <f t="shared" si="38"/>
        <v>179.67327892360623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58.908714694805738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2.6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9.5333333333333332</v>
      </c>
      <c r="H37" s="70">
        <f t="shared" si="1"/>
        <v>193.74666666666667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17</v>
      </c>
      <c r="N37" s="14">
        <f>IF('Données projet'!$A$36&gt;35,N36+M37-V36,IF(A37&lt;'Données projet'!$A$36,$K$205^A37,IF(A37='Données projet'!$A$36,'Données projet'!$B$36,N36+M37-V36)))</f>
        <v>263</v>
      </c>
      <c r="O37" s="14">
        <f>N37*VLOOKUP('Données projet'!$B$9,Paramètres!$A$1:$I$89,3,0)*VLOOKUP('Données projet'!$B$9,Paramètres!$A$1:$I$89,5,0)</f>
        <v>123.08399999999999</v>
      </c>
      <c r="P37" s="14">
        <f t="shared" si="33"/>
        <v>32.393225926509828</v>
      </c>
      <c r="Q37" s="22">
        <f t="shared" si="53"/>
        <v>270.78950182200458</v>
      </c>
      <c r="R37" s="62">
        <f t="shared" si="0"/>
        <v>524.16028871632739</v>
      </c>
      <c r="S37" s="62">
        <f ca="1">AVERAGE(OFFSET($R$3,0,0,'Données projet'!$E$9+1,1))-AVERAGE(OFFSET($H$3,0,0,'Données projet'!$E$9+1,1))</f>
        <v>347.22603428907496</v>
      </c>
      <c r="T37" s="62">
        <f t="shared" si="34"/>
        <v>258.98427374339872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540.29104394020987</v>
      </c>
      <c r="AN37" s="62">
        <f ca="1">AVERAGE(OFFSET($AM$3,0,0,'Données projet'!$E$10+1,1))-AVERAGE(OFFSET($H$3,0,0,'Données projet'!$E$10+1,1))</f>
        <v>387.18736830550665</v>
      </c>
      <c r="AO37" s="62">
        <f t="shared" si="36"/>
        <v>312.32487363394125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6.2120938834818089</v>
      </c>
      <c r="AW37" s="23">
        <f>EXP(-LN(2)/2)*AW36+(1-EXP(-LN(2)/2))/(LN(2)/2)*AQ37*AT37*VLOOKUP('Données projet'!$B$10,Paramètres!$A$1:$I$89,3,0)*0.475*44/12</f>
        <v>3.9275630071419294</v>
      </c>
      <c r="AX37" s="23">
        <f t="shared" si="6"/>
        <v>10.139656890623739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75.035999999999987</v>
      </c>
      <c r="BF37" s="14">
        <f t="shared" si="37"/>
        <v>20.918972521981534</v>
      </c>
      <c r="BG37" s="22">
        <f t="shared" si="7"/>
        <v>167.12157714245114</v>
      </c>
      <c r="BH37" s="62">
        <f t="shared" si="8"/>
        <v>420.49236403677401</v>
      </c>
      <c r="BI37" s="62">
        <f ca="1">AVERAGE(OFFSET($BH$3,0,0,'Données projet'!$E$11+1,1))-AVERAGE(OFFSET($H$3,0,0,'Données projet'!$E$11+1,1))</f>
        <v>343.31521637281833</v>
      </c>
      <c r="BJ37" s="62">
        <f t="shared" si="38"/>
        <v>179.67327892360623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59.101123698451687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2.6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9.5333333333333332</v>
      </c>
      <c r="H38" s="70">
        <f t="shared" si="1"/>
        <v>193.74666666666667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280</v>
      </c>
      <c r="L38" s="13">
        <f>VLOOKUP(A38,'Données projet'!$A$35:$I$55,9,0)</f>
        <v>17</v>
      </c>
      <c r="M38" s="13">
        <f t="array" ref="M38">INDEX(L:L,MIN(IF(ISNUMBER(L38:L234),ROW(L38:L234),"")))</f>
        <v>17</v>
      </c>
      <c r="N38" s="14">
        <f>IF('Données projet'!$A$36&gt;35,N37+M38-V37,IF(A38&lt;'Données projet'!$A$36,$K$205^A38,IF(A38='Données projet'!$A$36,'Données projet'!$B$36,N37+M38-V37)))</f>
        <v>280</v>
      </c>
      <c r="O38" s="14">
        <f>N38*VLOOKUP('Données projet'!$B$9,Paramètres!$A$1:$I$89,3,0)*VLOOKUP('Données projet'!$B$9,Paramètres!$A$1:$I$89,5,0)</f>
        <v>131.04</v>
      </c>
      <c r="P38" s="14">
        <f t="shared" si="33"/>
        <v>34.236561238949918</v>
      </c>
      <c r="Q38" s="22">
        <f t="shared" si="53"/>
        <v>287.85667749117107</v>
      </c>
      <c r="R38" s="62">
        <f t="shared" si="0"/>
        <v>541.92072522334138</v>
      </c>
      <c r="S38" s="62">
        <f ca="1">AVERAGE(OFFSET($R$3,0,0,'Données projet'!$E$9+1,1))-AVERAGE(OFFSET($H$3,0,0,'Données projet'!$E$9+1,1))</f>
        <v>347.22603428907496</v>
      </c>
      <c r="T38" s="62">
        <f t="shared" si="34"/>
        <v>258.98427374339872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1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559.6889136779148</v>
      </c>
      <c r="AN38" s="62">
        <f ca="1">AVERAGE(OFFSET($AM$3,0,0,'Données projet'!$E$10+1,1))-AVERAGE(OFFSET($H$3,0,0,'Données projet'!$E$10+1,1))</f>
        <v>387.18736830550665</v>
      </c>
      <c r="AO38" s="62">
        <f t="shared" si="36"/>
        <v>312.32487363394125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6.0422238495581793</v>
      </c>
      <c r="AW38" s="23">
        <f>EXP(-LN(2)/2)*AW37+(1-EXP(-LN(2)/2))/(LN(2)/2)*AQ38*AT38*VLOOKUP('Données projet'!$B$10,Paramètres!$A$1:$I$89,3,0)*0.475*44/12</f>
        <v>2.7772064358874871</v>
      </c>
      <c r="AX38" s="23">
        <f t="shared" si="6"/>
        <v>8.8194302854456659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80.105999999999995</v>
      </c>
      <c r="BF38" s="14">
        <f t="shared" si="37"/>
        <v>22.163099682076496</v>
      </c>
      <c r="BG38" s="22">
        <f t="shared" si="7"/>
        <v>178.11868194628323</v>
      </c>
      <c r="BH38" s="62">
        <f t="shared" si="8"/>
        <v>432.1827296784536</v>
      </c>
      <c r="BI38" s="62">
        <f ca="1">AVERAGE(OFFSET($BH$3,0,0,'Données projet'!$E$11+1,1))-AVERAGE(OFFSET($H$3,0,0,'Données projet'!$E$11+1,1))</f>
        <v>343.31521637281833</v>
      </c>
      <c r="BJ38" s="62">
        <f t="shared" si="38"/>
        <v>179.67327892360623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59.290194836046467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2.6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9.5333333333333332</v>
      </c>
      <c r="H39" s="70">
        <f t="shared" si="1"/>
        <v>193.74666666666667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299.57142857142856</v>
      </c>
      <c r="O39" s="14">
        <f>N39*VLOOKUP('Données projet'!$B$9,Paramètres!$A$1:$I$89,3,0)*VLOOKUP('Données projet'!$B$9,Paramètres!$A$1:$I$89,5,0)</f>
        <v>140.19942857142857</v>
      </c>
      <c r="P39" s="14">
        <f t="shared" si="33"/>
        <v>36.342687994625102</v>
      </c>
      <c r="Q39" s="22">
        <f t="shared" si="53"/>
        <v>307.47751968587681</v>
      </c>
      <c r="R39" s="62">
        <f t="shared" si="0"/>
        <v>562.22280173025706</v>
      </c>
      <c r="S39" s="62">
        <f ca="1">AVERAGE(OFFSET($R$3,0,0,'Données projet'!$E$9+1,1))-AVERAGE(OFFSET($H$3,0,0,'Données projet'!$E$9+1,1))</f>
        <v>347.22603428907496</v>
      </c>
      <c r="T39" s="62">
        <f t="shared" si="34"/>
        <v>258.98427374339872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526.2715031965846</v>
      </c>
      <c r="AN39" s="62">
        <f ca="1">AVERAGE(OFFSET($AM$3,0,0,'Données projet'!$E$10+1,1))-AVERAGE(OFFSET($H$3,0,0,'Données projet'!$E$10+1,1))</f>
        <v>387.18736830550665</v>
      </c>
      <c r="AO39" s="62">
        <f t="shared" si="36"/>
        <v>312.32487363394125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5.876998920645268</v>
      </c>
      <c r="AW39" s="23">
        <f>EXP(-LN(2)/2)*AW38+(1-EXP(-LN(2)/2))/(LN(2)/2)*AQ39*AT39*VLOOKUP('Données projet'!$B$10,Paramètres!$A$1:$I$89,3,0)*0.475*44/12</f>
        <v>1.9637815035709649</v>
      </c>
      <c r="AX39" s="23">
        <f t="shared" si="6"/>
        <v>7.8407804242162324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72.399599999999992</v>
      </c>
      <c r="BF39" s="14">
        <f t="shared" si="37"/>
        <v>20.268188832715463</v>
      </c>
      <c r="BG39" s="22">
        <f t="shared" si="7"/>
        <v>161.3963988836461</v>
      </c>
      <c r="BH39" s="62">
        <f t="shared" si="8"/>
        <v>416.1416809280264</v>
      </c>
      <c r="BI39" s="62">
        <f ca="1">AVERAGE(OFFSET($BH$3,0,0,'Données projet'!$E$11+1,1))-AVERAGE(OFFSET($H$3,0,0,'Données projet'!$E$11+1,1))</f>
        <v>343.31521637281833</v>
      </c>
      <c r="BJ39" s="62">
        <f t="shared" si="38"/>
        <v>179.67327892360623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59.475986012103718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2.6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9.5333333333333332</v>
      </c>
      <c r="H40" s="70">
        <f t="shared" si="1"/>
        <v>193.74666666666667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319.14285714285711</v>
      </c>
      <c r="O40" s="14">
        <f>N40*VLOOKUP('Données projet'!$B$9,Paramètres!$A$1:$I$89,3,0)*VLOOKUP('Données projet'!$B$9,Paramètres!$A$1:$I$89,5,0)</f>
        <v>149.35885714285715</v>
      </c>
      <c r="P40" s="14">
        <f t="shared" si="33"/>
        <v>38.432847302798578</v>
      </c>
      <c r="Q40" s="22">
        <f t="shared" si="53"/>
        <v>327.07055190951706</v>
      </c>
      <c r="R40" s="62">
        <f t="shared" si="0"/>
        <v>582.48525037380216</v>
      </c>
      <c r="S40" s="62">
        <f ca="1">AVERAGE(OFFSET($R$3,0,0,'Données projet'!$E$9+1,1))-AVERAGE(OFFSET($H$3,0,0,'Données projet'!$E$9+1,1))</f>
        <v>347.22603428907496</v>
      </c>
      <c r="T40" s="62">
        <f t="shared" si="34"/>
        <v>258.98427374339872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545.41151006659925</v>
      </c>
      <c r="AN40" s="62">
        <f ca="1">AVERAGE(OFFSET($AM$3,0,0,'Données projet'!$E$10+1,1))-AVERAGE(OFFSET($H$3,0,0,'Données projet'!$E$10+1,1))</f>
        <v>387.18736830550665</v>
      </c>
      <c r="AO40" s="62">
        <f t="shared" si="36"/>
        <v>312.32487363394125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5.716292076102282</v>
      </c>
      <c r="AW40" s="23">
        <f>EXP(-LN(2)/2)*AW39+(1-EXP(-LN(2)/2))/(LN(2)/2)*AQ40*AT40*VLOOKUP('Données projet'!$B$10,Paramètres!$A$1:$I$89,3,0)*0.475*44/12</f>
        <v>1.3886032179437438</v>
      </c>
      <c r="AX40" s="23">
        <f t="shared" si="6"/>
        <v>7.1048952940460257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77.875200000000007</v>
      </c>
      <c r="BF40" s="14">
        <f t="shared" si="37"/>
        <v>21.616848354491538</v>
      </c>
      <c r="BG40" s="22">
        <f t="shared" si="7"/>
        <v>173.28198421740612</v>
      </c>
      <c r="BH40" s="62">
        <f t="shared" si="8"/>
        <v>428.69668268169124</v>
      </c>
      <c r="BI40" s="62">
        <f ca="1">AVERAGE(OFFSET($BH$3,0,0,'Données projet'!$E$11+1,1))-AVERAGE(OFFSET($H$3,0,0,'Données projet'!$E$11+1,1))</f>
        <v>343.31521637281833</v>
      </c>
      <c r="BJ40" s="62">
        <f t="shared" si="38"/>
        <v>179.67327892360623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59.658554126623216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2.6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9.5333333333333332</v>
      </c>
      <c r="H41" s="70">
        <f t="shared" si="1"/>
        <v>193.74666666666667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338.71428571428567</v>
      </c>
      <c r="O41" s="14">
        <f>N41*VLOOKUP('Données projet'!$B$9,Paramètres!$A$1:$I$89,3,0)*VLOOKUP('Données projet'!$B$9,Paramètres!$A$1:$I$89,5,0)</f>
        <v>158.5182857142857</v>
      </c>
      <c r="P41" s="14">
        <f t="shared" si="33"/>
        <v>40.508129862224799</v>
      </c>
      <c r="Q41" s="22">
        <f t="shared" si="53"/>
        <v>346.63767379575575</v>
      </c>
      <c r="R41" s="62">
        <f t="shared" si="0"/>
        <v>602.7101758016513</v>
      </c>
      <c r="S41" s="62">
        <f ca="1">AVERAGE(OFFSET($R$3,0,0,'Données projet'!$E$9+1,1))-AVERAGE(OFFSET($H$3,0,0,'Données projet'!$E$9+1,1))</f>
        <v>347.22603428907496</v>
      </c>
      <c r="T41" s="62">
        <f t="shared" si="34"/>
        <v>258.98427374339872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564.51362150247087</v>
      </c>
      <c r="AN41" s="62">
        <f ca="1">AVERAGE(OFFSET($AM$3,0,0,'Données projet'!$E$10+1,1))-AVERAGE(OFFSET($H$3,0,0,'Données projet'!$E$10+1,1))</f>
        <v>387.18736830550665</v>
      </c>
      <c r="AO41" s="62">
        <f t="shared" si="36"/>
        <v>312.32487363394125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5.5599797686745296</v>
      </c>
      <c r="AW41" s="23">
        <f>EXP(-LN(2)/2)*AW40+(1-EXP(-LN(2)/2))/(LN(2)/2)*AQ41*AT41*VLOOKUP('Données projet'!$B$10,Paramètres!$A$1:$I$89,3,0)*0.475*44/12</f>
        <v>0.98189075178548268</v>
      </c>
      <c r="AX41" s="23">
        <f t="shared" si="6"/>
        <v>6.5418705204600123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83.350800000000007</v>
      </c>
      <c r="BF41" s="14">
        <f t="shared" si="37"/>
        <v>22.954505421678146</v>
      </c>
      <c r="BG41" s="22">
        <f t="shared" si="7"/>
        <v>185.14840694275611</v>
      </c>
      <c r="BH41" s="62">
        <f t="shared" si="8"/>
        <v>441.22090894865164</v>
      </c>
      <c r="BI41" s="62">
        <f ca="1">AVERAGE(OFFSET($BH$3,0,0,'Données projet'!$E$11+1,1))-AVERAGE(OFFSET($H$3,0,0,'Données projet'!$E$11+1,1))</f>
        <v>343.31521637281833</v>
      </c>
      <c r="BJ41" s="62">
        <f t="shared" si="38"/>
        <v>179.67327892360623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59.83795509251695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2.6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9.5333333333333332</v>
      </c>
      <c r="H42" s="70">
        <f t="shared" si="1"/>
        <v>193.74666666666667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358.28571428571422</v>
      </c>
      <c r="O42" s="14">
        <f>N42*VLOOKUP('Données projet'!$B$9,Paramètres!$A$1:$I$89,3,0)*VLOOKUP('Données projet'!$B$9,Paramètres!$A$1:$I$89,5,0)</f>
        <v>167.67771428571425</v>
      </c>
      <c r="P42" s="14">
        <f t="shared" si="33"/>
        <v>42.569493207492975</v>
      </c>
      <c r="Q42" s="22">
        <f t="shared" si="53"/>
        <v>366.18055305066923</v>
      </c>
      <c r="R42" s="62">
        <f t="shared" si="0"/>
        <v>622.89944717735659</v>
      </c>
      <c r="S42" s="62">
        <f ca="1">AVERAGE(OFFSET($R$3,0,0,'Données projet'!$E$9+1,1))-AVERAGE(OFFSET($H$3,0,0,'Données projet'!$E$9+1,1))</f>
        <v>347.22603428907496</v>
      </c>
      <c r="T42" s="62">
        <f t="shared" si="34"/>
        <v>258.98427374339872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583.57983132216009</v>
      </c>
      <c r="AN42" s="62">
        <f ca="1">AVERAGE(OFFSET($AM$3,0,0,'Données projet'!$E$10+1,1))-AVERAGE(OFFSET($H$3,0,0,'Données projet'!$E$10+1,1))</f>
        <v>387.18736830550665</v>
      </c>
      <c r="AO42" s="62">
        <f t="shared" si="36"/>
        <v>312.32487363394125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5.4079418295134962</v>
      </c>
      <c r="AW42" s="23">
        <f>EXP(-LN(2)/2)*AW41+(1-EXP(-LN(2)/2))/(LN(2)/2)*AQ42*AT42*VLOOKUP('Données projet'!$B$10,Paramètres!$A$1:$I$89,3,0)*0.475*44/12</f>
        <v>0.69430160897187199</v>
      </c>
      <c r="AX42" s="23">
        <f t="shared" si="6"/>
        <v>6.1022434384853685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88.826400000000007</v>
      </c>
      <c r="BF42" s="14">
        <f t="shared" si="37"/>
        <v>24.28196507443278</v>
      </c>
      <c r="BG42" s="22">
        <f t="shared" si="7"/>
        <v>196.99706917130376</v>
      </c>
      <c r="BH42" s="62">
        <f t="shared" si="8"/>
        <v>453.71596329799115</v>
      </c>
      <c r="BI42" s="62">
        <f ca="1">AVERAGE(OFFSET($BH$3,0,0,'Données projet'!$E$11+1,1))-AVERAGE(OFFSET($H$3,0,0,'Données projet'!$E$11+1,1))</f>
        <v>343.31521637281833</v>
      </c>
      <c r="BJ42" s="62">
        <f t="shared" si="38"/>
        <v>179.67327892360623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60.014243852732918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2.6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9.5333333333333332</v>
      </c>
      <c r="H43" s="70">
        <f t="shared" si="1"/>
        <v>193.74666666666667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377.85714285714278</v>
      </c>
      <c r="O43" s="14">
        <f>N43*VLOOKUP('Données projet'!$B$9,Paramètres!$A$1:$I$89,3,0)*VLOOKUP('Données projet'!$B$9,Paramètres!$A$1:$I$89,5,0)</f>
        <v>176.83714285714279</v>
      </c>
      <c r="P43" s="14">
        <f t="shared" si="33"/>
        <v>44.617784353930041</v>
      </c>
      <c r="Q43" s="22">
        <f t="shared" si="53"/>
        <v>385.70066489261848</v>
      </c>
      <c r="R43" s="62">
        <f t="shared" si="0"/>
        <v>643.05473768191825</v>
      </c>
      <c r="S43" s="62">
        <f ca="1">AVERAGE(OFFSET($R$3,0,0,'Données projet'!$E$9+1,1))-AVERAGE(OFFSET($H$3,0,0,'Données projet'!$E$9+1,1))</f>
        <v>347.22603428907496</v>
      </c>
      <c r="T43" s="62">
        <f t="shared" si="34"/>
        <v>258.98427374339872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602.6119113562288</v>
      </c>
      <c r="AN43" s="62">
        <f ca="1">AVERAGE(OFFSET($AM$3,0,0,'Données projet'!$E$10+1,1))-AVERAGE(OFFSET($H$3,0,0,'Données projet'!$E$10+1,1))</f>
        <v>387.18736830550665</v>
      </c>
      <c r="AO43" s="62">
        <f t="shared" si="36"/>
        <v>312.32487363394125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5.260061375794149</v>
      </c>
      <c r="AW43" s="23">
        <f>EXP(-LN(2)/2)*AW42+(1-EXP(-LN(2)/2))/(LN(2)/2)*AQ43*AT43*VLOOKUP('Données projet'!$B$10,Paramètres!$A$1:$I$89,3,0)*0.475*44/12</f>
        <v>0.4909453758927414</v>
      </c>
      <c r="AX43" s="23">
        <f t="shared" si="6"/>
        <v>5.7510067516868908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94.302000000000021</v>
      </c>
      <c r="BF43" s="14">
        <f t="shared" si="37"/>
        <v>25.599927492506424</v>
      </c>
      <c r="BG43" s="22">
        <f t="shared" si="7"/>
        <v>208.82919038278203</v>
      </c>
      <c r="BH43" s="62">
        <f t="shared" si="8"/>
        <v>466.18326317208181</v>
      </c>
      <c r="BI43" s="62">
        <f ca="1">AVERAGE(OFFSET($BH$3,0,0,'Données projet'!$E$11+1,1))-AVERAGE(OFFSET($H$3,0,0,'Données projet'!$E$11+1,1))</f>
        <v>343.31521637281833</v>
      </c>
      <c r="BJ43" s="62">
        <f t="shared" si="38"/>
        <v>179.67327892360623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60.187474397081751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2.6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9.5333333333333332</v>
      </c>
      <c r="H44" s="70">
        <f t="shared" si="1"/>
        <v>193.74666666666667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397.42857142857133</v>
      </c>
      <c r="O44" s="14">
        <f>N44*VLOOKUP('Données projet'!$B$9,Paramètres!$A$1:$I$89,3,0)*VLOOKUP('Données projet'!$B$9,Paramètres!$A$1:$I$89,5,0)</f>
        <v>185.9965714285714</v>
      </c>
      <c r="P44" s="14">
        <f t="shared" si="33"/>
        <v>46.653757617185917</v>
      </c>
      <c r="Q44" s="22">
        <f t="shared" si="53"/>
        <v>405.19932308802726</v>
      </c>
      <c r="R44" s="62">
        <f t="shared" si="0"/>
        <v>663.17755561018976</v>
      </c>
      <c r="S44" s="62">
        <f ca="1">AVERAGE(OFFSET($R$3,0,0,'Données projet'!$E$9+1,1))-AVERAGE(OFFSET($H$3,0,0,'Données projet'!$E$9+1,1))</f>
        <v>347.22603428907496</v>
      </c>
      <c r="T44" s="62">
        <f t="shared" si="34"/>
        <v>258.98427374339872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572.05015138369049</v>
      </c>
      <c r="AN44" s="62">
        <f ca="1">AVERAGE(OFFSET($AM$3,0,0,'Données projet'!$E$10+1,1))-AVERAGE(OFFSET($H$3,0,0,'Données projet'!$E$10+1,1))</f>
        <v>387.18736830550665</v>
      </c>
      <c r="AO44" s="62">
        <f t="shared" si="36"/>
        <v>312.32487363394125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5.1162247208584519</v>
      </c>
      <c r="AW44" s="23">
        <f>EXP(-LN(2)/2)*AW43+(1-EXP(-LN(2)/2))/(LN(2)/2)*AQ44*AT44*VLOOKUP('Données projet'!$B$10,Paramètres!$A$1:$I$89,3,0)*0.475*44/12</f>
        <v>0.34715080448593605</v>
      </c>
      <c r="AX44" s="23">
        <f t="shared" si="6"/>
        <v>5.4633755253443876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85.784400000000019</v>
      </c>
      <c r="BF44" s="14">
        <f t="shared" si="37"/>
        <v>23.545702623664209</v>
      </c>
      <c r="BG44" s="22">
        <f t="shared" si="7"/>
        <v>190.41659540288185</v>
      </c>
      <c r="BH44" s="62">
        <f t="shared" si="8"/>
        <v>448.39482792504441</v>
      </c>
      <c r="BI44" s="62">
        <f ca="1">AVERAGE(OFFSET($BH$3,0,0,'Données projet'!$E$11+1,1))-AVERAGE(OFFSET($H$3,0,0,'Données projet'!$E$11+1,1))</f>
        <v>343.31521637281833</v>
      </c>
      <c r="BJ44" s="62">
        <f t="shared" si="38"/>
        <v>179.67327892360623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60.357699778771611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2.6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9.5333333333333332</v>
      </c>
      <c r="H45" s="70">
        <f t="shared" si="1"/>
        <v>193.74666666666667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417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416.99999999999989</v>
      </c>
      <c r="O45" s="14">
        <f>N45*VLOOKUP('Données projet'!$B$9,Paramètres!$A$1:$I$89,3,0)*VLOOKUP('Données projet'!$B$9,Paramètres!$A$1:$I$89,5,0)</f>
        <v>195.15599999999995</v>
      </c>
      <c r="P45" s="14">
        <f t="shared" si="33"/>
        <v>48.678088823054175</v>
      </c>
      <c r="Q45" s="22">
        <f t="shared" si="53"/>
        <v>424.67770470015256</v>
      </c>
      <c r="R45" s="62">
        <f t="shared" si="0"/>
        <v>683.26926917922492</v>
      </c>
      <c r="S45" s="62">
        <f ca="1">AVERAGE(OFFSET($R$3,0,0,'Données projet'!$E$9+1,1))-AVERAGE(OFFSET($H$3,0,0,'Données projet'!$E$9+1,1))</f>
        <v>347.22603428907496</v>
      </c>
      <c r="T45" s="62">
        <f t="shared" si="34"/>
        <v>258.98427374339872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1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96.439018174114267</v>
      </c>
      <c r="AC45" s="24">
        <f t="shared" si="3"/>
        <v>96.439018174114267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593.88717157486349</v>
      </c>
      <c r="AN45" s="62">
        <f ca="1">AVERAGE(OFFSET($AM$3,0,0,'Données projet'!$E$10+1,1))-AVERAGE(OFFSET($H$3,0,0,'Données projet'!$E$10+1,1))</f>
        <v>387.18736830550665</v>
      </c>
      <c r="AO45" s="62">
        <f t="shared" si="36"/>
        <v>312.32487363394125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4.9763212868160132</v>
      </c>
      <c r="AW45" s="23">
        <f>EXP(-LN(2)/2)*AW44+(1-EXP(-LN(2)/2))/(LN(2)/2)*AQ45*AT45*VLOOKUP('Données projet'!$B$10,Paramètres!$A$1:$I$89,3,0)*0.475*44/12</f>
        <v>0.24547268794637073</v>
      </c>
      <c r="AX45" s="23">
        <f t="shared" si="6"/>
        <v>5.2217939747623836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91.462800000000001</v>
      </c>
      <c r="BF45" s="14">
        <f t="shared" si="37"/>
        <v>24.917685409456144</v>
      </c>
      <c r="BG45" s="22">
        <f t="shared" si="7"/>
        <v>202.69601208813609</v>
      </c>
      <c r="BH45" s="62">
        <f t="shared" si="8"/>
        <v>461.28757656720848</v>
      </c>
      <c r="BI45" s="62">
        <f ca="1">AVERAGE(OFFSET($BH$3,0,0,'Données projet'!$E$11+1,1))-AVERAGE(OFFSET($H$3,0,0,'Données projet'!$E$11+1,1))</f>
        <v>343.31521637281833</v>
      </c>
      <c r="BJ45" s="62">
        <f t="shared" si="38"/>
        <v>179.67327892360623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60.524972130656096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2.6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9.5333333333333332</v>
      </c>
      <c r="H46" s="70">
        <f t="shared" si="1"/>
        <v>193.74666666666667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256</v>
      </c>
      <c r="L46" s="13">
        <f>VLOOKUP(A46,'Données projet'!$A$35:$I$55,9,0)</f>
        <v>21</v>
      </c>
      <c r="M46" s="13">
        <f t="array" ref="M46">INDEX(L:L,MIN(IF(ISNUMBER(L46:L242),ROW(L46:L242),"")))</f>
        <v>21</v>
      </c>
      <c r="N46" s="14">
        <f>IF('Données projet'!$A$36&gt;35,N45+M46-V45,IF(A46&lt;'Données projet'!$A$36,$K$205^A46,IF(A46='Données projet'!$A$36,'Données projet'!$B$36,N45+M46-V45)))</f>
        <v>255.99999999999989</v>
      </c>
      <c r="O46" s="14">
        <f>N46*VLOOKUP('Données projet'!$B$9,Paramètres!$A$1:$I$89,3,0)*VLOOKUP('Données projet'!$B$9,Paramètres!$A$1:$I$89,5,0)</f>
        <v>119.80799999999995</v>
      </c>
      <c r="P46" s="14">
        <f t="shared" si="33"/>
        <v>31.630214274643535</v>
      </c>
      <c r="Q46" s="22">
        <f t="shared" si="53"/>
        <v>263.75488986167073</v>
      </c>
      <c r="R46" s="62">
        <f t="shared" si="0"/>
        <v>522.94914635940529</v>
      </c>
      <c r="S46" s="62">
        <f ca="1">AVERAGE(OFFSET($R$3,0,0,'Données projet'!$E$9+1,1))-AVERAGE(OFFSET($H$3,0,0,'Données projet'!$E$9+1,1))</f>
        <v>347.22603428907496</v>
      </c>
      <c r="T46" s="62">
        <f t="shared" si="34"/>
        <v>258.98427374339872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0.22000000000000003</v>
      </c>
      <c r="Y46" s="17">
        <f>IF(ISNA(VLOOKUP(A46,'Données projet'!$A$35:$I$55,7,0)),0%,VLOOKUP(A46,'Données projet'!$A$35:$I$55,7,0))</f>
        <v>0.6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68.192683721888898</v>
      </c>
      <c r="AC46" s="24">
        <f t="shared" si="3"/>
        <v>68.192683721888898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615.68396782851835</v>
      </c>
      <c r="AN46" s="62">
        <f ca="1">AVERAGE(OFFSET($AM$3,0,0,'Données projet'!$E$10+1,1))-AVERAGE(OFFSET($H$3,0,0,'Données projet'!$E$10+1,1))</f>
        <v>387.18736830550665</v>
      </c>
      <c r="AO46" s="62">
        <f t="shared" si="36"/>
        <v>312.32487363394125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4.840243519534666</v>
      </c>
      <c r="AW46" s="23">
        <f>EXP(-LN(2)/2)*AW45+(1-EXP(-LN(2)/2))/(LN(2)/2)*AQ46*AT46*VLOOKUP('Données projet'!$B$10,Paramètres!$A$1:$I$89,3,0)*0.475*44/12</f>
        <v>0.17357540224296805</v>
      </c>
      <c r="AX46" s="23">
        <f t="shared" si="6"/>
        <v>5.0138189217776343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97.141200000000012</v>
      </c>
      <c r="BF46" s="14">
        <f t="shared" si="37"/>
        <v>26.279782450761708</v>
      </c>
      <c r="BG46" s="22">
        <f t="shared" si="7"/>
        <v>214.95821110174333</v>
      </c>
      <c r="BH46" s="62">
        <f t="shared" si="8"/>
        <v>474.15246759947786</v>
      </c>
      <c r="BI46" s="62">
        <f ca="1">AVERAGE(OFFSET($BH$3,0,0,'Données projet'!$E$11+1,1))-AVERAGE(OFFSET($H$3,0,0,'Données projet'!$E$11+1,1))</f>
        <v>343.31521637281833</v>
      </c>
      <c r="BJ46" s="62">
        <f t="shared" si="38"/>
        <v>179.67327892360623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60.68934268120033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2.6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9.5333333333333332</v>
      </c>
      <c r="H47" s="70">
        <f t="shared" si="1"/>
        <v>193.74666666666667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</v>
      </c>
      <c r="N47" s="14">
        <f>IF('Données projet'!$A$36&gt;35,N46+M47-V46,IF(A47&lt;'Données projet'!$A$36,$K$205^A47,IF(A47='Données projet'!$A$36,'Données projet'!$B$36,N46+M47-V46)))</f>
        <v>273.49999999999989</v>
      </c>
      <c r="O47" s="14">
        <f>N47*VLOOKUP('Données projet'!$B$9,Paramètres!$A$1:$I$89,3,0)*VLOOKUP('Données projet'!$B$9,Paramètres!$A$1:$I$89,5,0)</f>
        <v>127.99799999999995</v>
      </c>
      <c r="P47" s="14">
        <f t="shared" si="33"/>
        <v>33.533338894635314</v>
      </c>
      <c r="Q47" s="22">
        <f t="shared" si="53"/>
        <v>281.33374857482306</v>
      </c>
      <c r="R47" s="62">
        <f t="shared" si="0"/>
        <v>541.12024173211353</v>
      </c>
      <c r="S47" s="62">
        <f ca="1">AVERAGE(OFFSET($R$3,0,0,'Données projet'!$E$9+1,1))-AVERAGE(OFFSET($H$3,0,0,'Données projet'!$E$9+1,1))</f>
        <v>347.22603428907496</v>
      </c>
      <c r="T47" s="62">
        <f t="shared" si="34"/>
        <v>258.98427374339872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48.219509087057141</v>
      </c>
      <c r="AC47" s="24">
        <f t="shared" si="3"/>
        <v>48.219509087057141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637.44272991462776</v>
      </c>
      <c r="AN47" s="62">
        <f ca="1">AVERAGE(OFFSET($AM$3,0,0,'Données projet'!$E$10+1,1))-AVERAGE(OFFSET($H$3,0,0,'Données projet'!$E$10+1,1))</f>
        <v>387.18736830550665</v>
      </c>
      <c r="AO47" s="62">
        <f t="shared" si="36"/>
        <v>312.32487363394125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4.7078868059556465</v>
      </c>
      <c r="AW47" s="23">
        <f>EXP(-LN(2)/2)*AW46+(1-EXP(-LN(2)/2))/(LN(2)/2)*AQ47*AT47*VLOOKUP('Données projet'!$B$10,Paramètres!$A$1:$I$89,3,0)*0.475*44/12</f>
        <v>0.12273634397318539</v>
      </c>
      <c r="AX47" s="23">
        <f t="shared" si="6"/>
        <v>4.8306231499288321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102.81959999999999</v>
      </c>
      <c r="BF47" s="14">
        <f t="shared" si="37"/>
        <v>27.632637448562328</v>
      </c>
      <c r="BG47" s="22">
        <f t="shared" si="7"/>
        <v>227.20431355624603</v>
      </c>
      <c r="BH47" s="62">
        <f t="shared" si="8"/>
        <v>486.99080671353647</v>
      </c>
      <c r="BI47" s="62">
        <f ca="1">AVERAGE(OFFSET($BH$3,0,0,'Données projet'!$E$11+1,1))-AVERAGE(OFFSET($H$3,0,0,'Données projet'!$E$11+1,1))</f>
        <v>343.31521637281833</v>
      </c>
      <c r="BJ47" s="62">
        <f t="shared" si="38"/>
        <v>179.67327892360623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60.850861770170134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2.6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9.5333333333333332</v>
      </c>
      <c r="H48" s="70">
        <f t="shared" si="1"/>
        <v>193.74666666666667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</v>
      </c>
      <c r="N48" s="14">
        <f>IF('Données projet'!$A$36&gt;35,N47+M48-V47,IF(A48&lt;'Données projet'!$A$36,$K$205^A48,IF(A48='Données projet'!$A$36,'Données projet'!$B$36,N47+M48-V47)))</f>
        <v>290.99999999999989</v>
      </c>
      <c r="O48" s="14">
        <f>N48*VLOOKUP('Données projet'!$B$9,Paramètres!$A$1:$I$89,3,0)*VLOOKUP('Données projet'!$B$9,Paramètres!$A$1:$I$89,5,0)</f>
        <v>136.18799999999993</v>
      </c>
      <c r="P48" s="14">
        <f t="shared" si="33"/>
        <v>35.422331714503152</v>
      </c>
      <c r="Q48" s="22">
        <f t="shared" si="53"/>
        <v>298.88799440275955</v>
      </c>
      <c r="R48" s="62">
        <f t="shared" si="0"/>
        <v>559.25645023760558</v>
      </c>
      <c r="S48" s="62">
        <f ca="1">AVERAGE(OFFSET($R$3,0,0,'Données projet'!$E$9+1,1))-AVERAGE(OFFSET($H$3,0,0,'Données projet'!$E$9+1,1))</f>
        <v>347.22603428907496</v>
      </c>
      <c r="T48" s="62">
        <f t="shared" si="34"/>
        <v>258.98427374339872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34.096341860944456</v>
      </c>
      <c r="AC48" s="24">
        <f t="shared" si="3"/>
        <v>34.096341860944456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659.16540137212701</v>
      </c>
      <c r="AN48" s="62">
        <f ca="1">AVERAGE(OFFSET($AM$3,0,0,'Données projet'!$E$10+1,1))-AVERAGE(OFFSET($H$3,0,0,'Données projet'!$E$10+1,1))</f>
        <v>387.18736830550665</v>
      </c>
      <c r="AO48" s="62">
        <f t="shared" si="36"/>
        <v>312.32487363394125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4.5791493936697822</v>
      </c>
      <c r="AW48" s="23">
        <f>EXP(-LN(2)/2)*AW47+(1-EXP(-LN(2)/2))/(LN(2)/2)*AQ48*AT48*VLOOKUP('Données projet'!$B$10,Paramètres!$A$1:$I$89,3,0)*0.475*44/12</f>
        <v>8.678770112148404E-2</v>
      </c>
      <c r="AX48" s="23">
        <f t="shared" si="6"/>
        <v>4.6659370947912659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108.498</v>
      </c>
      <c r="BF48" s="14">
        <f t="shared" si="37"/>
        <v>28.976818989145283</v>
      </c>
      <c r="BG48" s="22">
        <f t="shared" si="7"/>
        <v>239.43530973942802</v>
      </c>
      <c r="BH48" s="62">
        <f t="shared" si="8"/>
        <v>499.803765574274</v>
      </c>
      <c r="BI48" s="62">
        <f ca="1">AVERAGE(OFFSET($BH$3,0,0,'Données projet'!$E$11+1,1))-AVERAGE(OFFSET($H$3,0,0,'Données projet'!$E$11+1,1))</f>
        <v>343.31521637281833</v>
      </c>
      <c r="BJ48" s="62">
        <f t="shared" si="38"/>
        <v>179.67327892360623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61.009578864048898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2.6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9.5333333333333332</v>
      </c>
      <c r="H49" s="70">
        <f t="shared" si="1"/>
        <v>193.74666666666667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</v>
      </c>
      <c r="N49" s="14">
        <f>IF('Données projet'!$A$36&gt;35,N48+M49-V48,IF(A49&lt;'Données projet'!$A$36,$K$205^A49,IF(A49='Données projet'!$A$36,'Données projet'!$B$36,N48+M49-V48)))</f>
        <v>308.49999999999989</v>
      </c>
      <c r="O49" s="14">
        <f>N49*VLOOKUP('Données projet'!$B$9,Paramètres!$A$1:$I$89,3,0)*VLOOKUP('Données projet'!$B$9,Paramètres!$A$1:$I$89,5,0)</f>
        <v>144.37799999999996</v>
      </c>
      <c r="P49" s="14">
        <f t="shared" si="33"/>
        <v>37.298139369272413</v>
      </c>
      <c r="Q49" s="22">
        <f t="shared" si="53"/>
        <v>316.41927606814937</v>
      </c>
      <c r="R49" s="62">
        <f t="shared" si="0"/>
        <v>577.35959882916882</v>
      </c>
      <c r="S49" s="62">
        <f ca="1">AVERAGE(OFFSET($R$3,0,0,'Données projet'!$E$9+1,1))-AVERAGE(OFFSET($H$3,0,0,'Données projet'!$E$9+1,1))</f>
        <v>347.22603428907496</v>
      </c>
      <c r="T49" s="62">
        <f t="shared" si="34"/>
        <v>258.98427374339872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24.109754543528574</v>
      </c>
      <c r="AC49" s="24">
        <f t="shared" si="3"/>
        <v>24.109754543528574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614.36757609133701</v>
      </c>
      <c r="AN49" s="62">
        <f ca="1">AVERAGE(OFFSET($AM$3,0,0,'Données projet'!$E$10+1,1))-AVERAGE(OFFSET($H$3,0,0,'Données projet'!$E$10+1,1))</f>
        <v>387.18736830550665</v>
      </c>
      <c r="AO49" s="62">
        <f t="shared" si="36"/>
        <v>312.32487363394125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4.4539323126928814</v>
      </c>
      <c r="AW49" s="23">
        <f>EXP(-LN(2)/2)*AW48+(1-EXP(-LN(2)/2))/(LN(2)/2)*AQ49*AT49*VLOOKUP('Données projet'!$B$10,Paramètres!$A$1:$I$89,3,0)*0.475*44/12</f>
        <v>6.1368171986592703E-2</v>
      </c>
      <c r="AX49" s="23">
        <f t="shared" si="6"/>
        <v>4.5153004846794742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99.980399999999989</v>
      </c>
      <c r="BF49" s="14">
        <f t="shared" si="37"/>
        <v>26.957328065359373</v>
      </c>
      <c r="BG49" s="22">
        <f t="shared" si="7"/>
        <v>221.08320971383421</v>
      </c>
      <c r="BH49" s="62">
        <f t="shared" si="8"/>
        <v>482.02353247485365</v>
      </c>
      <c r="BI49" s="62">
        <f ca="1">AVERAGE(OFFSET($BH$3,0,0,'Données projet'!$E$11+1,1))-AVERAGE(OFFSET($H$3,0,0,'Données projet'!$E$11+1,1))</f>
        <v>343.31521637281833</v>
      </c>
      <c r="BJ49" s="62">
        <f t="shared" si="38"/>
        <v>179.67327892360623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61.165542571187117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2.6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9.5333333333333332</v>
      </c>
      <c r="H50" s="70">
        <f t="shared" si="1"/>
        <v>193.74666666666667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</v>
      </c>
      <c r="N50" s="14">
        <f>IF('Données projet'!$A$36&gt;35,N49+M50-V49,IF(A50&lt;'Données projet'!$A$36,$K$205^A50,IF(A50='Données projet'!$A$36,'Données projet'!$B$36,N49+M50-V49)))</f>
        <v>325.99999999999989</v>
      </c>
      <c r="O50" s="14">
        <f>N50*VLOOKUP('Données projet'!$B$9,Paramètres!$A$1:$I$89,3,0)*VLOOKUP('Données projet'!$B$9,Paramètres!$A$1:$I$89,5,0)</f>
        <v>152.56799999999996</v>
      </c>
      <c r="P50" s="14">
        <f t="shared" si="33"/>
        <v>39.161595030150863</v>
      </c>
      <c r="Q50" s="22">
        <f t="shared" si="53"/>
        <v>333.92904467751265</v>
      </c>
      <c r="R50" s="62">
        <f t="shared" si="0"/>
        <v>595.43131375203939</v>
      </c>
      <c r="S50" s="62">
        <f ca="1">AVERAGE(OFFSET($R$3,0,0,'Données projet'!$E$9+1,1))-AVERAGE(OFFSET($H$3,0,0,'Données projet'!$E$9+1,1))</f>
        <v>347.22603428907496</v>
      </c>
      <c r="T50" s="62">
        <f t="shared" si="34"/>
        <v>258.98427374339872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17.048170930472232</v>
      </c>
      <c r="AC50" s="24">
        <f t="shared" si="3"/>
        <v>17.048170930472232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637.11950945773333</v>
      </c>
      <c r="AN50" s="62">
        <f ca="1">AVERAGE(OFFSET($AM$3,0,0,'Données projet'!$E$10+1,1))-AVERAGE(OFFSET($H$3,0,0,'Données projet'!$E$10+1,1))</f>
        <v>387.18736830550665</v>
      </c>
      <c r="AO50" s="62">
        <f t="shared" si="36"/>
        <v>312.32487363394125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4.3321392993801737</v>
      </c>
      <c r="AW50" s="23">
        <f>EXP(-LN(2)/2)*AW49+(1-EXP(-LN(2)/2))/(LN(2)/2)*AQ50*AT50*VLOOKUP('Données projet'!$B$10,Paramètres!$A$1:$I$89,3,0)*0.475*44/12</f>
        <v>4.3393850560742027E-2</v>
      </c>
      <c r="AX50" s="23">
        <f t="shared" si="6"/>
        <v>4.3755331499409156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105.65879999999999</v>
      </c>
      <c r="BF50" s="14">
        <f t="shared" si="37"/>
        <v>28.305779445097851</v>
      </c>
      <c r="BG50" s="22">
        <f t="shared" si="7"/>
        <v>233.32164253354537</v>
      </c>
      <c r="BH50" s="62">
        <f t="shared" si="8"/>
        <v>494.82391160807219</v>
      </c>
      <c r="BI50" s="62">
        <f ca="1">AVERAGE(OFFSET($BH$3,0,0,'Données projet'!$E$11+1,1))-AVERAGE(OFFSET($H$3,0,0,'Données projet'!$E$11+1,1))</f>
        <v>343.31521637281833</v>
      </c>
      <c r="BJ50" s="62">
        <f t="shared" si="38"/>
        <v>179.67327892360623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61.318800656689113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2.6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9.5333333333333332</v>
      </c>
      <c r="H51" s="70">
        <f t="shared" si="1"/>
        <v>193.74666666666667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</v>
      </c>
      <c r="N51" s="14">
        <f>IF('Données projet'!$A$36&gt;35,N50+M51-V50,IF(A51&lt;'Données projet'!$A$36,$K$205^A51,IF(A51='Données projet'!$A$36,'Données projet'!$B$36,N50+M51-V50)))</f>
        <v>343.49999999999989</v>
      </c>
      <c r="O51" s="14">
        <f>N51*VLOOKUP('Données projet'!$B$9,Paramètres!$A$1:$I$89,3,0)*VLOOKUP('Données projet'!$B$9,Paramètres!$A$1:$I$89,5,0)</f>
        <v>160.75799999999995</v>
      </c>
      <c r="P51" s="14">
        <f t="shared" si="33"/>
        <v>41.013437365421375</v>
      </c>
      <c r="Q51" s="22">
        <f t="shared" si="53"/>
        <v>351.41858674477544</v>
      </c>
      <c r="R51" s="62">
        <f t="shared" si="0"/>
        <v>613.47305362059387</v>
      </c>
      <c r="S51" s="62">
        <f ca="1">AVERAGE(OFFSET($R$3,0,0,'Données projet'!$E$9+1,1))-AVERAGE(OFFSET($H$3,0,0,'Données projet'!$E$9+1,1))</f>
        <v>347.22603428907496</v>
      </c>
      <c r="T51" s="62">
        <f t="shared" si="34"/>
        <v>258.98427374339872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12.054877271764289</v>
      </c>
      <c r="AC51" s="24">
        <f t="shared" si="3"/>
        <v>12.054877271764289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659.83315119230292</v>
      </c>
      <c r="AN51" s="62">
        <f ca="1">AVERAGE(OFFSET($AM$3,0,0,'Données projet'!$E$10+1,1))-AVERAGE(OFFSET($H$3,0,0,'Données projet'!$E$10+1,1))</f>
        <v>387.18736830550665</v>
      </c>
      <c r="AO51" s="62">
        <f t="shared" si="36"/>
        <v>312.32487363394125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4.2136767224213187</v>
      </c>
      <c r="AW51" s="23">
        <f>EXP(-LN(2)/2)*AW50+(1-EXP(-LN(2)/2))/(LN(2)/2)*AQ51*AT51*VLOOKUP('Données projet'!$B$10,Paramètres!$A$1:$I$89,3,0)*0.475*44/12</f>
        <v>3.0684085993296358E-2</v>
      </c>
      <c r="AX51" s="23">
        <f t="shared" si="6"/>
        <v>4.2443608084146147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111.33719999999997</v>
      </c>
      <c r="BF51" s="14">
        <f t="shared" si="37"/>
        <v>29.645817422905317</v>
      </c>
      <c r="BG51" s="22">
        <f t="shared" si="7"/>
        <v>245.54542201156005</v>
      </c>
      <c r="BH51" s="62">
        <f t="shared" si="8"/>
        <v>507.59988888737843</v>
      </c>
      <c r="BI51" s="62">
        <f ca="1">AVERAGE(OFFSET($BH$3,0,0,'Données projet'!$E$11+1,1))-AVERAGE(OFFSET($H$3,0,0,'Données projet'!$E$11+1,1))</f>
        <v>343.31521637281833</v>
      </c>
      <c r="BJ51" s="62">
        <f t="shared" si="38"/>
        <v>179.67327892360623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61.469400057041383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2.6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9.5333333333333332</v>
      </c>
      <c r="H52" s="70">
        <f t="shared" si="1"/>
        <v>193.74666666666667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</v>
      </c>
      <c r="L52" s="13">
        <f>VLOOKUP(A52,'Données projet'!$A$35:$I$55,9,0)</f>
        <v>17.5</v>
      </c>
      <c r="M52" s="13">
        <f t="array" ref="M52">INDEX(L:L,MIN(IF(ISNUMBER(L52:L248),ROW(L52:L248),"")))</f>
        <v>17.5</v>
      </c>
      <c r="N52" s="14">
        <f>IF('Données projet'!$A$36&gt;35,N51+M52-V51,IF(A52&lt;'Données projet'!$A$36,$K$205^A52,IF(A52='Données projet'!$A$36,'Données projet'!$B$36,N51+M52-V51)))</f>
        <v>360.99999999999989</v>
      </c>
      <c r="O52" s="14">
        <f>N52*VLOOKUP('Données projet'!$B$9,Paramètres!$A$1:$I$89,3,0)*VLOOKUP('Données projet'!$B$9,Paramètres!$A$1:$I$89,5,0)</f>
        <v>168.94799999999995</v>
      </c>
      <c r="P52" s="14">
        <f t="shared" si="33"/>
        <v>42.854325527446242</v>
      </c>
      <c r="Q52" s="22">
        <f t="shared" si="53"/>
        <v>368.88905029363542</v>
      </c>
      <c r="R52" s="62">
        <f t="shared" si="0"/>
        <v>631.48613557342242</v>
      </c>
      <c r="S52" s="62">
        <f ca="1">AVERAGE(OFFSET($R$3,0,0,'Données projet'!$E$9+1,1))-AVERAGE(OFFSET($H$3,0,0,'Données projet'!$E$9+1,1))</f>
        <v>347.22603428907496</v>
      </c>
      <c r="T52" s="62">
        <f t="shared" si="34"/>
        <v>258.98427374339872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8.5240854652361158</v>
      </c>
      <c r="AC52" s="24">
        <f t="shared" si="3"/>
        <v>8.5240854652361158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682.51048312547289</v>
      </c>
      <c r="AN52" s="62">
        <f ca="1">AVERAGE(OFFSET($AM$3,0,0,'Données projet'!$E$10+1,1))-AVERAGE(OFFSET($H$3,0,0,'Données projet'!$E$10+1,1))</f>
        <v>387.18736830550665</v>
      </c>
      <c r="AO52" s="62">
        <f t="shared" si="36"/>
        <v>312.32487363394125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4.0984535108590796</v>
      </c>
      <c r="AW52" s="23">
        <f>EXP(-LN(2)/2)*AW51+(1-EXP(-LN(2)/2))/(LN(2)/2)*AQ52*AT52*VLOOKUP('Données projet'!$B$10,Paramètres!$A$1:$I$89,3,0)*0.475*44/12</f>
        <v>2.1696925280371017E-2</v>
      </c>
      <c r="AX52" s="23">
        <f t="shared" si="6"/>
        <v>4.1201504361394505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117.01559999999996</v>
      </c>
      <c r="BF52" s="14">
        <f t="shared" si="37"/>
        <v>30.977920050269788</v>
      </c>
      <c r="BG52" s="22">
        <f t="shared" si="7"/>
        <v>257.7553807542198</v>
      </c>
      <c r="BH52" s="62">
        <f t="shared" si="8"/>
        <v>520.35246603400674</v>
      </c>
      <c r="BI52" s="62">
        <f ca="1">AVERAGE(OFFSET($BH$3,0,0,'Données projet'!$E$11+1,1))-AVERAGE(OFFSET($H$3,0,0,'Données projet'!$E$11+1,1))</f>
        <v>343.31521637281833</v>
      </c>
      <c r="BJ52" s="62">
        <f t="shared" si="38"/>
        <v>179.67327892360623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61.617386894487375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2.6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9.5333333333333332</v>
      </c>
      <c r="H53" s="70">
        <f t="shared" si="1"/>
        <v>193.74666666666667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278</v>
      </c>
      <c r="L53" s="13">
        <f>VLOOKUP(A53,'Données projet'!$A$35:$I$55,9,0)</f>
        <v>17</v>
      </c>
      <c r="M53" s="13">
        <f t="array" ref="M53">INDEX(L:L,MIN(IF(ISNUMBER(L53:L249),ROW(L53:L249),"")))</f>
        <v>17</v>
      </c>
      <c r="N53" s="14">
        <f>IF('Données projet'!$A$36&gt;35,N52+M53-V52,IF(A53&lt;'Données projet'!$A$36,$K$205^A53,IF(A53='Données projet'!$A$36,'Données projet'!$B$36,N52+M53-V52)))</f>
        <v>277.99999999999989</v>
      </c>
      <c r="O53" s="14">
        <f>N53*VLOOKUP('Données projet'!$B$9,Paramètres!$A$1:$I$89,3,0)*VLOOKUP('Données projet'!$B$9,Paramètres!$A$1:$I$89,5,0)</f>
        <v>130.10399999999996</v>
      </c>
      <c r="P53" s="14">
        <f t="shared" si="33"/>
        <v>34.020389560268086</v>
      </c>
      <c r="Q53" s="22">
        <f t="shared" si="53"/>
        <v>285.84997848413349</v>
      </c>
      <c r="R53" s="62">
        <f t="shared" si="0"/>
        <v>548.98026895169323</v>
      </c>
      <c r="S53" s="62">
        <f ca="1">AVERAGE(OFFSET($R$3,0,0,'Données projet'!$E$9+1,1))-AVERAGE(OFFSET($H$3,0,0,'Données projet'!$E$9+1,1))</f>
        <v>347.22603428907496</v>
      </c>
      <c r="T53" s="62">
        <f t="shared" si="34"/>
        <v>258.98427374339872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6.0274386358821443</v>
      </c>
      <c r="AC53" s="24">
        <f t="shared" si="3"/>
        <v>6.0274386358821443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705.15327756593535</v>
      </c>
      <c r="AN53" s="62">
        <f ca="1">AVERAGE(OFFSET($AM$3,0,0,'Données projet'!$E$10+1,1))-AVERAGE(OFFSET($H$3,0,0,'Données projet'!$E$10+1,1))</f>
        <v>387.18736830550665</v>
      </c>
      <c r="AO53" s="62">
        <f t="shared" si="36"/>
        <v>312.32487363394125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3.986381084076335</v>
      </c>
      <c r="AW53" s="23">
        <f>EXP(-LN(2)/2)*AW52+(1-EXP(-LN(2)/2))/(LN(2)/2)*AQ53*AT53*VLOOKUP('Données projet'!$B$10,Paramètres!$A$1:$I$89,3,0)*0.475*44/12</f>
        <v>1.5342042996648181E-2</v>
      </c>
      <c r="AX53" s="23">
        <f t="shared" si="6"/>
        <v>4.0017231270729834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122.69399999999997</v>
      </c>
      <c r="BF53" s="14">
        <f t="shared" si="37"/>
        <v>32.302516360650685</v>
      </c>
      <c r="BG53" s="22">
        <f t="shared" si="7"/>
        <v>269.95226599479992</v>
      </c>
      <c r="BH53" s="62">
        <f t="shared" si="8"/>
        <v>533.08255646235966</v>
      </c>
      <c r="BI53" s="62">
        <f ca="1">AVERAGE(OFFSET($BH$3,0,0,'Données projet'!$E$11+1,1))-AVERAGE(OFFSET($H$3,0,0,'Données projet'!$E$11+1,1))</f>
        <v>343.31521637281833</v>
      </c>
      <c r="BJ53" s="62">
        <f t="shared" si="38"/>
        <v>179.67327892360623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61.762806491152674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2.6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9.5333333333333332</v>
      </c>
      <c r="H54" s="70">
        <f t="shared" si="1"/>
        <v>193.74666666666667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</v>
      </c>
      <c r="N54" s="14">
        <f>IF('Données projet'!$A$36&gt;35,N53+M54-V53,IF(A54&lt;'Données projet'!$A$36,$K$205^A54,IF(A54='Données projet'!$A$36,'Données projet'!$B$36,N53+M54-V53)))</f>
        <v>294.99999999999989</v>
      </c>
      <c r="O54" s="14">
        <f>N54*VLOOKUP('Données projet'!$B$9,Paramètres!$A$1:$I$89,3,0)*VLOOKUP('Données projet'!$B$9,Paramètres!$A$1:$I$89,5,0)</f>
        <v>138.05999999999995</v>
      </c>
      <c r="P54" s="14">
        <f t="shared" si="33"/>
        <v>35.85221845159689</v>
      </c>
      <c r="Q54" s="22">
        <f t="shared" si="53"/>
        <v>302.89711380319778</v>
      </c>
      <c r="R54" s="62">
        <f t="shared" si="0"/>
        <v>566.55135954059074</v>
      </c>
      <c r="S54" s="62">
        <f ca="1">AVERAGE(OFFSET($R$3,0,0,'Données projet'!$E$9+1,1))-AVERAGE(OFFSET($H$3,0,0,'Données projet'!$E$9+1,1))</f>
        <v>347.22603428907496</v>
      </c>
      <c r="T54" s="62">
        <f t="shared" si="34"/>
        <v>258.98427374339872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4.2620427326180579</v>
      </c>
      <c r="AC54" s="24">
        <f t="shared" si="3"/>
        <v>4.2620427326180579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660.70101993153503</v>
      </c>
      <c r="AN54" s="62">
        <f ca="1">AVERAGE(OFFSET($AM$3,0,0,'Données projet'!$E$10+1,1))-AVERAGE(OFFSET($H$3,0,0,'Données projet'!$E$10+1,1))</f>
        <v>387.18736830550665</v>
      </c>
      <c r="AO54" s="62">
        <f t="shared" si="36"/>
        <v>312.32487363394125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3.8773732836975974</v>
      </c>
      <c r="AW54" s="23">
        <f>EXP(-LN(2)/2)*AW53+(1-EXP(-LN(2)/2))/(LN(2)/2)*AQ54*AT54*VLOOKUP('Données projet'!$B$10,Paramètres!$A$1:$I$89,3,0)*0.475*44/12</f>
        <v>1.084846264018551E-2</v>
      </c>
      <c r="AX54" s="23">
        <f t="shared" si="6"/>
        <v>3.8882217463377828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114.17639999999996</v>
      </c>
      <c r="BF54" s="14">
        <f t="shared" si="37"/>
        <v>30.312832781759997</v>
      </c>
      <c r="BG54" s="22">
        <f t="shared" si="7"/>
        <v>251.65208042823193</v>
      </c>
      <c r="BH54" s="62">
        <f t="shared" si="8"/>
        <v>515.30632616562491</v>
      </c>
      <c r="BI54" s="62">
        <f ca="1">AVERAGE(OFFSET($BH$3,0,0,'Données projet'!$E$11+1,1))-AVERAGE(OFFSET($H$3,0,0,'Données projet'!$E$11+1,1))</f>
        <v>343.31521637281833</v>
      </c>
      <c r="BJ54" s="62">
        <f t="shared" si="38"/>
        <v>179.67327892360623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61.905703382925353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2.6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9.5333333333333332</v>
      </c>
      <c r="H55" s="70">
        <f t="shared" si="1"/>
        <v>193.74666666666667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</v>
      </c>
      <c r="N55" s="14">
        <f>IF('Données projet'!$A$36&gt;35,N54+M55-V54,IF(A55&lt;'Données projet'!$A$36,$K$205^A55,IF(A55='Données projet'!$A$36,'Données projet'!$B$36,N54+M55-V54)))</f>
        <v>311.99999999999989</v>
      </c>
      <c r="O55" s="14">
        <f>N55*VLOOKUP('Données projet'!$B$9,Paramètres!$A$1:$I$89,3,0)*VLOOKUP('Données projet'!$B$9,Paramètres!$A$1:$I$89,5,0)</f>
        <v>146.01599999999993</v>
      </c>
      <c r="P55" s="14">
        <f t="shared" si="33"/>
        <v>37.671793767891103</v>
      </c>
      <c r="Q55" s="22">
        <f t="shared" si="53"/>
        <v>319.92290747907685</v>
      </c>
      <c r="R55" s="62">
        <f t="shared" si="0"/>
        <v>584.09201903375981</v>
      </c>
      <c r="S55" s="62">
        <f ca="1">AVERAGE(OFFSET($R$3,0,0,'Données projet'!$E$9+1,1))-AVERAGE(OFFSET($H$3,0,0,'Données projet'!$E$9+1,1))</f>
        <v>347.22603428907496</v>
      </c>
      <c r="T55" s="62">
        <f t="shared" si="34"/>
        <v>258.98427374339872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3.0137193179410722</v>
      </c>
      <c r="AC55" s="24">
        <f t="shared" si="3"/>
        <v>3.0137193179410722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683.63752358841725</v>
      </c>
      <c r="AN55" s="62">
        <f ca="1">AVERAGE(OFFSET($AM$3,0,0,'Données projet'!$E$10+1,1))-AVERAGE(OFFSET($H$3,0,0,'Données projet'!$E$10+1,1))</f>
        <v>387.18736830550665</v>
      </c>
      <c r="AO55" s="62">
        <f t="shared" si="36"/>
        <v>312.32487363394125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3.7713463073526876</v>
      </c>
      <c r="AW55" s="23">
        <f>EXP(-LN(2)/2)*AW54+(1-EXP(-LN(2)/2))/(LN(2)/2)*AQ55*AT55*VLOOKUP('Données projet'!$B$10,Paramètres!$A$1:$I$89,3,0)*0.475*44/12</f>
        <v>7.6710214983240921E-3</v>
      </c>
      <c r="AX55" s="23">
        <f t="shared" si="6"/>
        <v>3.7790173288510118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119.85479999999995</v>
      </c>
      <c r="BF55" s="14">
        <f t="shared" si="37"/>
        <v>31.641131392625841</v>
      </c>
      <c r="BG55" s="22">
        <f t="shared" si="7"/>
        <v>263.85541384215657</v>
      </c>
      <c r="BH55" s="62">
        <f t="shared" si="8"/>
        <v>528.02452539683952</v>
      </c>
      <c r="BI55" s="62">
        <f ca="1">AVERAGE(OFFSET($BH$3,0,0,'Données projet'!$E$11+1,1))-AVERAGE(OFFSET($H$3,0,0,'Données projet'!$E$11+1,1))</f>
        <v>343.31521637281833</v>
      </c>
      <c r="BJ55" s="62">
        <f t="shared" si="38"/>
        <v>179.67327892360623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62.046121333095357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2.6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9.5333333333333332</v>
      </c>
      <c r="H56" s="70">
        <f t="shared" si="1"/>
        <v>193.74666666666667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</v>
      </c>
      <c r="N56" s="14">
        <f>IF('Données projet'!$A$36&gt;35,N55+M56-V55,IF(A56&lt;'Données projet'!$A$36,$K$205^A56,IF(A56='Données projet'!$A$36,'Données projet'!$B$36,N55+M56-V55)))</f>
        <v>328.99999999999989</v>
      </c>
      <c r="O56" s="14">
        <f>N56*VLOOKUP('Données projet'!$B$9,Paramètres!$A$1:$I$89,3,0)*VLOOKUP('Données projet'!$B$9,Paramètres!$A$1:$I$89,5,0)</f>
        <v>153.97199999999995</v>
      </c>
      <c r="P56" s="14">
        <f t="shared" si="33"/>
        <v>39.479859284656378</v>
      </c>
      <c r="Q56" s="22">
        <f t="shared" si="53"/>
        <v>336.92865492077641</v>
      </c>
      <c r="R56" s="62">
        <f t="shared" si="0"/>
        <v>601.60370052188694</v>
      </c>
      <c r="S56" s="62">
        <f ca="1">AVERAGE(OFFSET($R$3,0,0,'Données projet'!$E$9+1,1))-AVERAGE(OFFSET($H$3,0,0,'Données projet'!$E$9+1,1))</f>
        <v>347.22603428907496</v>
      </c>
      <c r="T56" s="62">
        <f t="shared" si="34"/>
        <v>258.98427374339872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2.1310213663090289</v>
      </c>
      <c r="AC56" s="24">
        <f t="shared" si="3"/>
        <v>2.1310213663090289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706.53928555344112</v>
      </c>
      <c r="AN56" s="62">
        <f ca="1">AVERAGE(OFFSET($AM$3,0,0,'Données projet'!$E$10+1,1))-AVERAGE(OFFSET($H$3,0,0,'Données projet'!$E$10+1,1))</f>
        <v>387.18736830550665</v>
      </c>
      <c r="AO56" s="62">
        <f t="shared" si="36"/>
        <v>312.32487363394125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3.6682186442516458</v>
      </c>
      <c r="AW56" s="23">
        <f>EXP(-LN(2)/2)*AW55+(1-EXP(-LN(2)/2))/(LN(2)/2)*AQ56*AT56*VLOOKUP('Données projet'!$B$10,Paramètres!$A$1:$I$89,3,0)*0.475*44/12</f>
        <v>5.424231320092756E-3</v>
      </c>
      <c r="AX56" s="23">
        <f t="shared" si="6"/>
        <v>3.6736428755717387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125.53319999999997</v>
      </c>
      <c r="BF56" s="14">
        <f t="shared" si="37"/>
        <v>32.962122082003134</v>
      </c>
      <c r="BG56" s="22">
        <f t="shared" si="7"/>
        <v>276.046019292822</v>
      </c>
      <c r="BH56" s="62">
        <f t="shared" si="8"/>
        <v>540.72106489393252</v>
      </c>
      <c r="BI56" s="62">
        <f ca="1">AVERAGE(OFFSET($BH$3,0,0,'Données projet'!$E$11+1,1))-AVERAGE(OFFSET($H$3,0,0,'Données projet'!$E$11+1,1))</f>
        <v>343.31521637281833</v>
      </c>
      <c r="BJ56" s="62">
        <f t="shared" si="38"/>
        <v>179.67327892360623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62.184103345757421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2.6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9.5333333333333332</v>
      </c>
      <c r="H57" s="70">
        <f t="shared" si="1"/>
        <v>193.74666666666667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</v>
      </c>
      <c r="N57" s="14">
        <f>IF('Données projet'!$A$36&gt;35,N56+M57-V56,IF(A57&lt;'Données projet'!$A$36,$K$205^A57,IF(A57='Données projet'!$A$36,'Données projet'!$B$36,N56+M57-V56)))</f>
        <v>345.99999999999989</v>
      </c>
      <c r="O57" s="14">
        <f>N57*VLOOKUP('Données projet'!$B$9,Paramètres!$A$1:$I$89,3,0)*VLOOKUP('Données projet'!$B$9,Paramètres!$A$1:$I$89,5,0)</f>
        <v>161.92799999999994</v>
      </c>
      <c r="P57" s="14">
        <f t="shared" si="33"/>
        <v>41.277077571585316</v>
      </c>
      <c r="Q57" s="22">
        <f t="shared" si="53"/>
        <v>353.91551010384433</v>
      </c>
      <c r="R57" s="62">
        <f t="shared" si="0"/>
        <v>619.08771292677602</v>
      </c>
      <c r="S57" s="62">
        <f ca="1">AVERAGE(OFFSET($R$3,0,0,'Données projet'!$E$9+1,1))-AVERAGE(OFFSET($H$3,0,0,'Données projet'!$E$9+1,1))</f>
        <v>347.22603428907496</v>
      </c>
      <c r="T57" s="62">
        <f t="shared" si="34"/>
        <v>258.98427374339872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1.5068596589705361</v>
      </c>
      <c r="AC57" s="24">
        <f t="shared" si="3"/>
        <v>1.5068596589705361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729.40795186874084</v>
      </c>
      <c r="AN57" s="62">
        <f ca="1">AVERAGE(OFFSET($AM$3,0,0,'Données projet'!$E$10+1,1))-AVERAGE(OFFSET($H$3,0,0,'Données projet'!$E$10+1,1))</f>
        <v>387.18736830550665</v>
      </c>
      <c r="AO57" s="62">
        <f t="shared" si="36"/>
        <v>312.32487363394125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3.5679110125213498</v>
      </c>
      <c r="AW57" s="23">
        <f>EXP(-LN(2)/2)*AW56+(1-EXP(-LN(2)/2))/(LN(2)/2)*AQ57*AT57*VLOOKUP('Données projet'!$B$10,Paramètres!$A$1:$I$89,3,0)*0.475*44/12</f>
        <v>3.8355107491620465E-3</v>
      </c>
      <c r="AX57" s="23">
        <f t="shared" si="6"/>
        <v>3.5717465232705119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131.21159999999995</v>
      </c>
      <c r="BF57" s="14">
        <f t="shared" si="37"/>
        <v>34.276173183172517</v>
      </c>
      <c r="BG57" s="22">
        <f t="shared" si="7"/>
        <v>288.22453829402536</v>
      </c>
      <c r="BH57" s="62">
        <f t="shared" si="8"/>
        <v>553.39674111695706</v>
      </c>
      <c r="BI57" s="62">
        <f ca="1">AVERAGE(OFFSET($BH$3,0,0,'Données projet'!$E$11+1,1))-AVERAGE(OFFSET($H$3,0,0,'Données projet'!$E$11+1,1))</f>
        <v>343.31521637281833</v>
      </c>
      <c r="BJ57" s="62">
        <f t="shared" si="38"/>
        <v>179.67327892360623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62.319691678981364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2.6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9.5333333333333332</v>
      </c>
      <c r="H58" s="70">
        <f t="shared" si="1"/>
        <v>193.74666666666667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</v>
      </c>
      <c r="N58" s="14">
        <f>IF('Données projet'!$A$36&gt;35,N57+M58-V57,IF(A58&lt;'Données projet'!$A$36,$K$205^A58,IF(A58='Données projet'!$A$36,'Données projet'!$B$36,N57+M58-V57)))</f>
        <v>362.99999999999989</v>
      </c>
      <c r="O58" s="14">
        <f>N58*VLOOKUP('Données projet'!$B$9,Paramètres!$A$1:$I$89,3,0)*VLOOKUP('Données projet'!$B$9,Paramètres!$A$1:$I$89,5,0)</f>
        <v>169.88399999999993</v>
      </c>
      <c r="P58" s="14">
        <f t="shared" si="33"/>
        <v>43.064042412117296</v>
      </c>
      <c r="Q58" s="22">
        <f t="shared" si="53"/>
        <v>370.8845072011041</v>
      </c>
      <c r="R58" s="62">
        <f t="shared" si="0"/>
        <v>636.54524267953536</v>
      </c>
      <c r="S58" s="62">
        <f ca="1">AVERAGE(OFFSET($R$3,0,0,'Données projet'!$E$9+1,1))-AVERAGE(OFFSET($H$3,0,0,'Données projet'!$E$9+1,1))</f>
        <v>347.22603428907496</v>
      </c>
      <c r="T58" s="62">
        <f t="shared" si="34"/>
        <v>258.98427374339872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1.0655106831545145</v>
      </c>
      <c r="AC58" s="24">
        <f t="shared" si="3"/>
        <v>1.0655106831545145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752.24501055842961</v>
      </c>
      <c r="AN58" s="62">
        <f ca="1">AVERAGE(OFFSET($AM$3,0,0,'Données projet'!$E$10+1,1))-AVERAGE(OFFSET($H$3,0,0,'Données projet'!$E$10+1,1))</f>
        <v>387.18736830550665</v>
      </c>
      <c r="AO58" s="62">
        <f t="shared" si="36"/>
        <v>312.32487363394125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3.4703462982556679</v>
      </c>
      <c r="AW58" s="23">
        <f>EXP(-LN(2)/2)*AW57+(1-EXP(-LN(2)/2))/(LN(2)/2)*AQ58*AT58*VLOOKUP('Données projet'!$B$10,Paramètres!$A$1:$I$89,3,0)*0.475*44/12</f>
        <v>2.7121156600463784E-3</v>
      </c>
      <c r="AX58" s="23">
        <f t="shared" si="6"/>
        <v>3.4730584139157141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136.88999999999996</v>
      </c>
      <c r="BF58" s="14">
        <f t="shared" si="37"/>
        <v>35.583619346017713</v>
      </c>
      <c r="BG58" s="22">
        <f t="shared" si="7"/>
        <v>300.3915536943141</v>
      </c>
      <c r="BH58" s="62">
        <f t="shared" si="8"/>
        <v>566.0522891727453</v>
      </c>
      <c r="BI58" s="62">
        <f ca="1">AVERAGE(OFFSET($BH$3,0,0,'Données projet'!$E$11+1,1))-AVERAGE(OFFSET($H$3,0,0,'Données projet'!$E$11+1,1))</f>
        <v>343.31521637281833</v>
      </c>
      <c r="BJ58" s="62">
        <f t="shared" si="38"/>
        <v>179.67327892360623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62.452927857753977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2.6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9.5333333333333332</v>
      </c>
      <c r="H59" s="70">
        <f t="shared" si="1"/>
        <v>193.74666666666667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380</v>
      </c>
      <c r="L59" s="13">
        <f>VLOOKUP(A59,'Données projet'!$A$35:$I$55,9,0)</f>
        <v>17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379.99999999999989</v>
      </c>
      <c r="O59" s="14">
        <f>N59*VLOOKUP('Données projet'!$B$9,Paramètres!$A$1:$I$89,3,0)*VLOOKUP('Données projet'!$B$9,Paramètres!$A$1:$I$89,5,0)</f>
        <v>177.83999999999995</v>
      </c>
      <c r="P59" s="14">
        <f t="shared" si="33"/>
        <v>44.841288830609102</v>
      </c>
      <c r="Q59" s="22">
        <f t="shared" si="53"/>
        <v>387.83657804664409</v>
      </c>
      <c r="R59" s="62">
        <f t="shared" si="0"/>
        <v>653.97737123119737</v>
      </c>
      <c r="S59" s="62">
        <f ca="1">AVERAGE(OFFSET($R$3,0,0,'Données projet'!$E$9+1,1))-AVERAGE(OFFSET($H$3,0,0,'Données projet'!$E$9+1,1))</f>
        <v>347.22603428907496</v>
      </c>
      <c r="T59" s="62">
        <f t="shared" si="34"/>
        <v>258.98427374339872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0.75342982948526804</v>
      </c>
      <c r="AC59" s="24">
        <f t="shared" si="3"/>
        <v>0.75342982948526804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775.05181439185037</v>
      </c>
      <c r="AN59" s="62">
        <f ca="1">AVERAGE(OFFSET($AM$3,0,0,'Données projet'!$E$10+1,1))-AVERAGE(OFFSET($H$3,0,0,'Données projet'!$E$10+1,1))</f>
        <v>387.18736830550665</v>
      </c>
      <c r="AO59" s="62">
        <f t="shared" si="36"/>
        <v>312.32487363394125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3.3754494962322865</v>
      </c>
      <c r="AW59" s="23">
        <f>EXP(-LN(2)/2)*AW58+(1-EXP(-LN(2)/2))/(LN(2)/2)*AQ59*AT59*VLOOKUP('Données projet'!$B$10,Paramètres!$A$1:$I$89,3,0)*0.475*44/12</f>
        <v>1.9177553745810235E-3</v>
      </c>
      <c r="AX59" s="23">
        <f t="shared" si="6"/>
        <v>3.3773672516068673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128.37239999999994</v>
      </c>
      <c r="BF59" s="14">
        <f t="shared" si="37"/>
        <v>33.61999343087701</v>
      </c>
      <c r="BG59" s="22">
        <f t="shared" si="7"/>
        <v>282.13675189211068</v>
      </c>
      <c r="BH59" s="62">
        <f t="shared" si="8"/>
        <v>548.27754507666396</v>
      </c>
      <c r="BI59" s="62">
        <f ca="1">AVERAGE(OFFSET($BH$3,0,0,'Données projet'!$E$11+1,1))-AVERAGE(OFFSET($H$3,0,0,'Données projet'!$E$11+1,1))</f>
        <v>343.31521637281833</v>
      </c>
      <c r="BJ59" s="62">
        <f t="shared" si="38"/>
        <v>179.67327892360623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62.583852686696346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2.6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9.5333333333333332</v>
      </c>
      <c r="H60" s="70">
        <f t="shared" si="1"/>
        <v>193.74666666666667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</v>
      </c>
      <c r="L60" s="13">
        <f>VLOOKUP(A60,'Données projet'!$A$35:$I$55,9,0)</f>
        <v>15</v>
      </c>
      <c r="M60" s="13">
        <f t="array" ref="M60">INDEX(L:L,MIN(IF(ISNUMBER(L60:L256),ROW(L60:L256),"")))</f>
        <v>15</v>
      </c>
      <c r="N60" s="14">
        <f>IF('Données projet'!$A$36&gt;35,N59+M60-V59,IF(A60&lt;'Données projet'!$A$36,$K$205^A60,IF(A60='Données projet'!$A$36,'Données projet'!$B$36,N59+M60-V59)))</f>
        <v>315.99999999999989</v>
      </c>
      <c r="O60" s="14">
        <f>N60*VLOOKUP('Données projet'!$B$9,Paramètres!$A$1:$I$89,3,0)*VLOOKUP('Données projet'!$B$9,Paramètres!$A$1:$I$89,5,0)</f>
        <v>147.88799999999995</v>
      </c>
      <c r="P60" s="14">
        <f t="shared" si="33"/>
        <v>38.098230660204834</v>
      </c>
      <c r="Q60" s="22">
        <f t="shared" si="53"/>
        <v>323.92601839985667</v>
      </c>
      <c r="R60" s="62">
        <f t="shared" si="0"/>
        <v>590.53854136257905</v>
      </c>
      <c r="S60" s="62">
        <f ca="1">AVERAGE(OFFSET($R$3,0,0,'Données projet'!$E$9+1,1))-AVERAGE(OFFSET($H$3,0,0,'Données projet'!$E$9+1,1))</f>
        <v>347.22603428907496</v>
      </c>
      <c r="T60" s="62">
        <f t="shared" si="34"/>
        <v>258.98427374339872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0.53275534157725724</v>
      </c>
      <c r="AC60" s="24">
        <f t="shared" si="3"/>
        <v>0.53275534157725724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797.82959945310301</v>
      </c>
      <c r="AN60" s="62">
        <f ca="1">AVERAGE(OFFSET($AM$3,0,0,'Données projet'!$E$10+1,1))-AVERAGE(OFFSET($H$3,0,0,'Données projet'!$E$10+1,1))</f>
        <v>387.18736830550665</v>
      </c>
      <c r="AO60" s="62">
        <f t="shared" si="36"/>
        <v>312.32487363394125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3.2831476522506402</v>
      </c>
      <c r="AW60" s="23">
        <f>EXP(-LN(2)/2)*AW59+(1-EXP(-LN(2)/2))/(LN(2)/2)*AQ60*AT60*VLOOKUP('Données projet'!$B$10,Paramètres!$A$1:$I$89,3,0)*0.475*44/12</f>
        <v>1.3560578300231894E-3</v>
      </c>
      <c r="AX60" s="23">
        <f t="shared" si="6"/>
        <v>3.2845037100806636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134.05079999999995</v>
      </c>
      <c r="BF60" s="14">
        <f t="shared" si="37"/>
        <v>34.930702157857986</v>
      </c>
      <c r="BG60" s="22">
        <f t="shared" si="7"/>
        <v>294.30944959160257</v>
      </c>
      <c r="BH60" s="62">
        <f t="shared" si="8"/>
        <v>560.92197255432484</v>
      </c>
      <c r="BI60" s="62">
        <f ca="1">AVERAGE(OFFSET($BH$3,0,0,'Données projet'!$E$11+1,1))-AVERAGE(OFFSET($H$3,0,0,'Données projet'!$E$11+1,1))</f>
        <v>343.31521637281833</v>
      </c>
      <c r="BJ60" s="62">
        <f t="shared" si="38"/>
        <v>179.67327892360623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62.712506262560638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2.6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9.5333333333333332</v>
      </c>
      <c r="H61" s="70">
        <f t="shared" si="1"/>
        <v>193.74666666666667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16.666666666666668</v>
      </c>
      <c r="N61" s="14">
        <f>IF('Données projet'!$A$36&gt;35,N60+M61-V60,IF(A61&lt;'Données projet'!$A$36,$K$205^A61,IF(A61='Données projet'!$A$36,'Données projet'!$B$36,N60+M61-V60)))</f>
        <v>332.66666666666657</v>
      </c>
      <c r="O61" s="14">
        <f>N61*VLOOKUP('Données projet'!$B$9,Paramètres!$A$1:$I$89,3,0)*VLOOKUP('Données projet'!$B$9,Paramètres!$A$1:$I$89,5,0)</f>
        <v>155.68799999999996</v>
      </c>
      <c r="P61" s="14">
        <f t="shared" si="33"/>
        <v>39.868390761764985</v>
      </c>
      <c r="Q61" s="22">
        <f t="shared" si="53"/>
        <v>340.5940472434072</v>
      </c>
      <c r="R61" s="62">
        <f t="shared" si="0"/>
        <v>607.67011652727706</v>
      </c>
      <c r="S61" s="62">
        <f ca="1">AVERAGE(OFFSET($R$3,0,0,'Données projet'!$E$9+1,1))-AVERAGE(OFFSET($H$3,0,0,'Données projet'!$E$9+1,1))</f>
        <v>347.22603428907496</v>
      </c>
      <c r="T61" s="62">
        <f t="shared" si="34"/>
        <v>258.98427374339872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0.37671491474263402</v>
      </c>
      <c r="AC61" s="24">
        <f t="shared" si="3"/>
        <v>0.37671491474263402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820.57950043775463</v>
      </c>
      <c r="AN61" s="62">
        <f ca="1">AVERAGE(OFFSET($AM$3,0,0,'Données projet'!$E$10+1,1))-AVERAGE(OFFSET($H$3,0,0,'Données projet'!$E$10+1,1))</f>
        <v>387.18736830550665</v>
      </c>
      <c r="AO61" s="62">
        <f t="shared" si="36"/>
        <v>312.32487363394125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3.193369807046615</v>
      </c>
      <c r="AW61" s="23">
        <f>EXP(-LN(2)/2)*AW60+(1-EXP(-LN(2)/2))/(LN(2)/2)*AQ61*AT61*VLOOKUP('Données projet'!$B$10,Paramètres!$A$1:$I$89,3,0)*0.475*44/12</f>
        <v>9.5887768729051195E-4</v>
      </c>
      <c r="AX61" s="23">
        <f t="shared" si="6"/>
        <v>3.1943286847339056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139.72919999999993</v>
      </c>
      <c r="BF61" s="14">
        <f t="shared" si="37"/>
        <v>36.234962028891381</v>
      </c>
      <c r="BG61" s="22">
        <f t="shared" si="7"/>
        <v>306.47091553365232</v>
      </c>
      <c r="BH61" s="62">
        <f t="shared" si="8"/>
        <v>573.54698481752223</v>
      </c>
      <c r="BI61" s="62">
        <f ca="1">AVERAGE(OFFSET($BH$3,0,0,'Données projet'!$E$11+1,1))-AVERAGE(OFFSET($H$3,0,0,'Données projet'!$E$11+1,1))</f>
        <v>343.31521637281833</v>
      </c>
      <c r="BJ61" s="62">
        <f t="shared" si="38"/>
        <v>179.67327892360623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62.838927986509994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2.6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9.5333333333333332</v>
      </c>
      <c r="H62" s="70">
        <f t="shared" si="1"/>
        <v>193.74666666666667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16.666666666666668</v>
      </c>
      <c r="N62" s="14">
        <f>IF('Données projet'!$A$36&gt;35,N61+M62-V61,IF(A62&lt;'Données projet'!$A$36,$K$205^A62,IF(A62='Données projet'!$A$36,'Données projet'!$B$36,N61+M62-V61)))</f>
        <v>349.33333333333326</v>
      </c>
      <c r="O62" s="14">
        <f>N62*VLOOKUP('Données projet'!$B$9,Paramètres!$A$1:$I$89,3,0)*VLOOKUP('Données projet'!$B$9,Paramètres!$A$1:$I$89,5,0)</f>
        <v>163.48799999999994</v>
      </c>
      <c r="P62" s="14">
        <f t="shared" si="33"/>
        <v>41.628253379180116</v>
      </c>
      <c r="Q62" s="22">
        <f t="shared" si="53"/>
        <v>357.24414130207191</v>
      </c>
      <c r="R62" s="62">
        <f t="shared" si="0"/>
        <v>624.77571541475186</v>
      </c>
      <c r="S62" s="62">
        <f ca="1">AVERAGE(OFFSET($R$3,0,0,'Données projet'!$E$9+1,1))-AVERAGE(OFFSET($H$3,0,0,'Données projet'!$E$9+1,1))</f>
        <v>347.22603428907496</v>
      </c>
      <c r="T62" s="62">
        <f t="shared" si="34"/>
        <v>258.98427374339872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0.26637767078862862</v>
      </c>
      <c r="AC62" s="24">
        <f t="shared" si="3"/>
        <v>0.26637767078862862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743.34062704921553</v>
      </c>
      <c r="AN62" s="62">
        <f ca="1">AVERAGE(OFFSET($AM$3,0,0,'Données projet'!$E$10+1,1))-AVERAGE(OFFSET($H$3,0,0,'Données projet'!$E$10+1,1))</f>
        <v>387.18736830550665</v>
      </c>
      <c r="AO62" s="62">
        <f t="shared" si="36"/>
        <v>312.32487363394125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3.1060469417409058</v>
      </c>
      <c r="AW62" s="23">
        <f>EXP(-LN(2)/2)*AW61+(1-EXP(-LN(2)/2))/(LN(2)/2)*AQ62*AT62*VLOOKUP('Données projet'!$B$10,Paramètres!$A$1:$I$89,3,0)*0.475*44/12</f>
        <v>6.7802891501159482E-4</v>
      </c>
      <c r="AX62" s="23">
        <f t="shared" si="6"/>
        <v>3.1067249706559172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145.40759999999992</v>
      </c>
      <c r="BF62" s="14">
        <f t="shared" si="37"/>
        <v>37.533065094701904</v>
      </c>
      <c r="BG62" s="22">
        <f t="shared" si="7"/>
        <v>318.62165837327228</v>
      </c>
      <c r="BH62" s="62">
        <f t="shared" si="8"/>
        <v>586.15323248595223</v>
      </c>
      <c r="BI62" s="62">
        <f ca="1">AVERAGE(OFFSET($BH$3,0,0,'Données projet'!$E$11+1,1))-AVERAGE(OFFSET($H$3,0,0,'Données projet'!$E$11+1,1))</f>
        <v>343.31521637281833</v>
      </c>
      <c r="BJ62" s="62">
        <f t="shared" si="38"/>
        <v>179.67327892360623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62.963156576185455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2.6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9.5333333333333332</v>
      </c>
      <c r="H63" s="70">
        <f t="shared" si="1"/>
        <v>193.74666666666667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16.666666666666668</v>
      </c>
      <c r="N63" s="14">
        <f>IF('Données projet'!$A$36&gt;35,N62+M63-V62,IF(A63&lt;'Données projet'!$A$36,$K$205^A63,IF(A63='Données projet'!$A$36,'Données projet'!$B$36,N62+M63-V62)))</f>
        <v>365.99999999999994</v>
      </c>
      <c r="O63" s="14">
        <f>N63*VLOOKUP('Données projet'!$B$9,Paramètres!$A$1:$I$89,3,0)*VLOOKUP('Données projet'!$B$9,Paramètres!$A$1:$I$89,5,0)</f>
        <v>171.28799999999995</v>
      </c>
      <c r="P63" s="14">
        <f t="shared" si="33"/>
        <v>43.378365895721338</v>
      </c>
      <c r="Q63" s="22">
        <f t="shared" si="53"/>
        <v>373.87725393504792</v>
      </c>
      <c r="R63" s="62">
        <f t="shared" si="0"/>
        <v>641.85643088611437</v>
      </c>
      <c r="S63" s="62">
        <f ca="1">AVERAGE(OFFSET($R$3,0,0,'Données projet'!$E$9+1,1))-AVERAGE(OFFSET($H$3,0,0,'Données projet'!$E$9+1,1))</f>
        <v>347.22603428907496</v>
      </c>
      <c r="T63" s="62">
        <f t="shared" si="34"/>
        <v>258.98427374339872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0.18835745737131701</v>
      </c>
      <c r="AC63" s="24">
        <f t="shared" si="3"/>
        <v>0.18835745737131701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764.85856120872893</v>
      </c>
      <c r="AN63" s="62">
        <f ca="1">AVERAGE(OFFSET($AM$3,0,0,'Données projet'!$E$10+1,1))-AVERAGE(OFFSET($H$3,0,0,'Données projet'!$E$10+1,1))</f>
        <v>387.18736830550665</v>
      </c>
      <c r="AO63" s="62">
        <f t="shared" si="36"/>
        <v>312.32487363394125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3.021111924779091</v>
      </c>
      <c r="AW63" s="23">
        <f>EXP(-LN(2)/2)*AW62+(1-EXP(-LN(2)/2))/(LN(2)/2)*AQ63*AT63*VLOOKUP('Données projet'!$B$10,Paramètres!$A$1:$I$89,3,0)*0.475*44/12</f>
        <v>4.7943884364525603E-4</v>
      </c>
      <c r="AX63" s="23">
        <f t="shared" si="6"/>
        <v>3.0215913636227363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151.08599999999993</v>
      </c>
      <c r="BF63" s="14">
        <f t="shared" si="37"/>
        <v>38.825279304404233</v>
      </c>
      <c r="BG63" s="22">
        <f t="shared" si="7"/>
        <v>330.76214478850392</v>
      </c>
      <c r="BH63" s="62">
        <f t="shared" si="8"/>
        <v>598.74132173957037</v>
      </c>
      <c r="BI63" s="62">
        <f ca="1">AVERAGE(OFFSET($BH$3,0,0,'Données projet'!$E$11+1,1))-AVERAGE(OFFSET($H$3,0,0,'Données projet'!$E$11+1,1))</f>
        <v>343.31521637281833</v>
      </c>
      <c r="BJ63" s="62">
        <f t="shared" si="38"/>
        <v>179.67327892360623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63.08523007756358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2.6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9.5333333333333332</v>
      </c>
      <c r="H64" s="70">
        <f t="shared" si="1"/>
        <v>193.74666666666667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16.666666666666668</v>
      </c>
      <c r="N64" s="14">
        <f>IF('Données projet'!$A$36&gt;35,N63+M64-V63,IF(A64&lt;'Données projet'!$A$36,$K$205^A64,IF(A64='Données projet'!$A$36,'Données projet'!$B$36,N63+M64-V63)))</f>
        <v>382.66666666666663</v>
      </c>
      <c r="O64" s="14">
        <f>N64*VLOOKUP('Données projet'!$B$9,Paramètres!$A$1:$I$89,3,0)*VLOOKUP('Données projet'!$B$9,Paramètres!$A$1:$I$89,5,0)</f>
        <v>179.08799999999999</v>
      </c>
      <c r="P64" s="14">
        <f t="shared" si="33"/>
        <v>45.119223023956835</v>
      </c>
      <c r="Q64" s="22">
        <f t="shared" si="53"/>
        <v>390.49424676672476</v>
      </c>
      <c r="R64" s="62">
        <f t="shared" si="0"/>
        <v>658.91326164762165</v>
      </c>
      <c r="S64" s="62">
        <f ca="1">AVERAGE(OFFSET($R$3,0,0,'Données projet'!$E$9+1,1))-AVERAGE(OFFSET($H$3,0,0,'Données projet'!$E$9+1,1))</f>
        <v>347.22603428907496</v>
      </c>
      <c r="T64" s="62">
        <f t="shared" si="34"/>
        <v>258.98427374339872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0.13318883539431431</v>
      </c>
      <c r="AC64" s="24">
        <f t="shared" si="3"/>
        <v>0.13318883539431431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786.34981121527676</v>
      </c>
      <c r="AN64" s="62">
        <f ca="1">AVERAGE(OFFSET($AM$3,0,0,'Données projet'!$E$10+1,1))-AVERAGE(OFFSET($H$3,0,0,'Données projet'!$E$10+1,1))</f>
        <v>387.18736830550665</v>
      </c>
      <c r="AO64" s="62">
        <f t="shared" si="36"/>
        <v>312.32487363394125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2.9384994603226353</v>
      </c>
      <c r="AW64" s="23">
        <f>EXP(-LN(2)/2)*AW63+(1-EXP(-LN(2)/2))/(LN(2)/2)*AQ64*AT64*VLOOKUP('Données projet'!$B$10,Paramètres!$A$1:$I$89,3,0)*0.475*44/12</f>
        <v>3.3901445750579746E-4</v>
      </c>
      <c r="AX64" s="23">
        <f t="shared" si="6"/>
        <v>2.938838474780141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142.16279999999992</v>
      </c>
      <c r="BF64" s="14">
        <f t="shared" si="37"/>
        <v>36.792029666383577</v>
      </c>
      <c r="BG64" s="22">
        <f t="shared" si="7"/>
        <v>311.67966166895121</v>
      </c>
      <c r="BH64" s="62">
        <f t="shared" si="8"/>
        <v>580.09867654984805</v>
      </c>
      <c r="BI64" s="62">
        <f ca="1">AVERAGE(OFFSET($BH$3,0,0,'Données projet'!$E$11+1,1))-AVERAGE(OFFSET($H$3,0,0,'Données projet'!$E$11+1,1))</f>
        <v>343.31521637281833</v>
      </c>
      <c r="BJ64" s="62">
        <f t="shared" si="38"/>
        <v>179.67327892360623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63.20518587660824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2.6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9.5333333333333332</v>
      </c>
      <c r="H65" s="70">
        <f t="shared" si="1"/>
        <v>193.74666666666667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16.666666666666668</v>
      </c>
      <c r="N65" s="14">
        <f>IF('Données projet'!$A$36&gt;35,N64+M65-V64,IF(A65&lt;'Données projet'!$A$36,$K$205^A65,IF(A65='Données projet'!$A$36,'Données projet'!$B$36,N64+M65-V64)))</f>
        <v>399.33333333333331</v>
      </c>
      <c r="O65" s="14">
        <f>N65*VLOOKUP('Données projet'!$B$9,Paramètres!$A$1:$I$89,3,0)*VLOOKUP('Données projet'!$B$9,Paramètres!$A$1:$I$89,5,0)</f>
        <v>186.88800000000001</v>
      </c>
      <c r="P65" s="14">
        <f t="shared" si="33"/>
        <v>46.851273946133198</v>
      </c>
      <c r="Q65" s="22">
        <f t="shared" si="53"/>
        <v>407.09590212284866</v>
      </c>
      <c r="R65" s="62">
        <f t="shared" si="0"/>
        <v>675.94712472882384</v>
      </c>
      <c r="S65" s="62">
        <f ca="1">AVERAGE(OFFSET($R$3,0,0,'Données projet'!$E$9+1,1))-AVERAGE(OFFSET($H$3,0,0,'Données projet'!$E$9+1,1))</f>
        <v>347.22603428907496</v>
      </c>
      <c r="T65" s="62">
        <f t="shared" si="34"/>
        <v>258.98427374339872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9.4178728685658505E-2</v>
      </c>
      <c r="AC65" s="24">
        <f t="shared" si="3"/>
        <v>9.4178728685658505E-2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807.81538830071713</v>
      </c>
      <c r="AN65" s="62">
        <f ca="1">AVERAGE(OFFSET($AM$3,0,0,'Données projet'!$E$10+1,1))-AVERAGE(OFFSET($H$3,0,0,'Données projet'!$E$10+1,1))</f>
        <v>387.18736830550665</v>
      </c>
      <c r="AO65" s="62">
        <f t="shared" si="36"/>
        <v>312.32487363394125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2.8581460380511423</v>
      </c>
      <c r="AW65" s="23">
        <f>EXP(-LN(2)/2)*AW64+(1-EXP(-LN(2)/2))/(LN(2)/2)*AQ65*AT65*VLOOKUP('Données projet'!$B$10,Paramètres!$A$1:$I$89,3,0)*0.475*44/12</f>
        <v>2.3971942182262807E-4</v>
      </c>
      <c r="AX65" s="23">
        <f t="shared" si="6"/>
        <v>2.858385757472965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147.43559999999991</v>
      </c>
      <c r="BF65" s="14">
        <f t="shared" si="37"/>
        <v>37.995232948340991</v>
      </c>
      <c r="BG65" s="22">
        <f t="shared" si="7"/>
        <v>322.95870071836038</v>
      </c>
      <c r="BH65" s="62">
        <f t="shared" si="8"/>
        <v>591.8099233243355</v>
      </c>
      <c r="BI65" s="62">
        <f ca="1">AVERAGE(OFFSET($BH$3,0,0,'Données projet'!$E$11+1,1))-AVERAGE(OFFSET($H$3,0,0,'Données projet'!$E$11+1,1))</f>
        <v>343.31521637281833</v>
      </c>
      <c r="BJ65" s="62">
        <f t="shared" si="38"/>
        <v>179.67327892360623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63.323060710720476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2.6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9.5333333333333332</v>
      </c>
      <c r="H66" s="70">
        <f t="shared" si="1"/>
        <v>193.74666666666667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</v>
      </c>
      <c r="L66" s="13">
        <f>VLOOKUP(A66,'Données projet'!$A$35:$I$55,9,0)</f>
        <v>16.666666666666668</v>
      </c>
      <c r="M66" s="13">
        <f t="array" ref="M66">INDEX(L:L,MIN(IF(ISNUMBER(L66:L262),ROW(L66:L262),"")))</f>
        <v>16.666666666666668</v>
      </c>
      <c r="N66" s="14">
        <f>IF('Données projet'!$A$36&gt;35,N65+M66-V65,IF(A66&lt;'Données projet'!$A$36,$K$205^A66,IF(A66='Données projet'!$A$36,'Données projet'!$B$36,N65+M66-V65)))</f>
        <v>416</v>
      </c>
      <c r="O66" s="14">
        <f>N66*VLOOKUP('Données projet'!$B$9,Paramètres!$A$1:$I$89,3,0)*VLOOKUP('Données projet'!$B$9,Paramètres!$A$1:$I$89,5,0)</f>
        <v>194.68799999999999</v>
      </c>
      <c r="P66" s="14">
        <f t="shared" si="33"/>
        <v>48.574928228914978</v>
      </c>
      <c r="Q66" s="22">
        <f t="shared" si="53"/>
        <v>423.68293333202695</v>
      </c>
      <c r="R66" s="62">
        <f t="shared" si="0"/>
        <v>692.95886582532182</v>
      </c>
      <c r="S66" s="62">
        <f ca="1">AVERAGE(OFFSET($R$3,0,0,'Données projet'!$E$9+1,1))-AVERAGE(OFFSET($H$3,0,0,'Données projet'!$E$9+1,1))</f>
        <v>347.22603428907496</v>
      </c>
      <c r="T66" s="62">
        <f t="shared" si="34"/>
        <v>258.98427374339872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6.6594417697157154E-2</v>
      </c>
      <c r="AC66" s="24">
        <f t="shared" si="3"/>
        <v>6.6594417697157154E-2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829.2562274242639</v>
      </c>
      <c r="AN66" s="62">
        <f ca="1">AVERAGE(OFFSET($AM$3,0,0,'Données projet'!$E$10+1,1))-AVERAGE(OFFSET($H$3,0,0,'Données projet'!$E$10+1,1))</f>
        <v>387.18736830550665</v>
      </c>
      <c r="AO66" s="62">
        <f t="shared" si="36"/>
        <v>312.32487363394125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2.7799898843372661</v>
      </c>
      <c r="AW66" s="23">
        <f>EXP(-LN(2)/2)*AW65+(1-EXP(-LN(2)/2))/(LN(2)/2)*AQ66*AT66*VLOOKUP('Données projet'!$B$10,Paramètres!$A$1:$I$89,3,0)*0.475*44/12</f>
        <v>1.6950722875289876E-4</v>
      </c>
      <c r="AX66" s="23">
        <f t="shared" si="6"/>
        <v>2.780159391566019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152.7083999999999</v>
      </c>
      <c r="BF66" s="14">
        <f t="shared" si="37"/>
        <v>39.193436747373994</v>
      </c>
      <c r="BG66" s="22">
        <f t="shared" si="7"/>
        <v>334.22903233500955</v>
      </c>
      <c r="BH66" s="62">
        <f t="shared" si="8"/>
        <v>603.50496482830442</v>
      </c>
      <c r="BI66" s="62">
        <f ca="1">AVERAGE(OFFSET($BH$3,0,0,'Données projet'!$E$11+1,1))-AVERAGE(OFFSET($H$3,0,0,'Données projet'!$E$11+1,1))</f>
        <v>343.31521637281833</v>
      </c>
      <c r="BJ66" s="62">
        <f t="shared" si="38"/>
        <v>179.67327892360623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63.438890679989512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2.6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9.5333333333333332</v>
      </c>
      <c r="H67" s="70">
        <f t="shared" si="1"/>
        <v>193.74666666666667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</v>
      </c>
      <c r="L67" s="13">
        <f>VLOOKUP(A67,'Données projet'!$A$35:$I$55,9,0)</f>
        <v>16</v>
      </c>
      <c r="M67" s="13">
        <f t="array" ref="M67">INDEX(L:L,MIN(IF(ISNUMBER(L67:L263),ROW(L67:L263),"")))</f>
        <v>16</v>
      </c>
      <c r="N67" s="14">
        <f>IF('Données projet'!$A$36&gt;35,N66+M67-V66,IF(A67&lt;'Données projet'!$A$36,$K$205^A67,IF(A67='Données projet'!$A$36,'Données projet'!$B$36,N66+M67-V66)))</f>
        <v>353</v>
      </c>
      <c r="O67" s="14">
        <f>N67*VLOOKUP('Données projet'!$B$9,Paramètres!$A$1:$I$89,3,0)*VLOOKUP('Données projet'!$B$9,Paramètres!$A$1:$I$89,5,0)</f>
        <v>165.20400000000001</v>
      </c>
      <c r="P67" s="14">
        <f t="shared" si="33"/>
        <v>42.01409666579589</v>
      </c>
      <c r="Q67" s="22">
        <f t="shared" ref="Q67:Q98" si="54">(O67+P67)*0.475*44/12</f>
        <v>360.90485169292782</v>
      </c>
      <c r="R67" s="62">
        <f t="shared" ref="R67:R130" si="55">Q67+(I67+J67)*44/12</f>
        <v>630.59812630650651</v>
      </c>
      <c r="S67" s="62">
        <f ca="1">AVERAGE(OFFSET($R$3,0,0,'Données projet'!$E$9+1,1))-AVERAGE(OFFSET($H$3,0,0,'Données projet'!$E$9+1,1))</f>
        <v>347.22603428907496</v>
      </c>
      <c r="T67" s="62">
        <f t="shared" si="34"/>
        <v>258.98427374339872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4.7089364342829253E-2</v>
      </c>
      <c r="AC67" s="24">
        <f t="shared" si="3"/>
        <v>4.7089364342829253E-2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850.67319614639609</v>
      </c>
      <c r="AN67" s="62">
        <f ca="1">AVERAGE(OFFSET($AM$3,0,0,'Données projet'!$E$10+1,1))-AVERAGE(OFFSET($H$3,0,0,'Données projet'!$E$10+1,1))</f>
        <v>387.18736830550665</v>
      </c>
      <c r="AO67" s="62">
        <f t="shared" si="36"/>
        <v>312.32487363394125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2.7039709147567494</v>
      </c>
      <c r="AW67" s="23">
        <f>EXP(-LN(2)/2)*AW66+(1-EXP(-LN(2)/2))/(LN(2)/2)*AQ67*AT67*VLOOKUP('Données projet'!$B$10,Paramètres!$A$1:$I$89,3,0)*0.475*44/12</f>
        <v>1.1985971091131405E-4</v>
      </c>
      <c r="AX67" s="23">
        <f t="shared" si="6"/>
        <v>2.7040907744676606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157.98119999999989</v>
      </c>
      <c r="BF67" s="14">
        <f t="shared" si="37"/>
        <v>40.386833472870542</v>
      </c>
      <c r="BG67" s="22">
        <f t="shared" si="7"/>
        <v>345.49099163191596</v>
      </c>
      <c r="BH67" s="62">
        <f t="shared" si="8"/>
        <v>615.18426624549465</v>
      </c>
      <c r="BI67" s="62">
        <f ca="1">AVERAGE(OFFSET($BH$3,0,0,'Données projet'!$E$11+1,1))-AVERAGE(OFFSET($H$3,0,0,'Données projet'!$E$11+1,1))</f>
        <v>343.31521637281833</v>
      </c>
      <c r="BJ67" s="62">
        <f t="shared" si="38"/>
        <v>179.67327892360623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63.552711258248742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2.6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9.5333333333333332</v>
      </c>
      <c r="H68" s="70">
        <f t="shared" ref="H68:H131" si="56">(B68+E68+F68)*44/12+(C68+D68)*0.475*44/12</f>
        <v>193.74666666666667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16.142857142857142</v>
      </c>
      <c r="N68" s="14">
        <f>IF('Données projet'!$A$36&gt;35,N67+M68-V67,IF(A68&lt;'Données projet'!$A$36,$K$205^A68,IF(A68='Données projet'!$A$36,'Données projet'!$B$36,N67+M68-V67)))</f>
        <v>369.14285714285717</v>
      </c>
      <c r="O68" s="14">
        <f>N68*VLOOKUP('Données projet'!$B$9,Paramètres!$A$1:$I$89,3,0)*VLOOKUP('Données projet'!$B$9,Paramètres!$A$1:$I$89,5,0)</f>
        <v>172.75885714285715</v>
      </c>
      <c r="P68" s="14">
        <f t="shared" si="33"/>
        <v>43.707335703690283</v>
      </c>
      <c r="Q68" s="22">
        <f t="shared" si="54"/>
        <v>377.01195254107012</v>
      </c>
      <c r="R68" s="62">
        <f t="shared" si="55"/>
        <v>647.11532932218302</v>
      </c>
      <c r="S68" s="62">
        <f ca="1">AVERAGE(OFFSET($R$3,0,0,'Données projet'!$E$9+1,1))-AVERAGE(OFFSET($H$3,0,0,'Données projet'!$E$9+1,1))</f>
        <v>347.22603428907496</v>
      </c>
      <c r="T68" s="62">
        <f t="shared" si="34"/>
        <v>258.98427374339872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3.3297208848578577E-2</v>
      </c>
      <c r="AC68" s="24">
        <f t="shared" ref="AC68:AC131" si="57">SUM(Z68:AB68)</f>
        <v>3.3297208848578577E-2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872.06710215925182</v>
      </c>
      <c r="AN68" s="62">
        <f ca="1">AVERAGE(OFFSET($AM$3,0,0,'Données projet'!$E$10+1,1))-AVERAGE(OFFSET($H$3,0,0,'Données projet'!$E$10+1,1))</f>
        <v>387.18736830550665</v>
      </c>
      <c r="AO68" s="62">
        <f t="shared" si="36"/>
        <v>312.32487363394125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2.6300306878970758</v>
      </c>
      <c r="AW68" s="23">
        <f>EXP(-LN(2)/2)*AW67+(1-EXP(-LN(2)/2))/(LN(2)/2)*AQ68*AT68*VLOOKUP('Données projet'!$B$10,Paramètres!$A$1:$I$89,3,0)*0.475*44/12</f>
        <v>8.4753614376449393E-5</v>
      </c>
      <c r="AX68" s="23">
        <f t="shared" ref="AX68:AX131" si="60">SUM(AU68:AW68)</f>
        <v>2.6301154415114523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163.25399999999985</v>
      </c>
      <c r="BF68" s="14">
        <f t="shared" si="37"/>
        <v>41.575601961656879</v>
      </c>
      <c r="BG68" s="22">
        <f t="shared" ref="BG68:BG131" si="61">(BE68+BF68)*0.475*44/12</f>
        <v>356.74489008321876</v>
      </c>
      <c r="BH68" s="62">
        <f t="shared" ref="BH68:BH131" si="62">BG68+(AY68+AZ68)*44/12</f>
        <v>626.84826686433166</v>
      </c>
      <c r="BI68" s="62">
        <f ca="1">AVERAGE(OFFSET($BH$3,0,0,'Données projet'!$E$11+1,1))-AVERAGE(OFFSET($H$3,0,0,'Données projet'!$E$11+1,1))</f>
        <v>343.31521637281833</v>
      </c>
      <c r="BJ68" s="62">
        <f t="shared" si="38"/>
        <v>179.67327892360623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63.664557303939873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2.6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9.5333333333333332</v>
      </c>
      <c r="H69" s="70">
        <f t="shared" si="56"/>
        <v>193.74666666666667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16.142857142857142</v>
      </c>
      <c r="N69" s="14">
        <f>IF('Données projet'!$A$36&gt;35,N68+M69-V68,IF(A69&lt;'Données projet'!$A$36,$K$205^A69,IF(A69='Données projet'!$A$36,'Données projet'!$B$36,N68+M69-V68)))</f>
        <v>385.28571428571433</v>
      </c>
      <c r="O69" s="14">
        <f>N69*VLOOKUP('Données projet'!$B$9,Paramètres!$A$1:$I$89,3,0)*VLOOKUP('Données projet'!$B$9,Paramètres!$A$1:$I$89,5,0)</f>
        <v>180.3137142857143</v>
      </c>
      <c r="P69" s="14">
        <f t="shared" ref="P69:P132" si="87">EXP(-1.0587+0.8836*LN(O69)+0.284)</f>
        <v>45.391974740208404</v>
      </c>
      <c r="Q69" s="22">
        <f t="shared" si="54"/>
        <v>393.10407505348206</v>
      </c>
      <c r="R69" s="62">
        <f t="shared" si="55"/>
        <v>663.61043964637338</v>
      </c>
      <c r="S69" s="62">
        <f ca="1">AVERAGE(OFFSET($R$3,0,0,'Données projet'!$E$9+1,1))-AVERAGE(OFFSET($H$3,0,0,'Données projet'!$E$9+1,1))</f>
        <v>347.22603428907496</v>
      </c>
      <c r="T69" s="62">
        <f t="shared" ref="T69:T132" si="88">$T$3</f>
        <v>258.98427374339872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2.3544682171414626E-2</v>
      </c>
      <c r="AC69" s="24">
        <f t="shared" si="57"/>
        <v>2.3544682171414626E-2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893.43869971823938</v>
      </c>
      <c r="AN69" s="62">
        <f ca="1">AVERAGE(OFFSET($AM$3,0,0,'Données projet'!$E$10+1,1))-AVERAGE(OFFSET($H$3,0,0,'Données projet'!$E$10+1,1))</f>
        <v>387.18736830550665</v>
      </c>
      <c r="AO69" s="62">
        <f t="shared" ref="AO69:AO132" si="90">$AO$3</f>
        <v>312.32487363394125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2.5581123604292273</v>
      </c>
      <c r="AW69" s="23">
        <f>EXP(-LN(2)/2)*AW68+(1-EXP(-LN(2)/2))/(LN(2)/2)*AQ69*AT69*VLOOKUP('Données projet'!$B$10,Paramètres!$A$1:$I$89,3,0)*0.475*44/12</f>
        <v>5.9929855455657031E-5</v>
      </c>
      <c r="AX69" s="23">
        <f t="shared" si="60"/>
        <v>2.5581722902846828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154.33079999999987</v>
      </c>
      <c r="BF69" s="14">
        <f t="shared" ref="BF69:BF132" si="91">EXP(-1.0587+0.8836*LN(BE69)+0.284)</f>
        <v>39.561139179540312</v>
      </c>
      <c r="BG69" s="22">
        <f t="shared" si="61"/>
        <v>337.69512740436579</v>
      </c>
      <c r="BH69" s="62">
        <f t="shared" si="62"/>
        <v>608.20149199725711</v>
      </c>
      <c r="BI69" s="62">
        <f ca="1">AVERAGE(OFFSET($BH$3,0,0,'Données projet'!$E$11+1,1))-AVERAGE(OFFSET($H$3,0,0,'Données projet'!$E$11+1,1))</f>
        <v>343.31521637281833</v>
      </c>
      <c r="BJ69" s="62">
        <f t="shared" ref="BJ69:BJ132" si="92">$BJ$3</f>
        <v>179.67327892360623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63.774463070788556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2.6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9.5333333333333332</v>
      </c>
      <c r="H70" s="70">
        <f t="shared" si="56"/>
        <v>193.74666666666667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16.142857142857142</v>
      </c>
      <c r="N70" s="14">
        <f>IF('Données projet'!$A$36&gt;35,N69+M70-V69,IF(A70&lt;'Données projet'!$A$36,$K$205^A70,IF(A70='Données projet'!$A$36,'Données projet'!$B$36,N69+M70-V69)))</f>
        <v>401.4285714285715</v>
      </c>
      <c r="O70" s="14">
        <f>N70*VLOOKUP('Données projet'!$B$9,Paramètres!$A$1:$I$89,3,0)*VLOOKUP('Données projet'!$B$9,Paramètres!$A$1:$I$89,5,0)</f>
        <v>187.86857142857147</v>
      </c>
      <c r="P70" s="14">
        <f t="shared" si="87"/>
        <v>47.068415303981318</v>
      </c>
      <c r="Q70" s="22">
        <f t="shared" si="54"/>
        <v>409.18191855919605</v>
      </c>
      <c r="R70" s="62">
        <f t="shared" si="55"/>
        <v>680.08428002627738</v>
      </c>
      <c r="S70" s="62">
        <f ca="1">AVERAGE(OFFSET($R$3,0,0,'Données projet'!$E$9+1,1))-AVERAGE(OFFSET($H$3,0,0,'Données projet'!$E$9+1,1))</f>
        <v>347.22603428907496</v>
      </c>
      <c r="T70" s="62">
        <f t="shared" si="88"/>
        <v>258.98427374339872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1.6648604424289289E-2</v>
      </c>
      <c r="AC70" s="24">
        <f t="shared" si="57"/>
        <v>1.6648604424289289E-2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828.03934952058626</v>
      </c>
      <c r="AN70" s="62">
        <f ca="1">AVERAGE(OFFSET($AM$3,0,0,'Données projet'!$E$10+1,1))-AVERAGE(OFFSET($H$3,0,0,'Données projet'!$E$10+1,1))</f>
        <v>387.18736830550665</v>
      </c>
      <c r="AO70" s="62">
        <f t="shared" si="90"/>
        <v>312.32487363394125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2.4881606434080075</v>
      </c>
      <c r="AW70" s="23">
        <f>EXP(-LN(2)/2)*AW69+(1-EXP(-LN(2)/2))/(LN(2)/2)*AQ70*AT70*VLOOKUP('Données projet'!$B$10,Paramètres!$A$1:$I$89,3,0)*0.475*44/12</f>
        <v>4.2376807188224703E-5</v>
      </c>
      <c r="AX70" s="23">
        <f t="shared" si="60"/>
        <v>2.4882030202151957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159.60359999999986</v>
      </c>
      <c r="BF70" s="14">
        <f t="shared" si="91"/>
        <v>40.753093376363118</v>
      </c>
      <c r="BG70" s="22">
        <f t="shared" si="61"/>
        <v>348.95457429716549</v>
      </c>
      <c r="BH70" s="62">
        <f t="shared" si="62"/>
        <v>619.85693576424683</v>
      </c>
      <c r="BI70" s="62">
        <f ca="1">AVERAGE(OFFSET($BH$3,0,0,'Données projet'!$E$11+1,1))-AVERAGE(OFFSET($H$3,0,0,'Données projet'!$E$11+1,1))</f>
        <v>343.31521637281833</v>
      </c>
      <c r="BJ70" s="62">
        <f t="shared" si="92"/>
        <v>179.67327892360623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63.882462218294904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2.6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9.5333333333333332</v>
      </c>
      <c r="H71" s="70">
        <f t="shared" si="56"/>
        <v>193.74666666666667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16.142857142857142</v>
      </c>
      <c r="N71" s="14">
        <f>IF('Données projet'!$A$36&gt;35,N70+M71-V70,IF(A71&lt;'Données projet'!$A$36,$K$205^A71,IF(A71='Données projet'!$A$36,'Données projet'!$B$36,N70+M71-V70)))</f>
        <v>417.57142857142867</v>
      </c>
      <c r="O71" s="14">
        <f>N71*VLOOKUP('Données projet'!$B$9,Paramètres!$A$1:$I$89,3,0)*VLOOKUP('Données projet'!$B$9,Paramètres!$A$1:$I$89,5,0)</f>
        <v>195.42342857142864</v>
      </c>
      <c r="P71" s="14">
        <f t="shared" si="87"/>
        <v>48.737024802067147</v>
      </c>
      <c r="Q71" s="22">
        <f t="shared" si="54"/>
        <v>425.24612295883844</v>
      </c>
      <c r="R71" s="62">
        <f t="shared" si="55"/>
        <v>696.53761163965896</v>
      </c>
      <c r="S71" s="62">
        <f ca="1">AVERAGE(OFFSET($R$3,0,0,'Données projet'!$E$9+1,1))-AVERAGE(OFFSET($H$3,0,0,'Données projet'!$E$9+1,1))</f>
        <v>347.22603428907496</v>
      </c>
      <c r="T71" s="62">
        <f t="shared" si="88"/>
        <v>258.98427374339872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1.1772341085707313E-2</v>
      </c>
      <c r="AC71" s="24">
        <f t="shared" si="57"/>
        <v>1.1772341085707313E-2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844.69445678922239</v>
      </c>
      <c r="AN71" s="62">
        <f ca="1">AVERAGE(OFFSET($AM$3,0,0,'Données projet'!$E$10+1,1))-AVERAGE(OFFSET($H$3,0,0,'Données projet'!$E$10+1,1))</f>
        <v>387.18736830550665</v>
      </c>
      <c r="AO71" s="62">
        <f t="shared" si="90"/>
        <v>312.32487363394125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2.4201217597673339</v>
      </c>
      <c r="AW71" s="23">
        <f>EXP(-LN(2)/2)*AW70+(1-EXP(-LN(2)/2))/(LN(2)/2)*AQ71*AT71*VLOOKUP('Données projet'!$B$10,Paramètres!$A$1:$I$89,3,0)*0.475*44/12</f>
        <v>2.9964927727828522E-5</v>
      </c>
      <c r="AX71" s="23">
        <f t="shared" si="60"/>
        <v>2.4201517246950619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164.87639999999982</v>
      </c>
      <c r="BF71" s="14">
        <f t="shared" si="91"/>
        <v>41.94047184875933</v>
      </c>
      <c r="BG71" s="22">
        <f t="shared" si="61"/>
        <v>360.20605180325543</v>
      </c>
      <c r="BH71" s="62">
        <f t="shared" si="62"/>
        <v>631.4975404840759</v>
      </c>
      <c r="BI71" s="62">
        <f ca="1">AVERAGE(OFFSET($BH$3,0,0,'Données projet'!$E$11+1,1))-AVERAGE(OFFSET($H$3,0,0,'Données projet'!$E$11+1,1))</f>
        <v>343.31521637281833</v>
      </c>
      <c r="BJ71" s="62">
        <f t="shared" si="92"/>
        <v>179.67327892360623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63.988587822041936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2.6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9.5333333333333332</v>
      </c>
      <c r="H72" s="70">
        <f t="shared" si="56"/>
        <v>193.74666666666667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16.142857142857142</v>
      </c>
      <c r="N72" s="14">
        <f>IF('Données projet'!$A$36&gt;35,N71+M72-V71,IF(A72&lt;'Données projet'!$A$36,$K$205^A72,IF(A72='Données projet'!$A$36,'Données projet'!$B$36,N71+M72-V71)))</f>
        <v>433.71428571428584</v>
      </c>
      <c r="O72" s="14">
        <f>N72*VLOOKUP('Données projet'!$B$9,Paramètres!$A$1:$I$89,3,0)*VLOOKUP('Données projet'!$B$9,Paramètres!$A$1:$I$89,5,0)</f>
        <v>202.97828571428576</v>
      </c>
      <c r="P72" s="14">
        <f t="shared" si="87"/>
        <v>50.398140625785402</v>
      </c>
      <c r="Q72" s="22">
        <f t="shared" si="54"/>
        <v>441.29727587562394</v>
      </c>
      <c r="R72" s="62">
        <f t="shared" si="55"/>
        <v>712.97114128298313</v>
      </c>
      <c r="S72" s="62">
        <f ca="1">AVERAGE(OFFSET($R$3,0,0,'Données projet'!$E$9+1,1))-AVERAGE(OFFSET($H$3,0,0,'Données projet'!$E$9+1,1))</f>
        <v>347.22603428907496</v>
      </c>
      <c r="T72" s="62">
        <f t="shared" si="88"/>
        <v>258.98427374339872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8.3243022121446443E-3</v>
      </c>
      <c r="AC72" s="24">
        <f t="shared" si="57"/>
        <v>8.3243022121446443E-3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861.33318148876117</v>
      </c>
      <c r="AN72" s="62">
        <f ca="1">AVERAGE(OFFSET($AM$3,0,0,'Données projet'!$E$10+1,1))-AVERAGE(OFFSET($H$3,0,0,'Données projet'!$E$10+1,1))</f>
        <v>387.18736830550665</v>
      </c>
      <c r="AO72" s="62">
        <f t="shared" si="90"/>
        <v>312.32487363394125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2.3539434029778241</v>
      </c>
      <c r="AW72" s="23">
        <f>EXP(-LN(2)/2)*AW71+(1-EXP(-LN(2)/2))/(LN(2)/2)*AQ72*AT72*VLOOKUP('Données projet'!$B$10,Paramètres!$A$1:$I$89,3,0)*0.475*44/12</f>
        <v>2.1188403594112355E-5</v>
      </c>
      <c r="AX72" s="23">
        <f t="shared" si="60"/>
        <v>2.3539645913814184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170.14919999999981</v>
      </c>
      <c r="BF72" s="14">
        <f t="shared" si="91"/>
        <v>43.123437715785229</v>
      </c>
      <c r="BG72" s="22">
        <f t="shared" si="61"/>
        <v>371.44984402165892</v>
      </c>
      <c r="BH72" s="62">
        <f t="shared" si="62"/>
        <v>643.12370942901816</v>
      </c>
      <c r="BI72" s="62">
        <f ca="1">AVERAGE(OFFSET($BH$3,0,0,'Données projet'!$E$11+1,1))-AVERAGE(OFFSET($H$3,0,0,'Données projet'!$E$11+1,1))</f>
        <v>343.31521637281833</v>
      </c>
      <c r="BJ72" s="62">
        <f t="shared" si="92"/>
        <v>179.67327892360623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64.092872383825252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2.6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9.5333333333333332</v>
      </c>
      <c r="H73" s="70">
        <f t="shared" si="56"/>
        <v>193.74666666666667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16.142857142857142</v>
      </c>
      <c r="N73" s="14">
        <f>IF('Données projet'!$A$36&gt;35,N72+M73-V72,IF(A73&lt;'Données projet'!$A$36,$K$205^A73,IF(A73='Données projet'!$A$36,'Données projet'!$B$36,N72+M73-V72)))</f>
        <v>449.857142857143</v>
      </c>
      <c r="O73" s="14">
        <f>N73*VLOOKUP('Données projet'!$B$9,Paramètres!$A$1:$I$89,3,0)*VLOOKUP('Données projet'!$B$9,Paramètres!$A$1:$I$89,5,0)</f>
        <v>210.53314285714293</v>
      </c>
      <c r="P73" s="14">
        <f t="shared" si="87"/>
        <v>52.052073628089957</v>
      </c>
      <c r="Q73" s="22">
        <f t="shared" si="54"/>
        <v>457.33591871178055</v>
      </c>
      <c r="R73" s="62">
        <f t="shared" si="55"/>
        <v>729.38552746433948</v>
      </c>
      <c r="S73" s="62">
        <f ca="1">AVERAGE(OFFSET($R$3,0,0,'Données projet'!$E$9+1,1))-AVERAGE(OFFSET($H$3,0,0,'Données projet'!$E$9+1,1))</f>
        <v>347.22603428907496</v>
      </c>
      <c r="T73" s="62">
        <f t="shared" si="88"/>
        <v>258.98427374339872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5.8861705428536566E-3</v>
      </c>
      <c r="AC73" s="24">
        <f t="shared" si="57"/>
        <v>5.8861705428536566E-3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877.95594350819078</v>
      </c>
      <c r="AN73" s="62">
        <f ca="1">AVERAGE(OFFSET($AM$3,0,0,'Données projet'!$E$10+1,1))-AVERAGE(OFFSET($H$3,0,0,'Données projet'!$E$10+1,1))</f>
        <v>387.18736830550665</v>
      </c>
      <c r="AO73" s="62">
        <f t="shared" si="90"/>
        <v>312.32487363394125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2.289574696834892</v>
      </c>
      <c r="AW73" s="23">
        <f>EXP(-LN(2)/2)*AW72+(1-EXP(-LN(2)/2))/(LN(2)/2)*AQ73*AT73*VLOOKUP('Données projet'!$B$10,Paramètres!$A$1:$I$89,3,0)*0.475*44/12</f>
        <v>1.4982463863914263E-5</v>
      </c>
      <c r="AX73" s="23">
        <f t="shared" si="60"/>
        <v>2.2895896792987558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175.4219999999998</v>
      </c>
      <c r="BF73" s="14">
        <f t="shared" si="91"/>
        <v>44.302143412304694</v>
      </c>
      <c r="BG73" s="22">
        <f t="shared" si="61"/>
        <v>382.68621644309695</v>
      </c>
      <c r="BH73" s="62">
        <f t="shared" si="62"/>
        <v>654.73582519565593</v>
      </c>
      <c r="BI73" s="62">
        <f ca="1">AVERAGE(OFFSET($BH$3,0,0,'Données projet'!$E$11+1,1))-AVERAGE(OFFSET($H$3,0,0,'Données projet'!$E$11+1,1))</f>
        <v>343.31521637281833</v>
      </c>
      <c r="BJ73" s="62">
        <f t="shared" si="92"/>
        <v>179.67327892360623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64.195347841607003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2.6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9.5333333333333332</v>
      </c>
      <c r="H74" s="70">
        <f t="shared" si="56"/>
        <v>193.74666666666667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466</v>
      </c>
      <c r="L74" s="13">
        <f>VLOOKUP(A74,'Données projet'!$A$35:$I$55,9,0)</f>
        <v>16.142857142857142</v>
      </c>
      <c r="M74" s="13">
        <f t="array" ref="M74">INDEX(L:L,MIN(IF(ISNUMBER(L74:L270),ROW(L74:L270),"")))</f>
        <v>16.142857142857142</v>
      </c>
      <c r="N74" s="14">
        <f>IF('Données projet'!$A$36&gt;35,N73+M74-V73,IF(A74&lt;'Données projet'!$A$36,$K$205^A74,IF(A74='Données projet'!$A$36,'Données projet'!$B$36,N73+M74-V73)))</f>
        <v>466.00000000000017</v>
      </c>
      <c r="O74" s="14">
        <f>N74*VLOOKUP('Données projet'!$B$9,Paramètres!$A$1:$I$89,3,0)*VLOOKUP('Données projet'!$B$9,Paramètres!$A$1:$I$89,5,0)</f>
        <v>218.08800000000008</v>
      </c>
      <c r="P74" s="14">
        <f t="shared" si="87"/>
        <v>53.699111087780629</v>
      </c>
      <c r="Q74" s="22">
        <f t="shared" si="54"/>
        <v>473.36255181121805</v>
      </c>
      <c r="R74" s="62">
        <f t="shared" si="55"/>
        <v>745.78138560197385</v>
      </c>
      <c r="S74" s="62">
        <f ca="1">AVERAGE(OFFSET($R$3,0,0,'Données projet'!$E$9+1,1))-AVERAGE(OFFSET($H$3,0,0,'Données projet'!$E$9+1,1))</f>
        <v>347.22603428907496</v>
      </c>
      <c r="T74" s="62">
        <f t="shared" si="88"/>
        <v>258.98427374339872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91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4.1621511060723222E-3</v>
      </c>
      <c r="AC74" s="24">
        <f t="shared" si="57"/>
        <v>4.1621511060723222E-3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894.56314315353848</v>
      </c>
      <c r="AN74" s="62">
        <f ca="1">AVERAGE(OFFSET($AM$3,0,0,'Données projet'!$E$10+1,1))-AVERAGE(OFFSET($H$3,0,0,'Données projet'!$E$10+1,1))</f>
        <v>387.18736830550665</v>
      </c>
      <c r="AO74" s="62">
        <f t="shared" si="90"/>
        <v>312.32487363394125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2.2269661563464416</v>
      </c>
      <c r="AW74" s="23">
        <f>EXP(-LN(2)/2)*AW73+(1-EXP(-LN(2)/2))/(LN(2)/2)*AQ74*AT74*VLOOKUP('Données projet'!$B$10,Paramètres!$A$1:$I$89,3,0)*0.475*44/12</f>
        <v>1.0594201797056179E-5</v>
      </c>
      <c r="AX74" s="23">
        <f t="shared" si="60"/>
        <v>2.2269767505482387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166.09319999999983</v>
      </c>
      <c r="BF74" s="14">
        <f t="shared" si="91"/>
        <v>42.213849908165869</v>
      </c>
      <c r="BG74" s="22">
        <f t="shared" si="61"/>
        <v>362.80144525672193</v>
      </c>
      <c r="BH74" s="62">
        <f t="shared" si="62"/>
        <v>635.22027904747767</v>
      </c>
      <c r="BI74" s="62">
        <f ca="1">AVERAGE(OFFSET($BH$3,0,0,'Données projet'!$E$11+1,1))-AVERAGE(OFFSET($H$3,0,0,'Données projet'!$E$11+1,1))</f>
        <v>343.31521637281833</v>
      </c>
      <c r="BJ74" s="62">
        <f t="shared" si="92"/>
        <v>179.67327892360623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64.296045579297015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2.6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9.5333333333333332</v>
      </c>
      <c r="H75" s="70">
        <f t="shared" si="56"/>
        <v>193.74666666666667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</v>
      </c>
      <c r="L75" s="13">
        <f>VLOOKUP(A75,'Données projet'!$A$35:$I$55,9,0)</f>
        <v>15</v>
      </c>
      <c r="M75" s="13">
        <f t="array" ref="M75">INDEX(L:L,MIN(IF(ISNUMBER(L75:L271),ROW(L75:L271),"")))</f>
        <v>15</v>
      </c>
      <c r="N75" s="14">
        <f>IF('Données projet'!$A$36&gt;35,N74+M75-V74,IF(A75&lt;'Données projet'!$A$36,$K$205^A75,IF(A75='Données projet'!$A$36,'Données projet'!$B$36,N74+M75-V74)))</f>
        <v>390.00000000000017</v>
      </c>
      <c r="O75" s="14">
        <f>N75*VLOOKUP('Données projet'!$B$9,Paramètres!$A$1:$I$89,3,0)*VLOOKUP('Données projet'!$B$9,Paramètres!$A$1:$I$89,5,0)</f>
        <v>182.5200000000001</v>
      </c>
      <c r="P75" s="14">
        <f t="shared" si="87"/>
        <v>45.882385280285632</v>
      </c>
      <c r="Q75" s="22">
        <f t="shared" si="54"/>
        <v>397.80082102983096</v>
      </c>
      <c r="R75" s="62">
        <f t="shared" si="55"/>
        <v>670.58247462983434</v>
      </c>
      <c r="S75" s="62">
        <f ca="1">AVERAGE(OFFSET($R$3,0,0,'Données projet'!$E$9+1,1))-AVERAGE(OFFSET($H$3,0,0,'Données projet'!$E$9+1,1))</f>
        <v>347.22603428907496</v>
      </c>
      <c r="T75" s="62">
        <f t="shared" si="88"/>
        <v>258.98427374339872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2.9430852714268283E-3</v>
      </c>
      <c r="AC75" s="24">
        <f t="shared" si="57"/>
        <v>2.9430852714268283E-3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911.15516264146595</v>
      </c>
      <c r="AN75" s="62">
        <f ca="1">AVERAGE(OFFSET($AM$3,0,0,'Données projet'!$E$10+1,1))-AVERAGE(OFFSET($H$3,0,0,'Données projet'!$E$10+1,1))</f>
        <v>387.18736830550665</v>
      </c>
      <c r="AO75" s="62">
        <f t="shared" si="90"/>
        <v>312.32487363394125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2.1660696496900878</v>
      </c>
      <c r="AW75" s="23">
        <f>EXP(-LN(2)/2)*AW74+(1-EXP(-LN(2)/2))/(LN(2)/2)*AQ75*AT75*VLOOKUP('Données projet'!$B$10,Paramètres!$A$1:$I$89,3,0)*0.475*44/12</f>
        <v>7.4912319319571331E-6</v>
      </c>
      <c r="AX75" s="23">
        <f t="shared" si="60"/>
        <v>2.1660771409220199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170.96039999999982</v>
      </c>
      <c r="BF75" s="14">
        <f t="shared" si="91"/>
        <v>43.305050662028606</v>
      </c>
      <c r="BG75" s="22">
        <f t="shared" si="61"/>
        <v>373.17899323636624</v>
      </c>
      <c r="BH75" s="62">
        <f t="shared" si="62"/>
        <v>645.96064683636962</v>
      </c>
      <c r="BI75" s="62">
        <f ca="1">AVERAGE(OFFSET($BH$3,0,0,'Données projet'!$E$11+1,1))-AVERAGE(OFFSET($H$3,0,0,'Données projet'!$E$11+1,1))</f>
        <v>343.31521637281833</v>
      </c>
      <c r="BJ75" s="62">
        <f t="shared" si="92"/>
        <v>179.67327892360623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64.394996436364551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2.6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9.5333333333333332</v>
      </c>
      <c r="H76" s="70">
        <f t="shared" si="56"/>
        <v>193.74666666666667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15.142857142857142</v>
      </c>
      <c r="N76" s="14">
        <f>IF('Données projet'!$A$36&gt;35,N75+M76-V75,IF(A76&lt;'Données projet'!$A$36,$K$205^A76,IF(A76='Données projet'!$A$36,'Données projet'!$B$36,N75+M76-V75)))</f>
        <v>405.14285714285734</v>
      </c>
      <c r="O76" s="14">
        <f>N76*VLOOKUP('Données projet'!$B$9,Paramètres!$A$1:$I$89,3,0)*VLOOKUP('Données projet'!$B$9,Paramètres!$A$1:$I$89,5,0)</f>
        <v>189.60685714285725</v>
      </c>
      <c r="P76" s="14">
        <f t="shared" si="87"/>
        <v>47.453024072159629</v>
      </c>
      <c r="Q76" s="22">
        <f t="shared" si="54"/>
        <v>412.87929311615432</v>
      </c>
      <c r="R76" s="62">
        <f t="shared" si="55"/>
        <v>686.0174724128583</v>
      </c>
      <c r="S76" s="62">
        <f ca="1">AVERAGE(OFFSET($R$3,0,0,'Données projet'!$E$9+1,1))-AVERAGE(OFFSET($H$3,0,0,'Données projet'!$E$9+1,1))</f>
        <v>347.22603428907496</v>
      </c>
      <c r="T76" s="62">
        <f t="shared" si="88"/>
        <v>258.98427374339872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2.0810755530361611E-3</v>
      </c>
      <c r="AC76" s="24">
        <f t="shared" si="57"/>
        <v>2.0810755530361611E-3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927.73236743633402</v>
      </c>
      <c r="AN76" s="62">
        <f ca="1">AVERAGE(OFFSET($AM$3,0,0,'Données projet'!$E$10+1,1))-AVERAGE(OFFSET($H$3,0,0,'Données projet'!$E$10+1,1))</f>
        <v>387.18736830550665</v>
      </c>
      <c r="AO76" s="62">
        <f t="shared" si="90"/>
        <v>312.32487363394125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2.1068383612106603</v>
      </c>
      <c r="AW76" s="23">
        <f>EXP(-LN(2)/2)*AW75+(1-EXP(-LN(2)/2))/(LN(2)/2)*AQ76*AT76*VLOOKUP('Données projet'!$B$10,Paramètres!$A$1:$I$89,3,0)*0.475*44/12</f>
        <v>5.2971008985280905E-6</v>
      </c>
      <c r="AX76" s="23">
        <f t="shared" si="60"/>
        <v>2.1068436583115586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175.82759999999985</v>
      </c>
      <c r="BF76" s="14">
        <f t="shared" si="91"/>
        <v>44.392640778295565</v>
      </c>
      <c r="BG76" s="22">
        <f t="shared" si="61"/>
        <v>383.55025268886453</v>
      </c>
      <c r="BH76" s="62">
        <f t="shared" si="62"/>
        <v>656.68843198556851</v>
      </c>
      <c r="BI76" s="62">
        <f ca="1">AVERAGE(OFFSET($BH$3,0,0,'Données projet'!$E$11+1,1))-AVERAGE(OFFSET($H$3,0,0,'Données projet'!$E$11+1,1))</f>
        <v>343.31521637281833</v>
      </c>
      <c r="BJ76" s="62">
        <f t="shared" si="92"/>
        <v>179.67327892360623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64.492230717282908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2.6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9.5333333333333332</v>
      </c>
      <c r="H77" s="70">
        <f t="shared" si="56"/>
        <v>193.74666666666667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15.142857142857142</v>
      </c>
      <c r="N77" s="14">
        <f>IF('Données projet'!$A$36&gt;35,N76+M77-V76,IF(A77&lt;'Données projet'!$A$36,$K$205^A77,IF(A77='Données projet'!$A$36,'Données projet'!$B$36,N76+M77-V76)))</f>
        <v>420.2857142857145</v>
      </c>
      <c r="O77" s="14">
        <f>N77*VLOOKUP('Données projet'!$B$9,Paramètres!$A$1:$I$89,3,0)*VLOOKUP('Données projet'!$B$9,Paramètres!$A$1:$I$89,5,0)</f>
        <v>196.69371428571441</v>
      </c>
      <c r="P77" s="14">
        <f t="shared" si="87"/>
        <v>49.016842754125221</v>
      </c>
      <c r="Q77" s="22">
        <f t="shared" si="54"/>
        <v>427.9458868443873</v>
      </c>
      <c r="R77" s="62">
        <f t="shared" si="55"/>
        <v>701.43440691402634</v>
      </c>
      <c r="S77" s="62">
        <f ca="1">AVERAGE(OFFSET($R$3,0,0,'Données projet'!$E$9+1,1))-AVERAGE(OFFSET($H$3,0,0,'Données projet'!$E$9+1,1))</f>
        <v>347.22603428907496</v>
      </c>
      <c r="T77" s="62">
        <f t="shared" si="88"/>
        <v>258.98427374339872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1.4715426357134141E-3</v>
      </c>
      <c r="AC77" s="24">
        <f t="shared" si="57"/>
        <v>1.4715426357134141E-3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944.29510745094785</v>
      </c>
      <c r="AN77" s="62">
        <f ca="1">AVERAGE(OFFSET($AM$3,0,0,'Données projet'!$E$10+1,1))-AVERAGE(OFFSET($H$3,0,0,'Données projet'!$E$10+1,1))</f>
        <v>387.18736830550665</v>
      </c>
      <c r="AO77" s="62">
        <f t="shared" si="90"/>
        <v>312.32487363394125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2.0492267554295407</v>
      </c>
      <c r="AW77" s="23">
        <f>EXP(-LN(2)/2)*AW76+(1-EXP(-LN(2)/2))/(LN(2)/2)*AQ77*AT77*VLOOKUP('Données projet'!$B$10,Paramètres!$A$1:$I$89,3,0)*0.475*44/12</f>
        <v>3.745615965978567E-6</v>
      </c>
      <c r="AX77" s="23">
        <f t="shared" si="60"/>
        <v>2.0492305010455065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180.69479999999984</v>
      </c>
      <c r="BF77" s="14">
        <f t="shared" si="91"/>
        <v>45.476731688663754</v>
      </c>
      <c r="BG77" s="22">
        <f t="shared" si="61"/>
        <v>393.91541769108909</v>
      </c>
      <c r="BH77" s="62">
        <f t="shared" si="62"/>
        <v>667.40393776072813</v>
      </c>
      <c r="BI77" s="62">
        <f ca="1">AVERAGE(OFFSET($BH$3,0,0,'Données projet'!$E$11+1,1))-AVERAGE(OFFSET($H$3,0,0,'Données projet'!$E$11+1,1))</f>
        <v>343.31521637281833</v>
      </c>
      <c r="BJ77" s="62">
        <f t="shared" si="92"/>
        <v>179.67327892360623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64.587778200810646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2.6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9.5333333333333332</v>
      </c>
      <c r="H78" s="70">
        <f t="shared" si="56"/>
        <v>193.74666666666667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15.142857142857142</v>
      </c>
      <c r="N78" s="14">
        <f>IF('Données projet'!$A$36&gt;35,N77+M78-V77,IF(A78&lt;'Données projet'!$A$36,$K$205^A78,IF(A78='Données projet'!$A$36,'Données projet'!$B$36,N77+M78-V77)))</f>
        <v>435.42857142857167</v>
      </c>
      <c r="O78" s="14">
        <f>N78*VLOOKUP('Données projet'!$B$9,Paramètres!$A$1:$I$89,3,0)*VLOOKUP('Données projet'!$B$9,Paramètres!$A$1:$I$89,5,0)</f>
        <v>203.78057142857153</v>
      </c>
      <c r="P78" s="14">
        <f t="shared" si="87"/>
        <v>50.574115202939069</v>
      </c>
      <c r="Q78" s="22">
        <f t="shared" si="54"/>
        <v>443.00107921654762</v>
      </c>
      <c r="R78" s="62">
        <f t="shared" si="55"/>
        <v>716.83386242995584</v>
      </c>
      <c r="S78" s="62">
        <f ca="1">AVERAGE(OFFSET($R$3,0,0,'Données projet'!$E$9+1,1))-AVERAGE(OFFSET($H$3,0,0,'Données projet'!$E$9+1,1))</f>
        <v>347.22603428907496</v>
      </c>
      <c r="T78" s="62">
        <f t="shared" si="88"/>
        <v>258.98427374339872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1.0405377765180805E-3</v>
      </c>
      <c r="AC78" s="24">
        <f t="shared" si="57"/>
        <v>1.0405377765180805E-3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909.21320466617055</v>
      </c>
      <c r="AN78" s="62">
        <f ca="1">AVERAGE(OFFSET($AM$3,0,0,'Données projet'!$E$10+1,1))-AVERAGE(OFFSET($H$3,0,0,'Données projet'!$E$10+1,1))</f>
        <v>387.18736830550665</v>
      </c>
      <c r="AO78" s="62">
        <f t="shared" si="90"/>
        <v>312.32487363394125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1.9931905420381684</v>
      </c>
      <c r="AW78" s="23">
        <f>EXP(-LN(2)/2)*AW77+(1-EXP(-LN(2)/2))/(LN(2)/2)*AQ78*AT78*VLOOKUP('Données projet'!$B$10,Paramètres!$A$1:$I$89,3,0)*0.475*44/12</f>
        <v>2.6485504492640457E-6</v>
      </c>
      <c r="AX78" s="23">
        <f t="shared" si="60"/>
        <v>1.9931931905886175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185.56199999999987</v>
      </c>
      <c r="BF78" s="14">
        <f t="shared" si="91"/>
        <v>46.557428480028548</v>
      </c>
      <c r="BG78" s="22">
        <f t="shared" si="61"/>
        <v>404.27467126938285</v>
      </c>
      <c r="BH78" s="62">
        <f t="shared" si="62"/>
        <v>678.10745448279113</v>
      </c>
      <c r="BI78" s="62">
        <f ca="1">AVERAGE(OFFSET($BH$3,0,0,'Données projet'!$E$11+1,1))-AVERAGE(OFFSET($H$3,0,0,'Données projet'!$E$11+1,1))</f>
        <v>343.31521637281833</v>
      </c>
      <c r="BJ78" s="62">
        <f t="shared" si="92"/>
        <v>179.67327892360623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64.681668149111331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2.6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9.5333333333333332</v>
      </c>
      <c r="H79" s="70">
        <f t="shared" si="56"/>
        <v>193.74666666666667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15.142857142857142</v>
      </c>
      <c r="N79" s="14">
        <f>IF('Données projet'!$A$36&gt;35,N78+M79-V78,IF(A79&lt;'Données projet'!$A$36,$K$205^A79,IF(A79='Données projet'!$A$36,'Données projet'!$B$36,N78+M79-V78)))</f>
        <v>450.57142857142884</v>
      </c>
      <c r="O79" s="14">
        <f>N79*VLOOKUP('Données projet'!$B$9,Paramètres!$A$1:$I$89,3,0)*VLOOKUP('Données projet'!$B$9,Paramètres!$A$1:$I$89,5,0)</f>
        <v>210.86742857142869</v>
      </c>
      <c r="P79" s="14">
        <f t="shared" si="87"/>
        <v>52.125095165913116</v>
      </c>
      <c r="Q79" s="22">
        <f t="shared" si="54"/>
        <v>458.04531217587032</v>
      </c>
      <c r="R79" s="62">
        <f t="shared" si="55"/>
        <v>732.21638633716043</v>
      </c>
      <c r="S79" s="62">
        <f ca="1">AVERAGE(OFFSET($R$3,0,0,'Données projet'!$E$9+1,1))-AVERAGE(OFFSET($H$3,0,0,'Données projet'!$E$9+1,1))</f>
        <v>347.22603428907496</v>
      </c>
      <c r="T79" s="62">
        <f t="shared" si="88"/>
        <v>258.98427374339872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7.3577131785670707E-4</v>
      </c>
      <c r="AC79" s="24">
        <f t="shared" si="57"/>
        <v>7.3577131785670707E-4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920.73471348572764</v>
      </c>
      <c r="AN79" s="62">
        <f ca="1">AVERAGE(OFFSET($AM$3,0,0,'Données projet'!$E$10+1,1))-AVERAGE(OFFSET($H$3,0,0,'Données projet'!$E$10+1,1))</f>
        <v>387.18736830550665</v>
      </c>
      <c r="AO79" s="62">
        <f t="shared" si="90"/>
        <v>312.32487363394125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1.9386866418487996</v>
      </c>
      <c r="AW79" s="23">
        <f>EXP(-LN(2)/2)*AW78+(1-EXP(-LN(2)/2))/(LN(2)/2)*AQ79*AT79*VLOOKUP('Données projet'!$B$10,Paramètres!$A$1:$I$89,3,0)*0.475*44/12</f>
        <v>1.8728079829892837E-6</v>
      </c>
      <c r="AX79" s="23">
        <f t="shared" si="60"/>
        <v>1.9386885146567825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176.03039999999984</v>
      </c>
      <c r="BF79" s="14">
        <f t="shared" si="91"/>
        <v>44.437880346232902</v>
      </c>
      <c r="BG79" s="22">
        <f t="shared" si="61"/>
        <v>383.98225493635533</v>
      </c>
      <c r="BH79" s="62">
        <f t="shared" si="62"/>
        <v>658.15332909764538</v>
      </c>
      <c r="BI79" s="62">
        <f ca="1">AVERAGE(OFFSET($BH$3,0,0,'Données projet'!$E$11+1,1))-AVERAGE(OFFSET($H$3,0,0,'Données projet'!$E$11+1,1))</f>
        <v>343.31521637281833</v>
      </c>
      <c r="BJ79" s="62">
        <f t="shared" si="92"/>
        <v>179.67327892360623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64.773929316715481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2.6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9.5333333333333332</v>
      </c>
      <c r="H80" s="70">
        <f t="shared" si="56"/>
        <v>193.74666666666667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15.142857142857142</v>
      </c>
      <c r="N80" s="14">
        <f>IF('Données projet'!$A$36&gt;35,N79+M80-V79,IF(A80&lt;'Données projet'!$A$36,$K$205^A80,IF(A80='Données projet'!$A$36,'Données projet'!$B$36,N79+M80-V79)))</f>
        <v>465.71428571428601</v>
      </c>
      <c r="O80" s="14">
        <f>N80*VLOOKUP('Données projet'!$B$9,Paramètres!$A$1:$I$89,3,0)*VLOOKUP('Données projet'!$B$9,Paramètres!$A$1:$I$89,5,0)</f>
        <v>217.95428571428585</v>
      </c>
      <c r="P80" s="14">
        <f t="shared" si="87"/>
        <v>53.670018366701875</v>
      </c>
      <c r="Q80" s="22">
        <f t="shared" si="54"/>
        <v>473.07899627438695</v>
      </c>
      <c r="R80" s="62">
        <f t="shared" si="55"/>
        <v>747.58249279191841</v>
      </c>
      <c r="S80" s="62">
        <f ca="1">AVERAGE(OFFSET($R$3,0,0,'Données projet'!$E$9+1,1))-AVERAGE(OFFSET($H$3,0,0,'Données projet'!$E$9+1,1))</f>
        <v>347.22603428907496</v>
      </c>
      <c r="T80" s="62">
        <f t="shared" si="88"/>
        <v>258.98427374339872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5.2026888825904027E-4</v>
      </c>
      <c r="AC80" s="24">
        <f t="shared" si="57"/>
        <v>5.2026888825904027E-4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932.24636384749692</v>
      </c>
      <c r="AN80" s="62">
        <f ca="1">AVERAGE(OFFSET($AM$3,0,0,'Données projet'!$E$10+1,1))-AVERAGE(OFFSET($H$3,0,0,'Données projet'!$E$10+1,1))</f>
        <v>387.18736830550665</v>
      </c>
      <c r="AO80" s="62">
        <f t="shared" si="90"/>
        <v>312.32487363394125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1.8856731536763447</v>
      </c>
      <c r="AW80" s="23">
        <f>EXP(-LN(2)/2)*AW79+(1-EXP(-LN(2)/2))/(LN(2)/2)*AQ80*AT80*VLOOKUP('Données projet'!$B$10,Paramètres!$A$1:$I$89,3,0)*0.475*44/12</f>
        <v>1.324275224632023E-6</v>
      </c>
      <c r="AX80" s="23">
        <f t="shared" si="60"/>
        <v>1.8856744779515693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180.69479999999984</v>
      </c>
      <c r="BF80" s="14">
        <f t="shared" si="91"/>
        <v>45.476731688663754</v>
      </c>
      <c r="BG80" s="22">
        <f t="shared" si="61"/>
        <v>393.91541769108909</v>
      </c>
      <c r="BH80" s="62">
        <f t="shared" si="62"/>
        <v>668.41891420862055</v>
      </c>
      <c r="BI80" s="62">
        <f ca="1">AVERAGE(OFFSET($BH$3,0,0,'Données projet'!$E$11+1,1))-AVERAGE(OFFSET($H$3,0,0,'Données projet'!$E$11+1,1))</f>
        <v>343.31521637281833</v>
      </c>
      <c r="BJ80" s="62">
        <f t="shared" si="92"/>
        <v>179.67327892360623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64.864589959326764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2.6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9.5333333333333332</v>
      </c>
      <c r="H81" s="70">
        <f t="shared" si="56"/>
        <v>193.74666666666667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15.142857142857142</v>
      </c>
      <c r="N81" s="14">
        <f>IF('Données projet'!$A$36&gt;35,N80+M81-V80,IF(A81&lt;'Données projet'!$A$36,$K$205^A81,IF(A81='Données projet'!$A$36,'Données projet'!$B$36,N80+M81-V80)))</f>
        <v>480.85714285714317</v>
      </c>
      <c r="O81" s="14">
        <f>N81*VLOOKUP('Données projet'!$B$9,Paramètres!$A$1:$I$89,3,0)*VLOOKUP('Données projet'!$B$9,Paramètres!$A$1:$I$89,5,0)</f>
        <v>225.041142857143</v>
      </c>
      <c r="P81" s="14">
        <f t="shared" si="87"/>
        <v>55.209104329514197</v>
      </c>
      <c r="Q81" s="22">
        <f t="shared" si="54"/>
        <v>488.10251385009468</v>
      </c>
      <c r="R81" s="62">
        <f t="shared" si="55"/>
        <v>762.93266593917178</v>
      </c>
      <c r="S81" s="62">
        <f ca="1">AVERAGE(OFFSET($R$3,0,0,'Données projet'!$E$9+1,1))-AVERAGE(OFFSET($H$3,0,0,'Données projet'!$E$9+1,1))</f>
        <v>347.22603428907496</v>
      </c>
      <c r="T81" s="62">
        <f t="shared" si="88"/>
        <v>258.98427374339872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3.6788565892835354E-4</v>
      </c>
      <c r="AC81" s="24">
        <f t="shared" si="57"/>
        <v>3.6788565892835354E-4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943.74833490645801</v>
      </c>
      <c r="AN81" s="62">
        <f ca="1">AVERAGE(OFFSET($AM$3,0,0,'Données projet'!$E$10+1,1))-AVERAGE(OFFSET($H$3,0,0,'Données projet'!$E$10+1,1))</f>
        <v>387.18736830550665</v>
      </c>
      <c r="AO81" s="62">
        <f t="shared" si="90"/>
        <v>312.32487363394125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1.8341093221258236</v>
      </c>
      <c r="AW81" s="23">
        <f>EXP(-LN(2)/2)*AW80+(1-EXP(-LN(2)/2))/(LN(2)/2)*AQ81*AT81*VLOOKUP('Données projet'!$B$10,Paramètres!$A$1:$I$89,3,0)*0.475*44/12</f>
        <v>9.3640399149464206E-7</v>
      </c>
      <c r="AX81" s="23">
        <f t="shared" si="60"/>
        <v>1.834110258529815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185.35919999999984</v>
      </c>
      <c r="BF81" s="14">
        <f t="shared" si="91"/>
        <v>46.51246589912639</v>
      </c>
      <c r="BG81" s="22">
        <f t="shared" si="61"/>
        <v>403.84315144097815</v>
      </c>
      <c r="BH81" s="62">
        <f t="shared" si="62"/>
        <v>678.67330353005536</v>
      </c>
      <c r="BI81" s="62">
        <f ca="1">AVERAGE(OFFSET($BH$3,0,0,'Données projet'!$E$11+1,1))-AVERAGE(OFFSET($H$3,0,0,'Données projet'!$E$11+1,1))</f>
        <v>343.31521637281833</v>
      </c>
      <c r="BJ81" s="62">
        <f t="shared" si="92"/>
        <v>179.67327892360623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64.953677842475585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2.6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9.5333333333333332</v>
      </c>
      <c r="H82" s="70">
        <f t="shared" si="56"/>
        <v>193.74666666666667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496</v>
      </c>
      <c r="L82" s="13">
        <f>VLOOKUP(A82,'Données projet'!$A$35:$I$55,9,0)</f>
        <v>15.142857142857142</v>
      </c>
      <c r="M82" s="13">
        <f t="array" ref="M82">INDEX(L:L,MIN(IF(ISNUMBER(L82:L278),ROW(L82:L278),"")))</f>
        <v>15.142857142857142</v>
      </c>
      <c r="N82" s="14">
        <f>IF('Données projet'!$A$36&gt;35,N81+M82-V81,IF(A82&lt;'Données projet'!$A$36,$K$205^A82,IF(A82='Données projet'!$A$36,'Données projet'!$B$36,N81+M82-V81)))</f>
        <v>496.00000000000034</v>
      </c>
      <c r="O82" s="14">
        <f>N82*VLOOKUP('Données projet'!$B$9,Paramètres!$A$1:$I$89,3,0)*VLOOKUP('Données projet'!$B$9,Paramètres!$A$1:$I$89,5,0)</f>
        <v>232.12800000000016</v>
      </c>
      <c r="P82" s="14">
        <f t="shared" si="87"/>
        <v>56.742557967082448</v>
      </c>
      <c r="Q82" s="22">
        <f t="shared" si="54"/>
        <v>503.11622179266891</v>
      </c>
      <c r="R82" s="62">
        <f t="shared" si="55"/>
        <v>778.26736270941785</v>
      </c>
      <c r="S82" s="62">
        <f ca="1">AVERAGE(OFFSET($R$3,0,0,'Données projet'!$E$9+1,1))-AVERAGE(OFFSET($H$3,0,0,'Données projet'!$E$9+1,1))</f>
        <v>347.22603428907496</v>
      </c>
      <c r="T82" s="62">
        <f t="shared" si="88"/>
        <v>258.98427374339872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88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2.6013444412952013E-4</v>
      </c>
      <c r="AC82" s="24">
        <f t="shared" si="57"/>
        <v>2.6013444412952013E-4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955.24080125724254</v>
      </c>
      <c r="AN82" s="62">
        <f ca="1">AVERAGE(OFFSET($AM$3,0,0,'Données projet'!$E$10+1,1))-AVERAGE(OFFSET($H$3,0,0,'Données projet'!$E$10+1,1))</f>
        <v>387.18736830550665</v>
      </c>
      <c r="AO82" s="62">
        <f t="shared" si="90"/>
        <v>312.32487363394125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1.7839555062606756</v>
      </c>
      <c r="AW82" s="23">
        <f>EXP(-LN(2)/2)*AW81+(1-EXP(-LN(2)/2))/(LN(2)/2)*AQ82*AT82*VLOOKUP('Données projet'!$B$10,Paramètres!$A$1:$I$89,3,0)*0.475*44/12</f>
        <v>6.6213761231601163E-7</v>
      </c>
      <c r="AX82" s="23">
        <f t="shared" si="60"/>
        <v>1.7839561683982879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190.02359999999985</v>
      </c>
      <c r="BF82" s="14">
        <f t="shared" si="91"/>
        <v>47.545170438433438</v>
      </c>
      <c r="BG82" s="22">
        <f t="shared" si="61"/>
        <v>413.7656085136046</v>
      </c>
      <c r="BH82" s="62">
        <f t="shared" si="62"/>
        <v>688.91674943035355</v>
      </c>
      <c r="BI82" s="62">
        <f ca="1">AVERAGE(OFFSET($BH$3,0,0,'Données projet'!$E$11+1,1))-AVERAGE(OFFSET($H$3,0,0,'Données projet'!$E$11+1,1))</f>
        <v>343.31521637281833</v>
      </c>
      <c r="BJ82" s="62">
        <f t="shared" si="92"/>
        <v>179.67327892360623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65.041220250022434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2.6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9.5333333333333332</v>
      </c>
      <c r="H83" s="70">
        <f t="shared" si="56"/>
        <v>193.74666666666667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423</v>
      </c>
      <c r="L83" s="13">
        <f>VLOOKUP(A83,'Données projet'!$A$35:$I$55,9,0)</f>
        <v>15</v>
      </c>
      <c r="M83" s="13">
        <f t="array" ref="M83">INDEX(L:L,MIN(IF(ISNUMBER(L83:L279),ROW(L83:L279),"")))</f>
        <v>15</v>
      </c>
      <c r="N83" s="14">
        <f>IF('Données projet'!$A$36&gt;35,N82+M83-V82,IF(A83&lt;'Données projet'!$A$36,$K$205^A83,IF(A83='Données projet'!$A$36,'Données projet'!$B$36,N82+M83-V82)))</f>
        <v>423.00000000000034</v>
      </c>
      <c r="O83" s="14">
        <f>N83*VLOOKUP('Données projet'!$B$9,Paramètres!$A$1:$I$89,3,0)*VLOOKUP('Données projet'!$B$9,Paramètres!$A$1:$I$89,5,0)</f>
        <v>197.96400000000017</v>
      </c>
      <c r="P83" s="14">
        <f t="shared" si="87"/>
        <v>49.296450435147804</v>
      </c>
      <c r="Q83" s="22">
        <f t="shared" si="54"/>
        <v>430.64528450788265</v>
      </c>
      <c r="R83" s="62">
        <f t="shared" si="55"/>
        <v>706.11184581376676</v>
      </c>
      <c r="S83" s="62">
        <f ca="1">AVERAGE(OFFSET($R$3,0,0,'Données projet'!$E$9+1,1))-AVERAGE(OFFSET($H$3,0,0,'Données projet'!$E$9+1,1))</f>
        <v>347.22603428907496</v>
      </c>
      <c r="T83" s="62">
        <f t="shared" si="88"/>
        <v>258.98427374339872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1.8394282946417677E-4</v>
      </c>
      <c r="AC83" s="24">
        <f t="shared" si="57"/>
        <v>1.8394282946417677E-4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966.7239331109231</v>
      </c>
      <c r="AN83" s="62">
        <f ca="1">AVERAGE(OFFSET($AM$3,0,0,'Données projet'!$E$10+1,1))-AVERAGE(OFFSET($H$3,0,0,'Données projet'!$E$10+1,1))</f>
        <v>387.18736830550665</v>
      </c>
      <c r="AO83" s="62">
        <f t="shared" si="90"/>
        <v>312.32487363394125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1.7351731491278346</v>
      </c>
      <c r="AW83" s="23">
        <f>EXP(-LN(2)/2)*AW82+(1-EXP(-LN(2)/2))/(LN(2)/2)*AQ83*AT83*VLOOKUP('Données projet'!$B$10,Paramètres!$A$1:$I$89,3,0)*0.475*44/12</f>
        <v>4.6820199574732108E-7</v>
      </c>
      <c r="AX83" s="23">
        <f t="shared" si="60"/>
        <v>1.7351736173298304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194.68799999999985</v>
      </c>
      <c r="BF83" s="14">
        <f t="shared" si="91"/>
        <v>48.574928228914935</v>
      </c>
      <c r="BG83" s="22">
        <f t="shared" si="61"/>
        <v>423.68293333202655</v>
      </c>
      <c r="BH83" s="62">
        <f t="shared" si="62"/>
        <v>699.14949463791072</v>
      </c>
      <c r="BI83" s="62">
        <f ca="1">AVERAGE(OFFSET($BH$3,0,0,'Données projet'!$E$11+1,1))-AVERAGE(OFFSET($H$3,0,0,'Données projet'!$E$11+1,1))</f>
        <v>343.31521637281833</v>
      </c>
      <c r="BJ83" s="62">
        <f t="shared" si="92"/>
        <v>179.67327892360623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65.127243992513854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2.6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9.5333333333333332</v>
      </c>
      <c r="H84" s="70">
        <f t="shared" si="56"/>
        <v>193.74666666666667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14.142857142857142</v>
      </c>
      <c r="N84" s="14">
        <f>IF('Données projet'!$A$36&gt;35,N83+M84-V83,IF(A84&lt;'Données projet'!$A$36,$K$205^A84,IF(A84='Données projet'!$A$36,'Données projet'!$B$36,N83+M84-V83)))</f>
        <v>437.14285714285751</v>
      </c>
      <c r="O84" s="14">
        <f>N84*VLOOKUP('Données projet'!$B$9,Paramètres!$A$1:$I$89,3,0)*VLOOKUP('Données projet'!$B$9,Paramètres!$A$1:$I$89,5,0)</f>
        <v>204.58285714285734</v>
      </c>
      <c r="P84" s="14">
        <f t="shared" si="87"/>
        <v>50.750009154879976</v>
      </c>
      <c r="Q84" s="22">
        <f t="shared" si="54"/>
        <v>444.70474213522584</v>
      </c>
      <c r="R84" s="62">
        <f t="shared" si="55"/>
        <v>720.48125199166816</v>
      </c>
      <c r="S84" s="62">
        <f ca="1">AVERAGE(OFFSET($R$3,0,0,'Données projet'!$E$9+1,1))-AVERAGE(OFFSET($H$3,0,0,'Données projet'!$E$9+1,1))</f>
        <v>347.22603428907496</v>
      </c>
      <c r="T84" s="62">
        <f t="shared" si="88"/>
        <v>258.98427374339872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1.3006722206476007E-4</v>
      </c>
      <c r="AC84" s="24">
        <f t="shared" si="57"/>
        <v>1.3006722206476007E-4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978.19789646133768</v>
      </c>
      <c r="AN84" s="62">
        <f ca="1">AVERAGE(OFFSET($AM$3,0,0,'Données projet'!$E$10+1,1))-AVERAGE(OFFSET($H$3,0,0,'Données projet'!$E$10+1,1))</f>
        <v>387.18736830550665</v>
      </c>
      <c r="AO84" s="62">
        <f t="shared" si="90"/>
        <v>312.32487363394125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1.6877247481161439</v>
      </c>
      <c r="AW84" s="23">
        <f>EXP(-LN(2)/2)*AW83+(1-EXP(-LN(2)/2))/(LN(2)/2)*AQ84*AT84*VLOOKUP('Données projet'!$B$10,Paramètres!$A$1:$I$89,3,0)*0.475*44/12</f>
        <v>3.3106880615800587E-7</v>
      </c>
      <c r="AX84" s="23">
        <f t="shared" si="60"/>
        <v>1.6877250791849501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184.95359999999985</v>
      </c>
      <c r="BF84" s="14">
        <f t="shared" si="91"/>
        <v>46.422523550957948</v>
      </c>
      <c r="BG84" s="22">
        <f t="shared" si="61"/>
        <v>402.98008185125144</v>
      </c>
      <c r="BH84" s="62">
        <f t="shared" si="62"/>
        <v>678.7565917076937</v>
      </c>
      <c r="BI84" s="62">
        <f ca="1">AVERAGE(OFFSET($BH$3,0,0,'Données projet'!$E$11+1,1))-AVERAGE(OFFSET($H$3,0,0,'Données projet'!$E$11+1,1))</f>
        <v>343.31521637281833</v>
      </c>
      <c r="BJ84" s="62">
        <f t="shared" si="92"/>
        <v>179.67327892360623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65.211775415393333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2.6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9.5333333333333332</v>
      </c>
      <c r="H85" s="70">
        <f t="shared" si="56"/>
        <v>193.74666666666667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14.142857142857142</v>
      </c>
      <c r="N85" s="14">
        <f>IF('Données projet'!$A$36&gt;35,N84+M85-V84,IF(A85&lt;'Données projet'!$A$36,$K$205^A85,IF(A85='Données projet'!$A$36,'Données projet'!$B$36,N84+M85-V84)))</f>
        <v>451.28571428571468</v>
      </c>
      <c r="O85" s="14">
        <f>N85*VLOOKUP('Données projet'!$B$9,Paramètres!$A$1:$I$89,3,0)*VLOOKUP('Données projet'!$B$9,Paramètres!$A$1:$I$89,5,0)</f>
        <v>211.20171428571447</v>
      </c>
      <c r="P85" s="14">
        <f t="shared" si="87"/>
        <v>52.198103230485451</v>
      </c>
      <c r="Q85" s="22">
        <f t="shared" si="54"/>
        <v>458.75468217404813</v>
      </c>
      <c r="R85" s="62">
        <f t="shared" si="55"/>
        <v>734.83576366663738</v>
      </c>
      <c r="S85" s="62">
        <f ca="1">AVERAGE(OFFSET($R$3,0,0,'Données projet'!$E$9+1,1))-AVERAGE(OFFSET($H$3,0,0,'Données projet'!$E$9+1,1))</f>
        <v>347.22603428907496</v>
      </c>
      <c r="T85" s="62">
        <f t="shared" si="88"/>
        <v>258.98427374339872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9.1971414732088384E-5</v>
      </c>
      <c r="AC85" s="24">
        <f t="shared" si="57"/>
        <v>9.1971414732088384E-5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989.66285324178784</v>
      </c>
      <c r="AN85" s="62">
        <f ca="1">AVERAGE(OFFSET($AM$3,0,0,'Données projet'!$E$10+1,1))-AVERAGE(OFFSET($H$3,0,0,'Données projet'!$E$10+1,1))</f>
        <v>387.18736830550665</v>
      </c>
      <c r="AO85" s="62">
        <f t="shared" si="90"/>
        <v>312.32487363394125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1.6415738261253208</v>
      </c>
      <c r="AW85" s="23">
        <f>EXP(-LN(2)/2)*AW84+(1-EXP(-LN(2)/2))/(LN(2)/2)*AQ85*AT85*VLOOKUP('Données projet'!$B$10,Paramètres!$A$1:$I$89,3,0)*0.475*44/12</f>
        <v>2.3410099787366059E-7</v>
      </c>
      <c r="AX85" s="23">
        <f t="shared" si="60"/>
        <v>1.6415740602263187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189.41519999999986</v>
      </c>
      <c r="BF85" s="14">
        <f t="shared" si="91"/>
        <v>47.410638687430875</v>
      </c>
      <c r="BG85" s="22">
        <f t="shared" si="61"/>
        <v>412.47166904727516</v>
      </c>
      <c r="BH85" s="62">
        <f t="shared" si="62"/>
        <v>688.55275053986429</v>
      </c>
      <c r="BI85" s="62">
        <f ca="1">AVERAGE(OFFSET($BH$3,0,0,'Données projet'!$E$11+1,1))-AVERAGE(OFFSET($H$3,0,0,'Données projet'!$E$11+1,1))</f>
        <v>343.31521637281833</v>
      </c>
      <c r="BJ85" s="62">
        <f t="shared" si="92"/>
        <v>179.67327892360623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65.294840407069785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2.6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9.5333333333333332</v>
      </c>
      <c r="H86" s="70">
        <f t="shared" si="56"/>
        <v>193.74666666666667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14.142857142857142</v>
      </c>
      <c r="N86" s="14">
        <f>IF('Données projet'!$A$36&gt;35,N85+M86-V85,IF(A86&lt;'Données projet'!$A$36,$K$205^A86,IF(A86='Données projet'!$A$36,'Données projet'!$B$36,N85+M86-V85)))</f>
        <v>465.42857142857184</v>
      </c>
      <c r="O86" s="14">
        <f>N86*VLOOKUP('Données projet'!$B$9,Paramètres!$A$1:$I$89,3,0)*VLOOKUP('Données projet'!$B$9,Paramètres!$A$1:$I$89,5,0)</f>
        <v>217.82057142857164</v>
      </c>
      <c r="P86" s="14">
        <f t="shared" si="87"/>
        <v>53.640923568007189</v>
      </c>
      <c r="Q86" s="22">
        <f t="shared" si="54"/>
        <v>472.79543711904148</v>
      </c>
      <c r="R86" s="62">
        <f t="shared" si="55"/>
        <v>749.1758066108107</v>
      </c>
      <c r="S86" s="62">
        <f ca="1">AVERAGE(OFFSET($R$3,0,0,'Données projet'!$E$9+1,1))-AVERAGE(OFFSET($H$3,0,0,'Données projet'!$E$9+1,1))</f>
        <v>347.22603428907496</v>
      </c>
      <c r="T86" s="62">
        <f t="shared" si="88"/>
        <v>258.98427374339872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6.5033611032380034E-5</v>
      </c>
      <c r="AC86" s="24">
        <f t="shared" si="57"/>
        <v>6.5033611032380034E-5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387.18736830550665</v>
      </c>
      <c r="AO86" s="62">
        <f t="shared" si="90"/>
        <v>312.32487363394125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1.5966849035233082</v>
      </c>
      <c r="AW86" s="23">
        <f>EXP(-LN(2)/2)*AW85+(1-EXP(-LN(2)/2))/(LN(2)/2)*AQ86*AT86*VLOOKUP('Données projet'!$B$10,Paramètres!$A$1:$I$89,3,0)*0.475*44/12</f>
        <v>1.6553440307900296E-7</v>
      </c>
      <c r="AX86" s="23">
        <f t="shared" si="60"/>
        <v>1.5966850690577112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193.87679999999986</v>
      </c>
      <c r="BF86" s="14">
        <f t="shared" si="91"/>
        <v>48.396048099527562</v>
      </c>
      <c r="BG86" s="22">
        <f t="shared" si="61"/>
        <v>421.95854377334359</v>
      </c>
      <c r="BH86" s="62">
        <f t="shared" si="62"/>
        <v>698.33891326511286</v>
      </c>
      <c r="BI86" s="62">
        <f ca="1">AVERAGE(OFFSET($BH$3,0,0,'Données projet'!$E$11+1,1))-AVERAGE(OFFSET($H$3,0,0,'Données projet'!$E$11+1,1))</f>
        <v>343.31521637281833</v>
      </c>
      <c r="BJ86" s="62">
        <f t="shared" si="92"/>
        <v>179.67327892360623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65.376464406846168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2.6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9.5333333333333332</v>
      </c>
      <c r="H87" s="70">
        <f t="shared" si="56"/>
        <v>193.74666666666667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14.142857142857142</v>
      </c>
      <c r="N87" s="14">
        <f>IF('Données projet'!$A$36&gt;35,N86+M87-V86,IF(A87&lt;'Données projet'!$A$36,$K$205^A87,IF(A87='Données projet'!$A$36,'Données projet'!$B$36,N86+M87-V86)))</f>
        <v>479.57142857142901</v>
      </c>
      <c r="O87" s="14">
        <f>N87*VLOOKUP('Données projet'!$B$9,Paramètres!$A$1:$I$89,3,0)*VLOOKUP('Données projet'!$B$9,Paramètres!$A$1:$I$89,5,0)</f>
        <v>224.43942857142878</v>
      </c>
      <c r="P87" s="14">
        <f t="shared" si="87"/>
        <v>55.078648812192505</v>
      </c>
      <c r="Q87" s="22">
        <f t="shared" si="54"/>
        <v>486.82731810980704</v>
      </c>
      <c r="R87" s="62">
        <f t="shared" si="55"/>
        <v>763.50178362307827</v>
      </c>
      <c r="S87" s="62">
        <f ca="1">AVERAGE(OFFSET($R$3,0,0,'Données projet'!$E$9+1,1))-AVERAGE(OFFSET($H$3,0,0,'Données projet'!$E$9+1,1))</f>
        <v>347.22603428907496</v>
      </c>
      <c r="T87" s="62">
        <f t="shared" si="88"/>
        <v>258.98427374339872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4.5985707366044192E-5</v>
      </c>
      <c r="AC87" s="24">
        <f t="shared" si="57"/>
        <v>4.5985707366044192E-5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387.18736830550665</v>
      </c>
      <c r="AO87" s="62">
        <f t="shared" si="90"/>
        <v>312.32487363394125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1.5530234708704536</v>
      </c>
      <c r="AW87" s="23">
        <f>EXP(-LN(2)/2)*AW86+(1-EXP(-LN(2)/2))/(LN(2)/2)*AQ87*AT87*VLOOKUP('Données projet'!$B$10,Paramètres!$A$1:$I$89,3,0)*0.475*44/12</f>
        <v>1.1705049893683031E-7</v>
      </c>
      <c r="AX87" s="23">
        <f t="shared" si="60"/>
        <v>1.5530235879209524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198.33839999999987</v>
      </c>
      <c r="BF87" s="14">
        <f t="shared" si="91"/>
        <v>49.378821219958034</v>
      </c>
      <c r="BG87" s="22">
        <f t="shared" si="61"/>
        <v>431.44082695809334</v>
      </c>
      <c r="BH87" s="62">
        <f t="shared" si="62"/>
        <v>708.11529247136457</v>
      </c>
      <c r="BI87" s="62">
        <f ca="1">AVERAGE(OFFSET($BH$3,0,0,'Données projet'!$E$11+1,1))-AVERAGE(OFFSET($H$3,0,0,'Données projet'!$E$11+1,1))</f>
        <v>343.31521637281833</v>
      </c>
      <c r="BJ87" s="62">
        <f t="shared" si="92"/>
        <v>179.67327892360623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65.456672412710333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2.6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9.5333333333333332</v>
      </c>
      <c r="H88" s="70">
        <f t="shared" si="56"/>
        <v>193.74666666666667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14.142857142857142</v>
      </c>
      <c r="N88" s="14">
        <f>IF('Données projet'!$A$36&gt;35,N87+M88-V87,IF(A88&lt;'Données projet'!$A$36,$K$205^A88,IF(A88='Données projet'!$A$36,'Données projet'!$B$36,N87+M88-V87)))</f>
        <v>493.71428571428618</v>
      </c>
      <c r="O88" s="14">
        <f>N88*VLOOKUP('Données projet'!$B$9,Paramètres!$A$1:$I$89,3,0)*VLOOKUP('Données projet'!$B$9,Paramètres!$A$1:$I$89,5,0)</f>
        <v>231.05828571428594</v>
      </c>
      <c r="P88" s="14">
        <f t="shared" si="87"/>
        <v>56.511446472092771</v>
      </c>
      <c r="Q88" s="22">
        <f t="shared" si="54"/>
        <v>500.85061689127627</v>
      </c>
      <c r="R88" s="62">
        <f t="shared" si="55"/>
        <v>777.81407651757661</v>
      </c>
      <c r="S88" s="62">
        <f ca="1">AVERAGE(OFFSET($R$3,0,0,'Données projet'!$E$9+1,1))-AVERAGE(OFFSET($H$3,0,0,'Données projet'!$E$9+1,1))</f>
        <v>347.22603428907496</v>
      </c>
      <c r="T88" s="62">
        <f t="shared" si="88"/>
        <v>258.98427374339872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3.2516805516190017E-5</v>
      </c>
      <c r="AC88" s="24">
        <f t="shared" si="57"/>
        <v>3.2516805516190017E-5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387.18736830550665</v>
      </c>
      <c r="AO88" s="62">
        <f t="shared" si="90"/>
        <v>312.32487363394125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1.5105559623895461</v>
      </c>
      <c r="AW88" s="23">
        <f>EXP(-LN(2)/2)*AW87+(1-EXP(-LN(2)/2))/(LN(2)/2)*AQ88*AT88*VLOOKUP('Données projet'!$B$10,Paramètres!$A$1:$I$89,3,0)*0.475*44/12</f>
        <v>8.2767201539501493E-8</v>
      </c>
      <c r="AX88" s="23">
        <f t="shared" si="60"/>
        <v>1.5105560451567477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202.79999999999987</v>
      </c>
      <c r="BF88" s="14">
        <f t="shared" si="91"/>
        <v>50.359024179353973</v>
      </c>
      <c r="BG88" s="22">
        <f t="shared" si="61"/>
        <v>440.91863377904127</v>
      </c>
      <c r="BH88" s="62">
        <f t="shared" si="62"/>
        <v>717.88209340534161</v>
      </c>
      <c r="BI88" s="62">
        <f ca="1">AVERAGE(OFFSET($BH$3,0,0,'Données projet'!$E$11+1,1))-AVERAGE(OFFSET($H$3,0,0,'Données projet'!$E$11+1,1))</f>
        <v>343.31521637281833</v>
      </c>
      <c r="BJ88" s="62">
        <f t="shared" si="92"/>
        <v>179.67327892360623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65.535488988991005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2.6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9.5333333333333332</v>
      </c>
      <c r="H89" s="70">
        <f t="shared" si="56"/>
        <v>193.74666666666667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14.142857142857142</v>
      </c>
      <c r="N89" s="14">
        <f>IF('Données projet'!$A$36&gt;35,N88+M89-V88,IF(A89&lt;'Données projet'!$A$36,$K$205^A89,IF(A89='Données projet'!$A$36,'Données projet'!$B$36,N88+M89-V88)))</f>
        <v>507.85714285714334</v>
      </c>
      <c r="O89" s="14">
        <f>N89*VLOOKUP('Données projet'!$B$9,Paramètres!$A$1:$I$89,3,0)*VLOOKUP('Données projet'!$B$9,Paramètres!$A$1:$I$89,5,0)</f>
        <v>237.67714285714308</v>
      </c>
      <c r="P89" s="14">
        <f t="shared" si="87"/>
        <v>57.939473914063178</v>
      </c>
      <c r="Q89" s="22">
        <f t="shared" si="54"/>
        <v>514.86560754318418</v>
      </c>
      <c r="R89" s="62">
        <f t="shared" si="55"/>
        <v>792.11304788074665</v>
      </c>
      <c r="S89" s="62">
        <f ca="1">AVERAGE(OFFSET($R$3,0,0,'Données projet'!$E$9+1,1))-AVERAGE(OFFSET($H$3,0,0,'Données projet'!$E$9+1,1))</f>
        <v>347.22603428907496</v>
      </c>
      <c r="T89" s="62">
        <f t="shared" si="88"/>
        <v>258.98427374339872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2.2992853683022096E-5</v>
      </c>
      <c r="AC89" s="24">
        <f t="shared" si="57"/>
        <v>2.2992853683022096E-5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387.18736830550665</v>
      </c>
      <c r="AO89" s="62">
        <f t="shared" si="90"/>
        <v>312.32487363394125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1.4692497301613183</v>
      </c>
      <c r="AW89" s="23">
        <f>EXP(-LN(2)/2)*AW88+(1-EXP(-LN(2)/2))/(LN(2)/2)*AQ89*AT89*VLOOKUP('Données projet'!$B$10,Paramètres!$A$1:$I$89,3,0)*0.475*44/12</f>
        <v>5.8525249468415169E-8</v>
      </c>
      <c r="AX89" s="23">
        <f t="shared" si="60"/>
        <v>1.4692497886865679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192.86279999999988</v>
      </c>
      <c r="BF89" s="14">
        <f t="shared" si="91"/>
        <v>48.172325347436733</v>
      </c>
      <c r="BG89" s="22">
        <f t="shared" si="61"/>
        <v>419.80284331345206</v>
      </c>
      <c r="BH89" s="62">
        <f t="shared" si="62"/>
        <v>697.05028365101452</v>
      </c>
      <c r="BI89" s="62">
        <f ca="1">AVERAGE(OFFSET($BH$3,0,0,'Données projet'!$E$11+1,1))-AVERAGE(OFFSET($H$3,0,0,'Données projet'!$E$11+1,1))</f>
        <v>343.31521637281833</v>
      </c>
      <c r="BJ89" s="62">
        <f t="shared" si="92"/>
        <v>179.67327892360623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65.612938273880673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2.6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9.5333333333333332</v>
      </c>
      <c r="H90" s="70">
        <f t="shared" si="56"/>
        <v>193.74666666666667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522</v>
      </c>
      <c r="L90" s="13">
        <f>VLOOKUP(A90,'Données projet'!$A$35:$I$55,9,0)</f>
        <v>14.142857142857142</v>
      </c>
      <c r="M90" s="13">
        <f t="array" ref="M90">INDEX(L:L,MIN(IF(ISNUMBER(L90:L286),ROW(L90:L286),"")))</f>
        <v>14.142857142857142</v>
      </c>
      <c r="N90" s="14">
        <f>IF('Données projet'!$A$36&gt;35,N89+M90-V89,IF(A90&lt;'Données projet'!$A$36,$K$205^A90,IF(A90='Données projet'!$A$36,'Données projet'!$B$36,N89+M90-V89)))</f>
        <v>522.00000000000045</v>
      </c>
      <c r="O90" s="14">
        <f>N90*VLOOKUP('Données projet'!$B$9,Paramètres!$A$1:$I$89,3,0)*VLOOKUP('Données projet'!$B$9,Paramètres!$A$1:$I$89,5,0)</f>
        <v>244.29600000000022</v>
      </c>
      <c r="P90" s="14">
        <f t="shared" si="87"/>
        <v>59.362879241040417</v>
      </c>
      <c r="Q90" s="22">
        <f t="shared" si="54"/>
        <v>528.87254801147901</v>
      </c>
      <c r="R90" s="62">
        <f t="shared" si="55"/>
        <v>806.39904262984896</v>
      </c>
      <c r="S90" s="62">
        <f ca="1">AVERAGE(OFFSET($R$3,0,0,'Données projet'!$E$9+1,1))-AVERAGE(OFFSET($H$3,0,0,'Données projet'!$E$9+1,1))</f>
        <v>347.22603428907496</v>
      </c>
      <c r="T90" s="62">
        <f t="shared" si="88"/>
        <v>258.98427374339872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89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1.6258402758095008E-5</v>
      </c>
      <c r="AC90" s="24">
        <f t="shared" si="57"/>
        <v>1.6258402758095008E-5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387.18736830550665</v>
      </c>
      <c r="AO90" s="62">
        <f t="shared" si="90"/>
        <v>312.32487363394125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1.4290730190255718</v>
      </c>
      <c r="AW90" s="23">
        <f>EXP(-LN(2)/2)*AW89+(1-EXP(-LN(2)/2))/(LN(2)/2)*AQ90*AT90*VLOOKUP('Données projet'!$B$10,Paramètres!$A$1:$I$89,3,0)*0.475*44/12</f>
        <v>4.1383600769750753E-8</v>
      </c>
      <c r="AX90" s="23">
        <f t="shared" si="60"/>
        <v>1.4290730604091726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197.12159999999986</v>
      </c>
      <c r="BF90" s="14">
        <f t="shared" si="91"/>
        <v>49.111049803800405</v>
      </c>
      <c r="BG90" s="22">
        <f t="shared" si="61"/>
        <v>428.85519840828539</v>
      </c>
      <c r="BH90" s="62">
        <f t="shared" si="62"/>
        <v>706.3816930266554</v>
      </c>
      <c r="BI90" s="62">
        <f ca="1">AVERAGE(OFFSET($BH$3,0,0,'Données projet'!$E$11+1,1))-AVERAGE(OFFSET($H$3,0,0,'Données projet'!$E$11+1,1))</f>
        <v>343.31521637281833</v>
      </c>
      <c r="BJ90" s="62">
        <f t="shared" si="92"/>
        <v>179.67327892360623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65.689043986828182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2.6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9.5333333333333332</v>
      </c>
      <c r="H91" s="70">
        <f t="shared" si="56"/>
        <v>193.74666666666667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447</v>
      </c>
      <c r="L91" s="13">
        <f>VLOOKUP(A91,'Données projet'!$A$35:$I$55,9,0)</f>
        <v>14</v>
      </c>
      <c r="M91" s="13">
        <f t="array" ref="M91">INDEX(L:L,MIN(IF(ISNUMBER(L91:L287),ROW(L91:L287),"")))</f>
        <v>14</v>
      </c>
      <c r="N91" s="14">
        <f>IF('Données projet'!$A$36&gt;35,N90+M91-V90,IF(A91&lt;'Données projet'!$A$36,$K$205^A91,IF(A91='Données projet'!$A$36,'Données projet'!$B$36,N90+M91-V90)))</f>
        <v>447.00000000000045</v>
      </c>
      <c r="O91" s="14">
        <f>N91*VLOOKUP('Données projet'!$B$9,Paramètres!$A$1:$I$89,3,0)*VLOOKUP('Données projet'!$B$9,Paramètres!$A$1:$I$89,5,0)</f>
        <v>209.19600000000023</v>
      </c>
      <c r="P91" s="14">
        <f t="shared" si="87"/>
        <v>51.759852265375834</v>
      </c>
      <c r="Q91" s="22">
        <f t="shared" si="54"/>
        <v>454.4981093621966</v>
      </c>
      <c r="R91" s="62">
        <f t="shared" si="55"/>
        <v>732.29881729347403</v>
      </c>
      <c r="S91" s="62">
        <f ca="1">AVERAGE(OFFSET($R$3,0,0,'Données projet'!$E$9+1,1))-AVERAGE(OFFSET($H$3,0,0,'Données projet'!$E$9+1,1))</f>
        <v>347.22603428907496</v>
      </c>
      <c r="T91" s="62">
        <f t="shared" si="88"/>
        <v>258.98427374339872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1.1496426841511048E-5</v>
      </c>
      <c r="AC91" s="24">
        <f t="shared" si="57"/>
        <v>1.1496426841511048E-5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387.18736830550665</v>
      </c>
      <c r="AO91" s="62">
        <f t="shared" si="90"/>
        <v>312.32487363394125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1.3899949421686337</v>
      </c>
      <c r="AW91" s="23">
        <f>EXP(-LN(2)/2)*AW90+(1-EXP(-LN(2)/2))/(LN(2)/2)*AQ91*AT91*VLOOKUP('Données projet'!$B$10,Paramètres!$A$1:$I$89,3,0)*0.475*44/12</f>
        <v>2.9262624734207588E-8</v>
      </c>
      <c r="AX91" s="23">
        <f t="shared" si="60"/>
        <v>1.3899949714312585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201.38039999999984</v>
      </c>
      <c r="BF91" s="14">
        <f t="shared" si="91"/>
        <v>50.047416314000095</v>
      </c>
      <c r="BG91" s="22">
        <f t="shared" si="61"/>
        <v>437.90344674688322</v>
      </c>
      <c r="BH91" s="62">
        <f t="shared" si="62"/>
        <v>715.70415467816065</v>
      </c>
      <c r="BI91" s="62">
        <f ca="1">AVERAGE(OFFSET($BH$3,0,0,'Données projet'!$E$11+1,1))-AVERAGE(OFFSET($H$3,0,0,'Données projet'!$E$11+1,1))</f>
        <v>343.31521637281833</v>
      </c>
      <c r="BJ91" s="62">
        <f t="shared" si="92"/>
        <v>179.67327892360623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65.763829435802919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2.6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9.5333333333333332</v>
      </c>
      <c r="H92" s="70">
        <f t="shared" si="56"/>
        <v>193.74666666666667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</v>
      </c>
      <c r="N92" s="14">
        <f>IF('Données projet'!$A$36&gt;35,N91+M92-V91,IF(A92&lt;'Données projet'!$A$36,$K$205^A92,IF(A92='Données projet'!$A$36,'Données projet'!$B$36,N91+M92-V91)))</f>
        <v>460.00000000000045</v>
      </c>
      <c r="O92" s="14">
        <f>N92*VLOOKUP('Données projet'!$B$9,Paramètres!$A$1:$I$89,3,0)*VLOOKUP('Données projet'!$B$9,Paramètres!$A$1:$I$89,5,0)</f>
        <v>215.28000000000023</v>
      </c>
      <c r="P92" s="14">
        <f t="shared" si="87"/>
        <v>53.08772574085318</v>
      </c>
      <c r="Q92" s="22">
        <f t="shared" si="54"/>
        <v>467.40712233198633</v>
      </c>
      <c r="R92" s="62">
        <f t="shared" si="55"/>
        <v>745.47728658824121</v>
      </c>
      <c r="S92" s="62">
        <f ca="1">AVERAGE(OFFSET($R$3,0,0,'Données projet'!$E$9+1,1))-AVERAGE(OFFSET($H$3,0,0,'Données projet'!$E$9+1,1))</f>
        <v>347.22603428907496</v>
      </c>
      <c r="T92" s="62">
        <f t="shared" si="88"/>
        <v>258.98427374339872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8.1292013790475042E-6</v>
      </c>
      <c r="AC92" s="24">
        <f t="shared" si="57"/>
        <v>8.1292013790475042E-6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387.18736830550665</v>
      </c>
      <c r="AO92" s="62">
        <f t="shared" si="90"/>
        <v>312.32487363394125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1.3519854573783754</v>
      </c>
      <c r="AW92" s="23">
        <f>EXP(-LN(2)/2)*AW91+(1-EXP(-LN(2)/2))/(LN(2)/2)*AQ92*AT92*VLOOKUP('Données projet'!$B$10,Paramètres!$A$1:$I$89,3,0)*0.475*44/12</f>
        <v>2.069180038487538E-8</v>
      </c>
      <c r="AX92" s="23">
        <f t="shared" si="60"/>
        <v>1.3519854780701759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205.63919999999982</v>
      </c>
      <c r="BF92" s="14">
        <f t="shared" si="91"/>
        <v>50.981480488268076</v>
      </c>
      <c r="BG92" s="22">
        <f t="shared" si="61"/>
        <v>446.94768518373326</v>
      </c>
      <c r="BH92" s="62">
        <f t="shared" si="62"/>
        <v>725.01784943998814</v>
      </c>
      <c r="BI92" s="62">
        <f ca="1">AVERAGE(OFFSET($BH$3,0,0,'Données projet'!$E$11+1,1))-AVERAGE(OFFSET($H$3,0,0,'Données projet'!$E$11+1,1))</f>
        <v>343.31521637281833</v>
      </c>
      <c r="BJ92" s="62">
        <f t="shared" si="92"/>
        <v>179.67327892360623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65.837317524433161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2.6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9.5333333333333332</v>
      </c>
      <c r="H93" s="70">
        <f t="shared" si="56"/>
        <v>193.74666666666667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</v>
      </c>
      <c r="N93" s="14">
        <f>IF('Données projet'!$A$36&gt;35,N92+M93-V92,IF(A93&lt;'Données projet'!$A$36,$K$205^A93,IF(A93='Données projet'!$A$36,'Données projet'!$B$36,N92+M93-V92)))</f>
        <v>473.00000000000045</v>
      </c>
      <c r="O93" s="14">
        <f>N93*VLOOKUP('Données projet'!$B$9,Paramètres!$A$1:$I$89,3,0)*VLOOKUP('Données projet'!$B$9,Paramètres!$A$1:$I$89,5,0)</f>
        <v>221.3640000000002</v>
      </c>
      <c r="P93" s="14">
        <f t="shared" si="87"/>
        <v>54.411237653200843</v>
      </c>
      <c r="Q93" s="22">
        <f t="shared" si="54"/>
        <v>480.30853891265838</v>
      </c>
      <c r="R93" s="62">
        <f t="shared" si="55"/>
        <v>758.6434850290666</v>
      </c>
      <c r="S93" s="62">
        <f ca="1">AVERAGE(OFFSET($R$3,0,0,'Données projet'!$E$9+1,1))-AVERAGE(OFFSET($H$3,0,0,'Données projet'!$E$9+1,1))</f>
        <v>347.22603428907496</v>
      </c>
      <c r="T93" s="62">
        <f t="shared" si="88"/>
        <v>258.98427374339872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5.748213420755524E-6</v>
      </c>
      <c r="AC93" s="24">
        <f t="shared" si="57"/>
        <v>5.748213420755524E-6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387.18736830550665</v>
      </c>
      <c r="AO93" s="62">
        <f t="shared" si="90"/>
        <v>312.32487363394125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1.3150153439485386</v>
      </c>
      <c r="AW93" s="23">
        <f>EXP(-LN(2)/2)*AW92+(1-EXP(-LN(2)/2))/(LN(2)/2)*AQ93*AT93*VLOOKUP('Données projet'!$B$10,Paramètres!$A$1:$I$89,3,0)*0.475*44/12</f>
        <v>1.4631312367103795E-8</v>
      </c>
      <c r="AX93" s="23">
        <f t="shared" si="60"/>
        <v>1.315015358579851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209.8979999999998</v>
      </c>
      <c r="BF93" s="14">
        <f t="shared" si="91"/>
        <v>51.913295501810218</v>
      </c>
      <c r="BG93" s="22">
        <f t="shared" si="61"/>
        <v>455.98800633231912</v>
      </c>
      <c r="BH93" s="62">
        <f t="shared" si="62"/>
        <v>734.32295244872739</v>
      </c>
      <c r="BI93" s="62">
        <f ca="1">AVERAGE(OFFSET($BH$3,0,0,'Données projet'!$E$11+1,1))-AVERAGE(OFFSET($H$3,0,0,'Données projet'!$E$11+1,1))</f>
        <v>343.31521637281833</v>
      </c>
      <c r="BJ93" s="62">
        <f t="shared" si="92"/>
        <v>179.67327892360623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65.909530759020427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2.6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9.5333333333333332</v>
      </c>
      <c r="H94" s="70">
        <f t="shared" si="56"/>
        <v>193.74666666666667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</v>
      </c>
      <c r="N94" s="14">
        <f>IF('Données projet'!$A$36&gt;35,N93+M94-V93,IF(A94&lt;'Données projet'!$A$36,$K$205^A94,IF(A94='Données projet'!$A$36,'Données projet'!$B$36,N93+M94-V93)))</f>
        <v>486.00000000000045</v>
      </c>
      <c r="O94" s="14">
        <f>N94*VLOOKUP('Données projet'!$B$9,Paramètres!$A$1:$I$89,3,0)*VLOOKUP('Données projet'!$B$9,Paramètres!$A$1:$I$89,5,0)</f>
        <v>227.44800000000021</v>
      </c>
      <c r="P94" s="14">
        <f t="shared" si="87"/>
        <v>55.730521649800735</v>
      </c>
      <c r="Q94" s="22">
        <f t="shared" si="54"/>
        <v>493.20259187340326</v>
      </c>
      <c r="R94" s="62">
        <f t="shared" si="55"/>
        <v>771.7977264766547</v>
      </c>
      <c r="S94" s="62">
        <f ca="1">AVERAGE(OFFSET($R$3,0,0,'Données projet'!$E$9+1,1))-AVERAGE(OFFSET($H$3,0,0,'Données projet'!$E$9+1,1))</f>
        <v>347.22603428907496</v>
      </c>
      <c r="T94" s="62">
        <f t="shared" si="88"/>
        <v>258.98427374339872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4.0646006895237521E-6</v>
      </c>
      <c r="AC94" s="24">
        <f t="shared" si="57"/>
        <v>4.0646006895237521E-6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387.18736830550665</v>
      </c>
      <c r="AO94" s="62">
        <f t="shared" si="90"/>
        <v>312.32487363394125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1.2790561802146143</v>
      </c>
      <c r="AW94" s="23">
        <f>EXP(-LN(2)/2)*AW93+(1-EXP(-LN(2)/2))/(LN(2)/2)*AQ94*AT94*VLOOKUP('Données projet'!$B$10,Paramètres!$A$1:$I$89,3,0)*0.475*44/12</f>
        <v>1.0345900192437692E-8</v>
      </c>
      <c r="AX94" s="23">
        <f t="shared" si="60"/>
        <v>1.2790561905605144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199.55519999999984</v>
      </c>
      <c r="BF94" s="14">
        <f t="shared" si="91"/>
        <v>49.646401484745567</v>
      </c>
      <c r="BG94" s="22">
        <f t="shared" si="61"/>
        <v>434.02612258593155</v>
      </c>
      <c r="BH94" s="62">
        <f t="shared" si="62"/>
        <v>712.62125718918298</v>
      </c>
      <c r="BI94" s="62">
        <f ca="1">AVERAGE(OFFSET($BH$3,0,0,'Données projet'!$E$11+1,1))-AVERAGE(OFFSET($H$3,0,0,'Données projet'!$E$11+1,1))</f>
        <v>343.31521637281833</v>
      </c>
      <c r="BJ94" s="62">
        <f t="shared" si="92"/>
        <v>179.67327892360623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65.980491255432213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2.6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9.5333333333333332</v>
      </c>
      <c r="H95" s="70">
        <f t="shared" si="56"/>
        <v>193.74666666666667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</v>
      </c>
      <c r="N95" s="14">
        <f>IF('Données projet'!$A$36&gt;35,N94+M95-V94,IF(A95&lt;'Données projet'!$A$36,$K$205^A95,IF(A95='Données projet'!$A$36,'Données projet'!$B$36,N94+M95-V94)))</f>
        <v>499.00000000000045</v>
      </c>
      <c r="O95" s="14">
        <f>N95*VLOOKUP('Données projet'!$B$9,Paramètres!$A$1:$I$89,3,0)*VLOOKUP('Données projet'!$B$9,Paramètres!$A$1:$I$89,5,0)</f>
        <v>233.53200000000021</v>
      </c>
      <c r="P95" s="14">
        <f t="shared" si="87"/>
        <v>57.04570382109813</v>
      </c>
      <c r="Q95" s="22">
        <f t="shared" si="54"/>
        <v>506.08950082174624</v>
      </c>
      <c r="R95" s="62">
        <f t="shared" si="55"/>
        <v>784.94031022328841</v>
      </c>
      <c r="S95" s="62">
        <f ca="1">AVERAGE(OFFSET($R$3,0,0,'Données projet'!$E$9+1,1))-AVERAGE(OFFSET($H$3,0,0,'Données projet'!$E$9+1,1))</f>
        <v>347.22603428907496</v>
      </c>
      <c r="T95" s="62">
        <f t="shared" si="88"/>
        <v>258.98427374339872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2.874106710377762E-6</v>
      </c>
      <c r="AC95" s="24">
        <f t="shared" si="57"/>
        <v>2.874106710377762E-6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387.18736830550665</v>
      </c>
      <c r="AO95" s="62">
        <f t="shared" si="90"/>
        <v>312.32487363394125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1.2440803217040044</v>
      </c>
      <c r="AW95" s="23">
        <f>EXP(-LN(2)/2)*AW94+(1-EXP(-LN(2)/2))/(LN(2)/2)*AQ95*AT95*VLOOKUP('Données projet'!$B$10,Paramètres!$A$1:$I$89,3,0)*0.475*44/12</f>
        <v>7.3156561835518994E-9</v>
      </c>
      <c r="AX95" s="23">
        <f t="shared" si="60"/>
        <v>1.2440803290196605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203.40839999999986</v>
      </c>
      <c r="BF95" s="14">
        <f t="shared" si="91"/>
        <v>50.492492598976959</v>
      </c>
      <c r="BG95" s="22">
        <f t="shared" si="61"/>
        <v>442.21072127655128</v>
      </c>
      <c r="BH95" s="62">
        <f t="shared" si="62"/>
        <v>721.0615306780935</v>
      </c>
      <c r="BI95" s="62">
        <f ca="1">AVERAGE(OFFSET($BH$3,0,0,'Données projet'!$E$11+1,1))-AVERAGE(OFFSET($H$3,0,0,'Données projet'!$E$11+1,1))</f>
        <v>343.31521637281833</v>
      </c>
      <c r="BJ95" s="62">
        <f t="shared" si="92"/>
        <v>179.67327892360623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66.050220745875151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2.6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9.5333333333333332</v>
      </c>
      <c r="H96" s="70">
        <f t="shared" si="56"/>
        <v>193.74666666666667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</v>
      </c>
      <c r="N96" s="14">
        <f>IF('Données projet'!$A$36&gt;35,N95+M96-V95,IF(A96&lt;'Données projet'!$A$36,$K$205^A96,IF(A96='Données projet'!$A$36,'Données projet'!$B$36,N95+M96-V95)))</f>
        <v>512.00000000000045</v>
      </c>
      <c r="O96" s="14">
        <f>N96*VLOOKUP('Données projet'!$B$9,Paramètres!$A$1:$I$89,3,0)*VLOOKUP('Données projet'!$B$9,Paramètres!$A$1:$I$89,5,0)</f>
        <v>239.61600000000021</v>
      </c>
      <c r="P96" s="14">
        <f t="shared" si="87"/>
        <v>58.356903313490214</v>
      </c>
      <c r="Q96" s="22">
        <f t="shared" si="54"/>
        <v>518.96947327099576</v>
      </c>
      <c r="R96" s="62">
        <f t="shared" si="55"/>
        <v>798.07152208468165</v>
      </c>
      <c r="S96" s="62">
        <f ca="1">AVERAGE(OFFSET($R$3,0,0,'Données projet'!$E$9+1,1))-AVERAGE(OFFSET($H$3,0,0,'Données projet'!$E$9+1,1))</f>
        <v>347.22603428907496</v>
      </c>
      <c r="T96" s="62">
        <f t="shared" si="88"/>
        <v>258.98427374339872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2.0323003447618761E-6</v>
      </c>
      <c r="AC96" s="24">
        <f t="shared" si="57"/>
        <v>2.0323003447618761E-6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387.18736830550665</v>
      </c>
      <c r="AO96" s="62">
        <f t="shared" si="90"/>
        <v>312.32487363394125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1.2100608798836676</v>
      </c>
      <c r="AW96" s="23">
        <f>EXP(-LN(2)/2)*AW95+(1-EXP(-LN(2)/2))/(LN(2)/2)*AQ96*AT96*VLOOKUP('Données projet'!$B$10,Paramètres!$A$1:$I$89,3,0)*0.475*44/12</f>
        <v>5.1729500962188466E-9</v>
      </c>
      <c r="AX96" s="23">
        <f t="shared" si="60"/>
        <v>1.2100608850566177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207.26159999999985</v>
      </c>
      <c r="BF96" s="14">
        <f t="shared" si="91"/>
        <v>51.3367200324452</v>
      </c>
      <c r="BG96" s="22">
        <f t="shared" si="61"/>
        <v>450.39207405650836</v>
      </c>
      <c r="BH96" s="62">
        <f t="shared" si="62"/>
        <v>729.49412287019413</v>
      </c>
      <c r="BI96" s="62">
        <f ca="1">AVERAGE(OFFSET($BH$3,0,0,'Données projet'!$E$11+1,1))-AVERAGE(OFFSET($H$3,0,0,'Données projet'!$E$11+1,1))</f>
        <v>343.31521637281833</v>
      </c>
      <c r="BJ96" s="62">
        <f t="shared" si="92"/>
        <v>179.67327892360623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66.118740585550682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2.6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9.5333333333333332</v>
      </c>
      <c r="H97" s="70">
        <f t="shared" si="56"/>
        <v>193.74666666666667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525</v>
      </c>
      <c r="L97" s="13">
        <f>VLOOKUP(A97,'Données projet'!$A$35:$I$55,9,0)</f>
        <v>13</v>
      </c>
      <c r="M97" s="13">
        <f t="array" ref="M97">INDEX(L:L,MIN(IF(ISNUMBER(L97:L293),ROW(L97:L293),"")))</f>
        <v>13</v>
      </c>
      <c r="N97" s="14">
        <f>IF('Données projet'!$A$36&gt;35,N96+M97-V96,IF(A97&lt;'Données projet'!$A$36,$K$205^A97,IF(A97='Données projet'!$A$36,'Données projet'!$B$36,N96+M97-V96)))</f>
        <v>525.00000000000045</v>
      </c>
      <c r="O97" s="14">
        <f>N97*VLOOKUP('Données projet'!$B$9,Paramètres!$A$1:$I$89,3,0)*VLOOKUP('Données projet'!$B$9,Paramètres!$A$1:$I$89,5,0)</f>
        <v>245.70000000000022</v>
      </c>
      <c r="P97" s="14">
        <f t="shared" si="87"/>
        <v>59.66423287821754</v>
      </c>
      <c r="Q97" s="22">
        <f t="shared" si="54"/>
        <v>531.84270559622928</v>
      </c>
      <c r="R97" s="62">
        <f t="shared" si="55"/>
        <v>811.19163537994518</v>
      </c>
      <c r="S97" s="62">
        <f ca="1">AVERAGE(OFFSET($R$3,0,0,'Données projet'!$E$9+1,1))-AVERAGE(OFFSET($H$3,0,0,'Données projet'!$E$9+1,1))</f>
        <v>347.22603428907496</v>
      </c>
      <c r="T97" s="62">
        <f t="shared" si="88"/>
        <v>258.98427374339872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1.437053355188881E-6</v>
      </c>
      <c r="AC97" s="24">
        <f t="shared" si="57"/>
        <v>1.437053355188881E-6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387.18736830550665</v>
      </c>
      <c r="AO97" s="62">
        <f t="shared" si="90"/>
        <v>312.32487363394125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1.1769717014889127</v>
      </c>
      <c r="AW97" s="23">
        <f>EXP(-LN(2)/2)*AW96+(1-EXP(-LN(2)/2))/(LN(2)/2)*AQ97*AT97*VLOOKUP('Données projet'!$B$10,Paramètres!$A$1:$I$89,3,0)*0.475*44/12</f>
        <v>3.6578280917759501E-9</v>
      </c>
      <c r="AX97" s="23">
        <f t="shared" si="60"/>
        <v>1.1769717051467408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211.11479999999986</v>
      </c>
      <c r="BF97" s="14">
        <f t="shared" si="91"/>
        <v>52.179122428493628</v>
      </c>
      <c r="BG97" s="22">
        <f t="shared" si="61"/>
        <v>458.57024822962609</v>
      </c>
      <c r="BH97" s="62">
        <f t="shared" si="62"/>
        <v>737.91917801334205</v>
      </c>
      <c r="BI97" s="62">
        <f ca="1">AVERAGE(OFFSET($BH$3,0,0,'Données projet'!$E$11+1,1))-AVERAGE(OFFSET($H$3,0,0,'Données projet'!$E$11+1,1))</f>
        <v>343.31521637281833</v>
      </c>
      <c r="BJ97" s="62">
        <f t="shared" si="92"/>
        <v>179.67327892360623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66.186071759195272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2.6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9.5333333333333332</v>
      </c>
      <c r="H98" s="70">
        <f t="shared" si="56"/>
        <v>193.74666666666667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</v>
      </c>
      <c r="L98" s="13">
        <f>VLOOKUP(A98,'Données projet'!$A$35:$I$55,9,0)</f>
        <v>13</v>
      </c>
      <c r="M98" s="13">
        <f t="array" ref="M98">INDEX(L:L,MIN(IF(ISNUMBER(L98:L294),ROW(L98:L294),"")))</f>
        <v>13</v>
      </c>
      <c r="N98" s="14">
        <f>IF('Données projet'!$A$36&gt;35,N97+M98-V97,IF(A98&lt;'Données projet'!$A$36,$K$205^A98,IF(A98='Données projet'!$A$36,'Données projet'!$B$36,N97+M98-V97)))</f>
        <v>538.00000000000045</v>
      </c>
      <c r="O98" s="14">
        <f>N98*VLOOKUP('Données projet'!$B$9,Paramètres!$A$1:$I$89,3,0)*VLOOKUP('Données projet'!$B$9,Paramètres!$A$1:$I$89,5,0)</f>
        <v>251.78400000000019</v>
      </c>
      <c r="P98" s="14">
        <f t="shared" si="87"/>
        <v>60.967799364357568</v>
      </c>
      <c r="Q98" s="22">
        <f t="shared" si="54"/>
        <v>544.70938389292303</v>
      </c>
      <c r="R98" s="62">
        <f t="shared" si="55"/>
        <v>824.30091181378225</v>
      </c>
      <c r="S98" s="62">
        <f ca="1">AVERAGE(OFFSET($R$3,0,0,'Données projet'!$E$9+1,1))-AVERAGE(OFFSET($H$3,0,0,'Données projet'!$E$9+1,1))</f>
        <v>347.22603428907496</v>
      </c>
      <c r="T98" s="62">
        <f t="shared" si="88"/>
        <v>258.98427374339872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269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1.016150172380938E-6</v>
      </c>
      <c r="AC98" s="24">
        <f t="shared" si="57"/>
        <v>1.016150172380938E-6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387.18736830550665</v>
      </c>
      <c r="AO98" s="62">
        <f t="shared" si="90"/>
        <v>312.32487363394125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1.1447873484174467</v>
      </c>
      <c r="AW98" s="23">
        <f>EXP(-LN(2)/2)*AW97+(1-EXP(-LN(2)/2))/(LN(2)/2)*AQ98*AT98*VLOOKUP('Données projet'!$B$10,Paramètres!$A$1:$I$89,3,0)*0.475*44/12</f>
        <v>2.5864750481094237E-9</v>
      </c>
      <c r="AX98" s="23">
        <f t="shared" si="60"/>
        <v>1.1447873510039217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214.9679999999999</v>
      </c>
      <c r="BF98" s="14">
        <f t="shared" si="91"/>
        <v>53.019736939092994</v>
      </c>
      <c r="BG98" s="22">
        <f t="shared" si="61"/>
        <v>466.74530850225341</v>
      </c>
      <c r="BH98" s="62">
        <f t="shared" si="62"/>
        <v>746.33683642311269</v>
      </c>
      <c r="BI98" s="62">
        <f ca="1">AVERAGE(OFFSET($BH$3,0,0,'Données projet'!$E$11+1,1))-AVERAGE(OFFSET($H$3,0,0,'Données projet'!$E$11+1,1))</f>
        <v>343.31521637281833</v>
      </c>
      <c r="BJ98" s="62">
        <f t="shared" si="92"/>
        <v>179.67327892360623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66.252234887507072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2.6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9.5333333333333332</v>
      </c>
      <c r="H99" s="70">
        <f t="shared" si="56"/>
        <v>193.74666666666667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</v>
      </c>
      <c r="L99" s="13">
        <f>VLOOKUP(A99,'Données projet'!$A$35:$I$55,9,0)</f>
        <v>11</v>
      </c>
      <c r="M99" s="13">
        <f t="array" ref="M99">INDEX(L:L,MIN(IF(ISNUMBER(L99:L295),ROW(L99:L295),"")))</f>
        <v>11</v>
      </c>
      <c r="N99" s="14">
        <f>IF('Données projet'!$A$36&gt;35,N98+M99-V98,IF(A99&lt;'Données projet'!$A$36,$K$205^A99,IF(A99='Données projet'!$A$36,'Données projet'!$B$36,N98+M99-V98)))</f>
        <v>280.00000000000045</v>
      </c>
      <c r="O99" s="14">
        <f>N99*VLOOKUP('Données projet'!$B$9,Paramètres!$A$1:$I$89,3,0)*VLOOKUP('Données projet'!$B$9,Paramètres!$A$1:$I$89,5,0)</f>
        <v>131.04000000000019</v>
      </c>
      <c r="P99" s="14">
        <f t="shared" si="87"/>
        <v>34.236561238949953</v>
      </c>
      <c r="Q99" s="22">
        <f t="shared" ref="Q99:Q130" si="107">(O99+P99)*0.475*44/12</f>
        <v>287.85667749117147</v>
      </c>
      <c r="R99" s="62">
        <f t="shared" si="55"/>
        <v>567.68659501386287</v>
      </c>
      <c r="S99" s="62">
        <f ca="1">AVERAGE(OFFSET($R$3,0,0,'Données projet'!$E$9+1,1))-AVERAGE(OFFSET($H$3,0,0,'Données projet'!$E$9+1,1))</f>
        <v>347.22603428907496</v>
      </c>
      <c r="T99" s="62">
        <f t="shared" si="88"/>
        <v>258.98427374339872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7.185266775944405E-7</v>
      </c>
      <c r="AC99" s="24">
        <f t="shared" si="57"/>
        <v>7.185266775944405E-7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387.18736830550665</v>
      </c>
      <c r="AO99" s="62">
        <f t="shared" si="90"/>
        <v>312.32487363394125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1.1134830781732215</v>
      </c>
      <c r="AW99" s="23">
        <f>EXP(-LN(2)/2)*AW98+(1-EXP(-LN(2)/2))/(LN(2)/2)*AQ99*AT99*VLOOKUP('Données projet'!$B$10,Paramètres!$A$1:$I$89,3,0)*0.475*44/12</f>
        <v>1.8289140458879755E-9</v>
      </c>
      <c r="AX99" s="23">
        <f t="shared" si="60"/>
        <v>1.1134830800021356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204.42239999999987</v>
      </c>
      <c r="BF99" s="14">
        <f t="shared" si="91"/>
        <v>50.714836797527262</v>
      </c>
      <c r="BG99" s="22">
        <f t="shared" si="61"/>
        <v>444.36402075569305</v>
      </c>
      <c r="BH99" s="62">
        <f t="shared" si="62"/>
        <v>724.19393827838439</v>
      </c>
      <c r="BI99" s="62">
        <f ca="1">AVERAGE(OFFSET($BH$3,0,0,'Données projet'!$E$11+1,1))-AVERAGE(OFFSET($H$3,0,0,'Données projet'!$E$11+1,1))</f>
        <v>343.31521637281833</v>
      </c>
      <c r="BJ99" s="62">
        <f t="shared" si="92"/>
        <v>179.67327892360623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66.317250233461266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2.6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9.5333333333333332</v>
      </c>
      <c r="H100" s="70">
        <f t="shared" si="56"/>
        <v>193.74666666666667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8.5555555555555554</v>
      </c>
      <c r="N100" s="14">
        <f>IF('Données projet'!$A$36&gt;35,N99+M100-V99,IF(A100&lt;'Données projet'!$A$36,$K$205^A100,IF(A100='Données projet'!$A$36,'Données projet'!$B$36,N99+M100-V99)))</f>
        <v>288.555555555556</v>
      </c>
      <c r="O100" s="14">
        <f>N100*VLOOKUP('Données projet'!$B$9,Paramètres!$A$1:$I$89,3,0)*VLOOKUP('Données projet'!$B$9,Paramètres!$A$1:$I$89,5,0)</f>
        <v>135.04400000000021</v>
      </c>
      <c r="P100" s="14">
        <f t="shared" si="87"/>
        <v>35.159284945629004</v>
      </c>
      <c r="Q100" s="22">
        <f t="shared" si="107"/>
        <v>296.43738794697089</v>
      </c>
      <c r="R100" s="62">
        <f t="shared" si="55"/>
        <v>576.50155954486172</v>
      </c>
      <c r="S100" s="62">
        <f ca="1">AVERAGE(OFFSET($R$3,0,0,'Données projet'!$E$9+1,1))-AVERAGE(OFFSET($H$3,0,0,'Données projet'!$E$9+1,1))</f>
        <v>347.22603428907496</v>
      </c>
      <c r="T100" s="62">
        <f t="shared" si="88"/>
        <v>258.98427374339872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5.0807508619046901E-7</v>
      </c>
      <c r="AC100" s="24">
        <f t="shared" si="57"/>
        <v>5.0807508619046901E-7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387.18736830550665</v>
      </c>
      <c r="AO100" s="62">
        <f t="shared" si="90"/>
        <v>312.32487363394125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1.0830348248450445</v>
      </c>
      <c r="AW100" s="23">
        <f>EXP(-LN(2)/2)*AW99+(1-EXP(-LN(2)/2))/(LN(2)/2)*AQ100*AT100*VLOOKUP('Données projet'!$B$10,Paramètres!$A$1:$I$89,3,0)*0.475*44/12</f>
        <v>1.2932375240547121E-9</v>
      </c>
      <c r="AX100" s="23">
        <f t="shared" si="60"/>
        <v>1.0830348261382821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208.07279999999986</v>
      </c>
      <c r="BF100" s="14">
        <f t="shared" si="91"/>
        <v>51.514218302854317</v>
      </c>
      <c r="BG100" s="22">
        <f t="shared" si="61"/>
        <v>452.114056877471</v>
      </c>
      <c r="BH100" s="62">
        <f t="shared" si="62"/>
        <v>732.17822847536183</v>
      </c>
      <c r="BI100" s="62">
        <f ca="1">AVERAGE(OFFSET($BH$3,0,0,'Données projet'!$E$11+1,1))-AVERAGE(OFFSET($H$3,0,0,'Données projet'!$E$11+1,1))</f>
        <v>343.31521637281833</v>
      </c>
      <c r="BJ100" s="62">
        <f t="shared" si="92"/>
        <v>179.67327892360623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66.381137708515681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2.6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9.5333333333333332</v>
      </c>
      <c r="H101" s="70">
        <f t="shared" si="56"/>
        <v>193.74666666666667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8.5555555555555554</v>
      </c>
      <c r="N101" s="14">
        <f>IF('Données projet'!$A$36&gt;35,N100+M101-V100,IF(A101&lt;'Données projet'!$A$36,$K$205^A101,IF(A101='Données projet'!$A$36,'Données projet'!$B$36,N100+M101-V100)))</f>
        <v>297.11111111111154</v>
      </c>
      <c r="O101" s="14">
        <f>N101*VLOOKUP('Données projet'!$B$9,Paramètres!$A$1:$I$89,3,0)*VLOOKUP('Données projet'!$B$9,Paramètres!$A$1:$I$89,5,0)</f>
        <v>139.0480000000002</v>
      </c>
      <c r="P101" s="14">
        <f t="shared" si="87"/>
        <v>36.078829132999324</v>
      </c>
      <c r="Q101" s="22">
        <f t="shared" si="107"/>
        <v>305.01256073997416</v>
      </c>
      <c r="R101" s="62">
        <f t="shared" si="55"/>
        <v>585.30692262857349</v>
      </c>
      <c r="S101" s="62">
        <f ca="1">AVERAGE(OFFSET($R$3,0,0,'Données projet'!$E$9+1,1))-AVERAGE(OFFSET($H$3,0,0,'Données projet'!$E$9+1,1))</f>
        <v>347.22603428907496</v>
      </c>
      <c r="T101" s="62">
        <f t="shared" si="88"/>
        <v>258.98427374339872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3.5926333879722025E-7</v>
      </c>
      <c r="AC101" s="24">
        <f t="shared" si="57"/>
        <v>3.5926333879722025E-7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387.18736830550665</v>
      </c>
      <c r="AO101" s="62">
        <f t="shared" si="90"/>
        <v>312.32487363394125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1.0534191806053306</v>
      </c>
      <c r="AW101" s="23">
        <f>EXP(-LN(2)/2)*AW100+(1-EXP(-LN(2)/2))/(LN(2)/2)*AQ101*AT101*VLOOKUP('Données projet'!$B$10,Paramètres!$A$1:$I$89,3,0)*0.475*44/12</f>
        <v>9.1445702294398784E-10</v>
      </c>
      <c r="AX101" s="23">
        <f t="shared" si="60"/>
        <v>1.0534191815197875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211.72319999999988</v>
      </c>
      <c r="BF101" s="14">
        <f t="shared" si="91"/>
        <v>52.311968964212028</v>
      </c>
      <c r="BG101" s="22">
        <f t="shared" si="61"/>
        <v>459.86125261266903</v>
      </c>
      <c r="BH101" s="62">
        <f t="shared" si="62"/>
        <v>740.15561450126836</v>
      </c>
      <c r="BI101" s="62">
        <f ca="1">AVERAGE(OFFSET($BH$3,0,0,'Données projet'!$E$11+1,1))-AVERAGE(OFFSET($H$3,0,0,'Données projet'!$E$11+1,1))</f>
        <v>343.31521637281833</v>
      </c>
      <c r="BJ101" s="62">
        <f t="shared" si="92"/>
        <v>179.67327892360623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66.443916878708905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2.6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9.5333333333333332</v>
      </c>
      <c r="H102" s="70">
        <f t="shared" si="56"/>
        <v>193.74666666666667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8.5555555555555554</v>
      </c>
      <c r="N102" s="14">
        <f>IF('Données projet'!$A$36&gt;35,N101+M102-V101,IF(A102&lt;'Données projet'!$A$36,$K$205^A102,IF(A102='Données projet'!$A$36,'Données projet'!$B$36,N101+M102-V101)))</f>
        <v>305.66666666666708</v>
      </c>
      <c r="O102" s="14">
        <f>N102*VLOOKUP('Données projet'!$B$9,Paramètres!$A$1:$I$89,3,0)*VLOOKUP('Données projet'!$B$9,Paramètres!$A$1:$I$89,5,0)</f>
        <v>143.05200000000019</v>
      </c>
      <c r="P102" s="14">
        <f t="shared" si="87"/>
        <v>36.995295872593921</v>
      </c>
      <c r="Q102" s="22">
        <f t="shared" si="107"/>
        <v>313.58237364476804</v>
      </c>
      <c r="R102" s="62">
        <f t="shared" si="55"/>
        <v>594.10293253716054</v>
      </c>
      <c r="S102" s="62">
        <f ca="1">AVERAGE(OFFSET($R$3,0,0,'Données projet'!$E$9+1,1))-AVERAGE(OFFSET($H$3,0,0,'Données projet'!$E$9+1,1))</f>
        <v>347.22603428907496</v>
      </c>
      <c r="T102" s="62">
        <f t="shared" si="88"/>
        <v>258.98427374339872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2.5403754309523451E-7</v>
      </c>
      <c r="AC102" s="24">
        <f t="shared" si="57"/>
        <v>2.5403754309523451E-7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387.18736830550665</v>
      </c>
      <c r="AO102" s="62">
        <f t="shared" si="90"/>
        <v>312.32487363394125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1.0246133777147708</v>
      </c>
      <c r="AW102" s="23">
        <f>EXP(-LN(2)/2)*AW101+(1-EXP(-LN(2)/2))/(LN(2)/2)*AQ102*AT102*VLOOKUP('Données projet'!$B$10,Paramètres!$A$1:$I$89,3,0)*0.475*44/12</f>
        <v>6.4661876202735614E-10</v>
      </c>
      <c r="AX102" s="23">
        <f t="shared" si="60"/>
        <v>1.0246133783613895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215.37359999999984</v>
      </c>
      <c r="BF102" s="14">
        <f t="shared" si="91"/>
        <v>53.108120144188867</v>
      </c>
      <c r="BG102" s="22">
        <f t="shared" si="61"/>
        <v>467.60566258446198</v>
      </c>
      <c r="BH102" s="62">
        <f t="shared" si="62"/>
        <v>748.12622147685443</v>
      </c>
      <c r="BI102" s="62">
        <f ca="1">AVERAGE(OFFSET($BH$3,0,0,'Données projet'!$E$11+1,1))-AVERAGE(OFFSET($H$3,0,0,'Données projet'!$E$11+1,1))</f>
        <v>343.31521637281833</v>
      </c>
      <c r="BJ102" s="62">
        <f t="shared" si="92"/>
        <v>179.67327892360623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66.50560697065248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2.6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9.5333333333333332</v>
      </c>
      <c r="H103" s="70">
        <f t="shared" si="56"/>
        <v>193.74666666666667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8.5555555555555554</v>
      </c>
      <c r="N103" s="14">
        <f>IF('Données projet'!$A$36&gt;35,N102+M103-V102,IF(A103&lt;'Données projet'!$A$36,$K$205^A103,IF(A103='Données projet'!$A$36,'Données projet'!$B$36,N102+M103-V102)))</f>
        <v>314.22222222222263</v>
      </c>
      <c r="O103" s="14">
        <f>N103*VLOOKUP('Données projet'!$B$9,Paramètres!$A$1:$I$89,3,0)*VLOOKUP('Données projet'!$B$9,Paramètres!$A$1:$I$89,5,0)</f>
        <v>147.05600000000018</v>
      </c>
      <c r="P103" s="14">
        <f t="shared" si="87"/>
        <v>37.908781196921652</v>
      </c>
      <c r="Q103" s="22">
        <f t="shared" si="107"/>
        <v>322.14699391797217</v>
      </c>
      <c r="R103" s="62">
        <f t="shared" si="55"/>
        <v>602.88982580184256</v>
      </c>
      <c r="S103" s="62">
        <f ca="1">AVERAGE(OFFSET($R$3,0,0,'Données projet'!$E$9+1,1))-AVERAGE(OFFSET($H$3,0,0,'Données projet'!$E$9+1,1))</f>
        <v>347.22603428907496</v>
      </c>
      <c r="T103" s="62">
        <f t="shared" si="88"/>
        <v>258.98427374339872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1.7963166939861013E-7</v>
      </c>
      <c r="AC103" s="24">
        <f t="shared" si="57"/>
        <v>1.7963166939861013E-7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387.18736830550665</v>
      </c>
      <c r="AO103" s="62">
        <f t="shared" si="90"/>
        <v>312.32487363394125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0.99659527101908463</v>
      </c>
      <c r="AW103" s="23">
        <f>EXP(-LN(2)/2)*AW102+(1-EXP(-LN(2)/2))/(LN(2)/2)*AQ103*AT103*VLOOKUP('Données projet'!$B$10,Paramètres!$A$1:$I$89,3,0)*0.475*44/12</f>
        <v>4.5722851147199397E-10</v>
      </c>
      <c r="AX103" s="23">
        <f t="shared" si="60"/>
        <v>0.9965952714763131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219.02399999999983</v>
      </c>
      <c r="BF103" s="14">
        <f t="shared" si="91"/>
        <v>53.902702081308306</v>
      </c>
      <c r="BG103" s="22">
        <f t="shared" si="61"/>
        <v>475.34733945827821</v>
      </c>
      <c r="BH103" s="62">
        <f t="shared" si="62"/>
        <v>756.09017134214866</v>
      </c>
      <c r="BI103" s="62">
        <f ca="1">AVERAGE(OFFSET($BH$3,0,0,'Données projet'!$E$11+1,1))-AVERAGE(OFFSET($H$3,0,0,'Données projet'!$E$11+1,1))</f>
        <v>343.31521637281833</v>
      </c>
      <c r="BJ103" s="62">
        <f t="shared" si="92"/>
        <v>179.67327892360623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66.566226877419211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2.6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9.5333333333333332</v>
      </c>
      <c r="H104" s="70">
        <f t="shared" si="56"/>
        <v>193.74666666666667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8.5555555555555554</v>
      </c>
      <c r="N104" s="14">
        <f>IF('Données projet'!$A$36&gt;35,N103+M104-V103,IF(A104&lt;'Données projet'!$A$36,$K$205^A104,IF(A104='Données projet'!$A$36,'Données projet'!$B$36,N103+M104-V103)))</f>
        <v>322.77777777777817</v>
      </c>
      <c r="O104" s="14">
        <f>N104*VLOOKUP('Données projet'!$B$9,Paramètres!$A$1:$I$89,3,0)*VLOOKUP('Données projet'!$B$9,Paramètres!$A$1:$I$89,5,0)</f>
        <v>151.06000000000017</v>
      </c>
      <c r="P104" s="14">
        <f t="shared" si="87"/>
        <v>38.819375611338231</v>
      </c>
      <c r="Q104" s="22">
        <f t="shared" si="107"/>
        <v>330.70657918974769</v>
      </c>
      <c r="R104" s="62">
        <f t="shared" si="55"/>
        <v>611.6678281256219</v>
      </c>
      <c r="S104" s="62">
        <f ca="1">AVERAGE(OFFSET($R$3,0,0,'Données projet'!$E$9+1,1))-AVERAGE(OFFSET($H$3,0,0,'Données projet'!$E$9+1,1))</f>
        <v>347.22603428907496</v>
      </c>
      <c r="T104" s="62">
        <f t="shared" si="88"/>
        <v>258.98427374339872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1.2701877154761725E-7</v>
      </c>
      <c r="AC104" s="24">
        <f t="shared" si="57"/>
        <v>1.2701877154761725E-7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387.18736830550665</v>
      </c>
      <c r="AO104" s="62">
        <f t="shared" si="90"/>
        <v>312.32487363394125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0.96934332092440023</v>
      </c>
      <c r="AW104" s="23">
        <f>EXP(-LN(2)/2)*AW103+(1-EXP(-LN(2)/2))/(LN(2)/2)*AQ104*AT104*VLOOKUP('Données projet'!$B$10,Paramètres!$A$1:$I$89,3,0)*0.475*44/12</f>
        <v>3.2330938101367812E-10</v>
      </c>
      <c r="AX104" s="23">
        <f t="shared" si="60"/>
        <v>0.96934332124770961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209.28959999999987</v>
      </c>
      <c r="BF104" s="14">
        <f t="shared" si="91"/>
        <v>51.780314822292169</v>
      </c>
      <c r="BG104" s="22">
        <f t="shared" si="61"/>
        <v>454.69676831549197</v>
      </c>
      <c r="BH104" s="62">
        <f t="shared" si="62"/>
        <v>735.65801725136612</v>
      </c>
      <c r="BI104" s="62">
        <f ca="1">AVERAGE(OFFSET($BH$3,0,0,'Données projet'!$E$11+1,1))-AVERAGE(OFFSET($H$3,0,0,'Données projet'!$E$11+1,1))</f>
        <v>343.31521637281833</v>
      </c>
      <c r="BJ104" s="62">
        <f t="shared" si="92"/>
        <v>179.67327892360623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66.625795164329332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2.6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9.5333333333333332</v>
      </c>
      <c r="H105" s="70">
        <f t="shared" si="56"/>
        <v>193.74666666666667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8.5555555555555554</v>
      </c>
      <c r="N105" s="14">
        <f>IF('Données projet'!$A$36&gt;35,N104+M105-V104,IF(A105&lt;'Données projet'!$A$36,$K$205^A105,IF(A105='Données projet'!$A$36,'Données projet'!$B$36,N104+M105-V104)))</f>
        <v>331.33333333333371</v>
      </c>
      <c r="O105" s="14">
        <f>N105*VLOOKUP('Données projet'!$B$9,Paramètres!$A$1:$I$89,3,0)*VLOOKUP('Données projet'!$B$9,Paramètres!$A$1:$I$89,5,0)</f>
        <v>155.06400000000016</v>
      </c>
      <c r="P105" s="14">
        <f t="shared" si="87"/>
        <v>39.727164550120129</v>
      </c>
      <c r="Q105" s="22">
        <f t="shared" si="107"/>
        <v>339.2612782581262</v>
      </c>
      <c r="R105" s="62">
        <f t="shared" si="55"/>
        <v>620.43715519845944</v>
      </c>
      <c r="S105" s="62">
        <f ca="1">AVERAGE(OFFSET($R$3,0,0,'Données projet'!$E$9+1,1))-AVERAGE(OFFSET($H$3,0,0,'Données projet'!$E$9+1,1))</f>
        <v>347.22603428907496</v>
      </c>
      <c r="T105" s="62">
        <f t="shared" si="88"/>
        <v>258.98427374339872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8.9815834699305063E-8</v>
      </c>
      <c r="AC105" s="24">
        <f t="shared" si="57"/>
        <v>8.9815834699305063E-8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387.18736830550665</v>
      </c>
      <c r="AO105" s="62">
        <f t="shared" si="90"/>
        <v>312.32487363394125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0.94283657683817268</v>
      </c>
      <c r="AW105" s="23">
        <f>EXP(-LN(2)/2)*AW104+(1-EXP(-LN(2)/2))/(LN(2)/2)*AQ105*AT105*VLOOKUP('Données projet'!$B$10,Paramètres!$A$1:$I$89,3,0)*0.475*44/12</f>
        <v>2.2861425573599704E-10</v>
      </c>
      <c r="AX105" s="23">
        <f t="shared" si="60"/>
        <v>0.94283657706678692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212.73719999999983</v>
      </c>
      <c r="BF105" s="14">
        <f t="shared" si="91"/>
        <v>52.533281199481387</v>
      </c>
      <c r="BG105" s="22">
        <f t="shared" si="61"/>
        <v>462.01275475576307</v>
      </c>
      <c r="BH105" s="62">
        <f t="shared" si="62"/>
        <v>743.18863169609631</v>
      </c>
      <c r="BI105" s="62">
        <f ca="1">AVERAGE(OFFSET($BH$3,0,0,'Données projet'!$E$11+1,1))-AVERAGE(OFFSET($H$3,0,0,'Données projet'!$E$11+1,1))</f>
        <v>343.31521637281833</v>
      </c>
      <c r="BJ105" s="62">
        <f t="shared" si="92"/>
        <v>179.67327892360623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66.684330074636335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2.6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9.5333333333333332</v>
      </c>
      <c r="H106" s="70">
        <f t="shared" si="56"/>
        <v>193.74666666666667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8.5555555555555554</v>
      </c>
      <c r="N106" s="14">
        <f>IF('Données projet'!$A$36&gt;35,N105+M106-V105,IF(A106&lt;'Données projet'!$A$36,$K$205^A106,IF(A106='Données projet'!$A$36,'Données projet'!$B$36,N105+M106-V105)))</f>
        <v>339.88888888888926</v>
      </c>
      <c r="O106" s="14">
        <f>N106*VLOOKUP('Données projet'!$B$9,Paramètres!$A$1:$I$89,3,0)*VLOOKUP('Données projet'!$B$9,Paramètres!$A$1:$I$89,5,0)</f>
        <v>159.06800000000018</v>
      </c>
      <c r="P106" s="14">
        <f t="shared" si="87"/>
        <v>40.632228784106786</v>
      </c>
      <c r="Q106" s="22">
        <f t="shared" si="107"/>
        <v>347.81123179898628</v>
      </c>
      <c r="R106" s="62">
        <f t="shared" si="55"/>
        <v>629.19801342773735</v>
      </c>
      <c r="S106" s="62">
        <f ca="1">AVERAGE(OFFSET($R$3,0,0,'Données projet'!$E$9+1,1))-AVERAGE(OFFSET($H$3,0,0,'Données projet'!$E$9+1,1))</f>
        <v>347.22603428907496</v>
      </c>
      <c r="T106" s="62">
        <f t="shared" si="88"/>
        <v>258.98427374339872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6.3509385773808627E-8</v>
      </c>
      <c r="AC106" s="24">
        <f t="shared" si="57"/>
        <v>6.3509385773808627E-8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387.18736830550665</v>
      </c>
      <c r="AO106" s="62">
        <f t="shared" si="90"/>
        <v>312.32487363394125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0.91705466106291211</v>
      </c>
      <c r="AW106" s="23">
        <f>EXP(-LN(2)/2)*AW105+(1-EXP(-LN(2)/2))/(LN(2)/2)*AQ106*AT106*VLOOKUP('Données projet'!$B$10,Paramètres!$A$1:$I$89,3,0)*0.475*44/12</f>
        <v>1.6165469050683909E-10</v>
      </c>
      <c r="AX106" s="23">
        <f t="shared" si="60"/>
        <v>0.9170546612245668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216.18479999999985</v>
      </c>
      <c r="BF106" s="14">
        <f t="shared" si="91"/>
        <v>53.284828478170326</v>
      </c>
      <c r="BG106" s="22">
        <f t="shared" si="61"/>
        <v>469.32626959947976</v>
      </c>
      <c r="BH106" s="62">
        <f t="shared" si="62"/>
        <v>750.71305122823082</v>
      </c>
      <c r="BI106" s="62">
        <f ca="1">AVERAGE(OFFSET($BH$3,0,0,'Données projet'!$E$11+1,1))-AVERAGE(OFFSET($H$3,0,0,'Données projet'!$E$11+1,1))</f>
        <v>343.31521637281833</v>
      </c>
      <c r="BJ106" s="62">
        <f t="shared" si="92"/>
        <v>179.67327892360623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66.741849535113943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2.6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9.5333333333333332</v>
      </c>
      <c r="H107" s="70">
        <f t="shared" si="56"/>
        <v>193.74666666666667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8.5555555555555554</v>
      </c>
      <c r="N107" s="14">
        <f>IF('Données projet'!$A$36&gt;35,N106+M107-V106,IF(A107&lt;'Données projet'!$A$36,$K$205^A107,IF(A107='Données projet'!$A$36,'Données projet'!$B$36,N106+M107-V106)))</f>
        <v>348.4444444444448</v>
      </c>
      <c r="O107" s="14">
        <f>N107*VLOOKUP('Données projet'!$B$9,Paramètres!$A$1:$I$89,3,0)*VLOOKUP('Données projet'!$B$9,Paramètres!$A$1:$I$89,5,0)</f>
        <v>163.07200000000017</v>
      </c>
      <c r="P107" s="14">
        <f t="shared" si="87"/>
        <v>41.53464478614341</v>
      </c>
      <c r="Q107" s="22">
        <f t="shared" si="107"/>
        <v>356.35657300253342</v>
      </c>
      <c r="R107" s="62">
        <f t="shared" si="55"/>
        <v>637.95060059487059</v>
      </c>
      <c r="S107" s="62">
        <f ca="1">AVERAGE(OFFSET($R$3,0,0,'Données projet'!$E$9+1,1))-AVERAGE(OFFSET($H$3,0,0,'Données projet'!$E$9+1,1))</f>
        <v>347.22603428907496</v>
      </c>
      <c r="T107" s="62">
        <f t="shared" si="88"/>
        <v>258.98427374339872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4.4907917349652531E-8</v>
      </c>
      <c r="AC107" s="24">
        <f t="shared" si="57"/>
        <v>4.4907917349652531E-8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387.18736830550665</v>
      </c>
      <c r="AO107" s="62">
        <f t="shared" si="90"/>
        <v>312.32487363394125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0.89197775313033811</v>
      </c>
      <c r="AW107" s="23">
        <f>EXP(-LN(2)/2)*AW106+(1-EXP(-LN(2)/2))/(LN(2)/2)*AQ107*AT107*VLOOKUP('Données projet'!$B$10,Paramètres!$A$1:$I$89,3,0)*0.475*44/12</f>
        <v>1.1430712786799853E-10</v>
      </c>
      <c r="AX107" s="23">
        <f t="shared" si="60"/>
        <v>0.89197775324464523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219.63239999999988</v>
      </c>
      <c r="BF107" s="14">
        <f t="shared" si="91"/>
        <v>54.034981902357458</v>
      </c>
      <c r="BG107" s="22">
        <f t="shared" si="61"/>
        <v>476.63735681327233</v>
      </c>
      <c r="BH107" s="62">
        <f t="shared" si="62"/>
        <v>758.23138440560956</v>
      </c>
      <c r="BI107" s="62">
        <f ca="1">AVERAGE(OFFSET($BH$3,0,0,'Données projet'!$E$11+1,1))-AVERAGE(OFFSET($H$3,0,0,'Données projet'!$E$11+1,1))</f>
        <v>343.31521637281833</v>
      </c>
      <c r="BJ107" s="62">
        <f t="shared" si="92"/>
        <v>179.67327892360623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66.798371161546527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2.6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9.5333333333333332</v>
      </c>
      <c r="H108" s="70">
        <f t="shared" si="56"/>
        <v>193.74666666666667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357</v>
      </c>
      <c r="L108" s="13">
        <f>VLOOKUP(A108,'Données projet'!$A$35:$I$55,9,0)</f>
        <v>8.5555555555555554</v>
      </c>
      <c r="M108" s="13">
        <f t="array" ref="M108">INDEX(L:L,MIN(IF(ISNUMBER(L108:L304),ROW(L108:L304),"")))</f>
        <v>8.5555555555555554</v>
      </c>
      <c r="N108" s="14">
        <f>IF('Données projet'!$A$36&gt;35,N107+M108-V107,IF(A108&lt;'Données projet'!$A$36,$K$205^A108,IF(A108='Données projet'!$A$36,'Données projet'!$B$36,N107+M108-V107)))</f>
        <v>357.00000000000034</v>
      </c>
      <c r="O108" s="14">
        <f>N108*VLOOKUP('Données projet'!$B$9,Paramètres!$A$1:$I$89,3,0)*VLOOKUP('Données projet'!$B$9,Paramètres!$A$1:$I$89,5,0)</f>
        <v>167.07600000000016</v>
      </c>
      <c r="P108" s="14">
        <f t="shared" si="87"/>
        <v>42.434485059621714</v>
      </c>
      <c r="Q108" s="22">
        <f t="shared" si="107"/>
        <v>364.89742814550806</v>
      </c>
      <c r="R108" s="62">
        <f t="shared" si="55"/>
        <v>646.69510644729576</v>
      </c>
      <c r="S108" s="62">
        <f ca="1">AVERAGE(OFFSET($R$3,0,0,'Données projet'!$E$9+1,1))-AVERAGE(OFFSET($H$3,0,0,'Données projet'!$E$9+1,1))</f>
        <v>347.22603428907496</v>
      </c>
      <c r="T108" s="62">
        <f t="shared" si="88"/>
        <v>258.98427374339872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357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3.1754692886904313E-8</v>
      </c>
      <c r="AC108" s="24">
        <f t="shared" si="57"/>
        <v>3.1754692886904313E-8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387.18736830550665</v>
      </c>
      <c r="AO108" s="62">
        <f t="shared" si="90"/>
        <v>312.32487363394125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0.86758657456391763</v>
      </c>
      <c r="AW108" s="23">
        <f>EXP(-LN(2)/2)*AW107+(1-EXP(-LN(2)/2))/(LN(2)/2)*AQ108*AT108*VLOOKUP('Données projet'!$B$10,Paramètres!$A$1:$I$89,3,0)*0.475*44/12</f>
        <v>8.0827345253419556E-11</v>
      </c>
      <c r="AX108" s="23">
        <f t="shared" si="60"/>
        <v>0.86758657464474498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223.07999999999987</v>
      </c>
      <c r="BF108" s="14">
        <f t="shared" si="91"/>
        <v>54.783765878062617</v>
      </c>
      <c r="BG108" s="22">
        <f t="shared" si="61"/>
        <v>483.94605890429216</v>
      </c>
      <c r="BH108" s="62">
        <f t="shared" si="62"/>
        <v>765.74373720607991</v>
      </c>
      <c r="BI108" s="62">
        <f ca="1">AVERAGE(OFFSET($BH$3,0,0,'Données projet'!$E$11+1,1))-AVERAGE(OFFSET($H$3,0,0,'Données projet'!$E$11+1,1))</f>
        <v>343.31521637281833</v>
      </c>
      <c r="BJ108" s="62">
        <f t="shared" si="92"/>
        <v>179.67327892360623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66.85391226412392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2.6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9.5333333333333332</v>
      </c>
      <c r="H109" s="70">
        <f t="shared" si="56"/>
        <v>193.74666666666667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1.5961632016114892E-13</v>
      </c>
      <c r="P109" s="14">
        <f t="shared" si="87"/>
        <v>2.2708641912150958E-12</v>
      </c>
      <c r="Q109" s="22">
        <f t="shared" si="107"/>
        <v>4.2330868906469593E-12</v>
      </c>
      <c r="R109" s="62">
        <f t="shared" si="55"/>
        <v>281.99779612672813</v>
      </c>
      <c r="S109" s="62">
        <f ca="1">AVERAGE(OFFSET($R$3,0,0,'Données projet'!$E$9+1,1))-AVERAGE(OFFSET($H$3,0,0,'Données projet'!$E$9+1,1))</f>
        <v>347.22603428907496</v>
      </c>
      <c r="T109" s="62">
        <f t="shared" si="88"/>
        <v>258.98427374339872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2.2453958674826266E-8</v>
      </c>
      <c r="AC109" s="24">
        <f t="shared" si="57"/>
        <v>2.2453958674826266E-8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387.18736830550665</v>
      </c>
      <c r="AO109" s="62">
        <f t="shared" si="90"/>
        <v>312.32487363394125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0.8438623740580723</v>
      </c>
      <c r="AW109" s="23">
        <f>EXP(-LN(2)/2)*AW108+(1-EXP(-LN(2)/2))/(LN(2)/2)*AQ109*AT109*VLOOKUP('Données projet'!$B$10,Paramètres!$A$1:$I$89,3,0)*0.475*44/12</f>
        <v>5.7153563933999278E-11</v>
      </c>
      <c r="AX109" s="23">
        <f t="shared" si="60"/>
        <v>0.84386237411522591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212.93999999999988</v>
      </c>
      <c r="BF109" s="14">
        <f t="shared" si="91"/>
        <v>52.577528895212815</v>
      </c>
      <c r="BG109" s="22">
        <f t="shared" si="61"/>
        <v>462.44302949249544</v>
      </c>
      <c r="BH109" s="62">
        <f t="shared" si="62"/>
        <v>744.44082561921937</v>
      </c>
      <c r="BI109" s="62">
        <f ca="1">AVERAGE(OFFSET($BH$3,0,0,'Données projet'!$E$11+1,1))-AVERAGE(OFFSET($H$3,0,0,'Données projet'!$E$11+1,1))</f>
        <v>343.31521637281833</v>
      </c>
      <c r="BJ109" s="62">
        <f t="shared" si="92"/>
        <v>179.67327892360623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66.908489852742889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2.6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9.5333333333333332</v>
      </c>
      <c r="H110" s="70">
        <f t="shared" si="56"/>
        <v>193.74666666666667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1.5961632016114892E-13</v>
      </c>
      <c r="P110" s="14">
        <f t="shared" si="87"/>
        <v>2.2708641912150958E-12</v>
      </c>
      <c r="Q110" s="22">
        <f t="shared" si="107"/>
        <v>4.2330868906469593E-12</v>
      </c>
      <c r="R110" s="62">
        <f t="shared" si="55"/>
        <v>282.19444235479824</v>
      </c>
      <c r="S110" s="62">
        <f ca="1">AVERAGE(OFFSET($R$3,0,0,'Données projet'!$E$9+1,1))-AVERAGE(OFFSET($H$3,0,0,'Données projet'!$E$9+1,1))</f>
        <v>347.22603428907496</v>
      </c>
      <c r="T110" s="62">
        <f t="shared" si="88"/>
        <v>258.98427374339872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1.5877346443452157E-8</v>
      </c>
      <c r="AC110" s="24">
        <f t="shared" si="57"/>
        <v>1.5877346443452157E-8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387.18736830550665</v>
      </c>
      <c r="AO110" s="62">
        <f t="shared" si="90"/>
        <v>312.32487363394125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0.82078691306266072</v>
      </c>
      <c r="AW110" s="23">
        <f>EXP(-LN(2)/2)*AW109+(1-EXP(-LN(2)/2))/(LN(2)/2)*AQ110*AT110*VLOOKUP('Données projet'!$B$10,Paramètres!$A$1:$I$89,3,0)*0.475*44/12</f>
        <v>4.0413672626709784E-11</v>
      </c>
      <c r="AX110" s="23">
        <f t="shared" si="60"/>
        <v>0.82078691310307439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215.98199999999986</v>
      </c>
      <c r="BF110" s="14">
        <f t="shared" si="91"/>
        <v>53.240658641504993</v>
      </c>
      <c r="BG110" s="22">
        <f t="shared" si="61"/>
        <v>468.89613046728755</v>
      </c>
      <c r="BH110" s="62">
        <f t="shared" si="62"/>
        <v>751.09057282208164</v>
      </c>
      <c r="BI110" s="62">
        <f ca="1">AVERAGE(OFFSET($BH$3,0,0,'Données projet'!$E$11+1,1))-AVERAGE(OFFSET($H$3,0,0,'Données projet'!$E$11+1,1))</f>
        <v>343.31521637281833</v>
      </c>
      <c r="BJ110" s="62">
        <f t="shared" si="92"/>
        <v>179.67327892360623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66.962120642216547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2.6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9.5333333333333332</v>
      </c>
      <c r="H111" s="70">
        <f t="shared" si="56"/>
        <v>193.74666666666667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1.5961632016114892E-13</v>
      </c>
      <c r="P111" s="14">
        <f t="shared" si="87"/>
        <v>2.2708641912150958E-12</v>
      </c>
      <c r="Q111" s="22">
        <f t="shared" si="107"/>
        <v>4.2330868906469593E-12</v>
      </c>
      <c r="R111" s="62">
        <f t="shared" si="55"/>
        <v>282.38767721044638</v>
      </c>
      <c r="S111" s="62">
        <f ca="1">AVERAGE(OFFSET($R$3,0,0,'Données projet'!$E$9+1,1))-AVERAGE(OFFSET($H$3,0,0,'Données projet'!$E$9+1,1))</f>
        <v>347.22603428907496</v>
      </c>
      <c r="T111" s="62">
        <f t="shared" si="88"/>
        <v>258.98427374339872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1.1226979337413133E-8</v>
      </c>
      <c r="AC111" s="24">
        <f t="shared" si="57"/>
        <v>1.1226979337413133E-8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387.18736830550665</v>
      </c>
      <c r="AO111" s="62">
        <f t="shared" si="90"/>
        <v>312.32487363394125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0.79834245176165441</v>
      </c>
      <c r="AW111" s="23">
        <f>EXP(-LN(2)/2)*AW110+(1-EXP(-LN(2)/2))/(LN(2)/2)*AQ111*AT111*VLOOKUP('Données projet'!$B$10,Paramètres!$A$1:$I$89,3,0)*0.475*44/12</f>
        <v>2.8576781966999642E-11</v>
      </c>
      <c r="AX111" s="23">
        <f t="shared" si="60"/>
        <v>0.79834245179023122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219.02399999999989</v>
      </c>
      <c r="BF111" s="14">
        <f t="shared" si="91"/>
        <v>53.902702081308306</v>
      </c>
      <c r="BG111" s="22">
        <f t="shared" si="61"/>
        <v>475.34733945827838</v>
      </c>
      <c r="BH111" s="62">
        <f t="shared" si="62"/>
        <v>757.73501666872062</v>
      </c>
      <c r="BI111" s="62">
        <f ca="1">AVERAGE(OFFSET($BH$3,0,0,'Données projet'!$E$11+1,1))-AVERAGE(OFFSET($H$3,0,0,'Données projet'!$E$11+1,1))</f>
        <v>343.31521637281833</v>
      </c>
      <c r="BJ111" s="62">
        <f t="shared" si="92"/>
        <v>179.67327892360623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67.01482105739332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2.6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9.5333333333333332</v>
      </c>
      <c r="H112" s="70">
        <f t="shared" si="56"/>
        <v>193.74666666666667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1.5961632016114892E-13</v>
      </c>
      <c r="P112" s="14">
        <f t="shared" si="87"/>
        <v>2.2708641912150958E-12</v>
      </c>
      <c r="Q112" s="22">
        <f t="shared" si="107"/>
        <v>4.2330868906469593E-12</v>
      </c>
      <c r="R112" s="62">
        <f t="shared" si="55"/>
        <v>282.57755987335742</v>
      </c>
      <c r="S112" s="62">
        <f ca="1">AVERAGE(OFFSET($R$3,0,0,'Données projet'!$E$9+1,1))-AVERAGE(OFFSET($H$3,0,0,'Données projet'!$E$9+1,1))</f>
        <v>347.22603428907496</v>
      </c>
      <c r="T112" s="62">
        <f t="shared" si="88"/>
        <v>258.98427374339872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7.9386732217260783E-9</v>
      </c>
      <c r="AC112" s="24">
        <f t="shared" si="57"/>
        <v>7.9386732217260783E-9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387.18736830550665</v>
      </c>
      <c r="AO112" s="62">
        <f t="shared" si="90"/>
        <v>312.32487363394125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0.77651173543522711</v>
      </c>
      <c r="AW112" s="23">
        <f>EXP(-LN(2)/2)*AW111+(1-EXP(-LN(2)/2))/(LN(2)/2)*AQ112*AT112*VLOOKUP('Données projet'!$B$10,Paramètres!$A$1:$I$89,3,0)*0.475*44/12</f>
        <v>2.0206836313354895E-11</v>
      </c>
      <c r="AX112" s="23">
        <f t="shared" si="60"/>
        <v>0.77651173545543395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222.06599999999986</v>
      </c>
      <c r="BF112" s="14">
        <f t="shared" si="91"/>
        <v>54.563676045889295</v>
      </c>
      <c r="BG112" s="22">
        <f t="shared" si="61"/>
        <v>481.79668577992356</v>
      </c>
      <c r="BH112" s="62">
        <f t="shared" si="62"/>
        <v>764.37424565327683</v>
      </c>
      <c r="BI112" s="62">
        <f ca="1">AVERAGE(OFFSET($BH$3,0,0,'Données projet'!$E$11+1,1))-AVERAGE(OFFSET($H$3,0,0,'Données projet'!$E$11+1,1))</f>
        <v>343.31521637281833</v>
      </c>
      <c r="BJ112" s="62">
        <f t="shared" si="92"/>
        <v>179.67327892360623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67.066607238187245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2.6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9.5333333333333332</v>
      </c>
      <c r="H113" s="70">
        <f t="shared" si="56"/>
        <v>193.74666666666667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1.5961632016114892E-13</v>
      </c>
      <c r="P113" s="14">
        <f t="shared" si="87"/>
        <v>2.2708641912150958E-12</v>
      </c>
      <c r="Q113" s="22">
        <f t="shared" si="107"/>
        <v>4.2330868906469593E-12</v>
      </c>
      <c r="R113" s="62">
        <f t="shared" si="55"/>
        <v>282.76414849658102</v>
      </c>
      <c r="S113" s="62">
        <f ca="1">AVERAGE(OFFSET($R$3,0,0,'Données projet'!$E$9+1,1))-AVERAGE(OFFSET($H$3,0,0,'Données projet'!$E$9+1,1))</f>
        <v>347.22603428907496</v>
      </c>
      <c r="T113" s="62">
        <f t="shared" si="88"/>
        <v>258.98427374339872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5.6134896687065664E-9</v>
      </c>
      <c r="AC113" s="24">
        <f t="shared" si="57"/>
        <v>5.6134896687065664E-9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387.18736830550665</v>
      </c>
      <c r="AO113" s="62">
        <f t="shared" si="90"/>
        <v>312.32487363394125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0.75527798119477341</v>
      </c>
      <c r="AW113" s="23">
        <f>EXP(-LN(2)/2)*AW112+(1-EXP(-LN(2)/2))/(LN(2)/2)*AQ113*AT113*VLOOKUP('Données projet'!$B$10,Paramètres!$A$1:$I$89,3,0)*0.475*44/12</f>
        <v>1.4288390983499824E-11</v>
      </c>
      <c r="AX113" s="23">
        <f t="shared" si="60"/>
        <v>0.75527798120906176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225.10799999999989</v>
      </c>
      <c r="BF113" s="14">
        <f t="shared" si="91"/>
        <v>55.223596878889587</v>
      </c>
      <c r="BG113" s="22">
        <f t="shared" si="61"/>
        <v>488.24419789739909</v>
      </c>
      <c r="BH113" s="62">
        <f t="shared" si="62"/>
        <v>771.0083463939759</v>
      </c>
      <c r="BI113" s="62">
        <f ca="1">AVERAGE(OFFSET($BH$3,0,0,'Données projet'!$E$11+1,1))-AVERAGE(OFFSET($H$3,0,0,'Données projet'!$E$11+1,1))</f>
        <v>343.31521637281833</v>
      </c>
      <c r="BJ113" s="62">
        <f t="shared" si="92"/>
        <v>179.67327892360623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67.11749504452095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2.6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9.5333333333333332</v>
      </c>
      <c r="H114" s="70">
        <f t="shared" si="56"/>
        <v>193.74666666666667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1.5961632016114892E-13</v>
      </c>
      <c r="P114" s="14">
        <f t="shared" si="87"/>
        <v>2.2708641912150958E-12</v>
      </c>
      <c r="Q114" s="22">
        <f t="shared" si="107"/>
        <v>4.2330868906469593E-12</v>
      </c>
      <c r="R114" s="62">
        <f t="shared" si="55"/>
        <v>282.94750022434135</v>
      </c>
      <c r="S114" s="62">
        <f ca="1">AVERAGE(OFFSET($R$3,0,0,'Données projet'!$E$9+1,1))-AVERAGE(OFFSET($H$3,0,0,'Données projet'!$E$9+1,1))</f>
        <v>347.22603428907496</v>
      </c>
      <c r="T114" s="62">
        <f t="shared" si="88"/>
        <v>258.98427374339872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3.9693366108630392E-9</v>
      </c>
      <c r="AC114" s="24">
        <f t="shared" si="57"/>
        <v>3.9693366108630392E-9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387.18736830550665</v>
      </c>
      <c r="AO114" s="62">
        <f t="shared" si="90"/>
        <v>312.32487363394125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0.73462486508065949</v>
      </c>
      <c r="AW114" s="23">
        <f>EXP(-LN(2)/2)*AW113+(1-EXP(-LN(2)/2))/(LN(2)/2)*AQ114*AT114*VLOOKUP('Données projet'!$B$10,Paramètres!$A$1:$I$89,3,0)*0.475*44/12</f>
        <v>1.0103418156677449E-11</v>
      </c>
      <c r="AX114" s="23">
        <f t="shared" si="60"/>
        <v>0.73462486509076297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214.76519999999991</v>
      </c>
      <c r="BF114" s="14">
        <f t="shared" si="91"/>
        <v>52.975538059190747</v>
      </c>
      <c r="BG114" s="22">
        <f t="shared" si="61"/>
        <v>466.31511878642374</v>
      </c>
      <c r="BH114" s="62">
        <f t="shared" si="62"/>
        <v>749.26261901076089</v>
      </c>
      <c r="BI114" s="62">
        <f ca="1">AVERAGE(OFFSET($BH$3,0,0,'Données projet'!$E$11+1,1))-AVERAGE(OFFSET($H$3,0,0,'Données projet'!$E$11+1,1))</f>
        <v>343.31521637281833</v>
      </c>
      <c r="BJ114" s="62">
        <f t="shared" si="92"/>
        <v>179.67327892360623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67.167500061182864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2.6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9.5333333333333332</v>
      </c>
      <c r="H115" s="70">
        <f t="shared" si="56"/>
        <v>193.74666666666667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1.5961632016114892E-13</v>
      </c>
      <c r="P115" s="14">
        <f t="shared" si="87"/>
        <v>2.2708641912150958E-12</v>
      </c>
      <c r="Q115" s="22">
        <f t="shared" si="107"/>
        <v>4.2330868906469593E-12</v>
      </c>
      <c r="R115" s="62">
        <f t="shared" si="55"/>
        <v>283.12767120953805</v>
      </c>
      <c r="S115" s="62">
        <f ca="1">AVERAGE(OFFSET($R$3,0,0,'Données projet'!$E$9+1,1))-AVERAGE(OFFSET($H$3,0,0,'Données projet'!$E$9+1,1))</f>
        <v>347.22603428907496</v>
      </c>
      <c r="T115" s="62">
        <f t="shared" si="88"/>
        <v>258.98427374339872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2.8067448343532832E-9</v>
      </c>
      <c r="AC115" s="24">
        <f t="shared" si="57"/>
        <v>2.8067448343532832E-9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387.18736830550665</v>
      </c>
      <c r="AO115" s="62">
        <f t="shared" si="90"/>
        <v>312.32487363394125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0.71453650951278624</v>
      </c>
      <c r="AW115" s="23">
        <f>EXP(-LN(2)/2)*AW114+(1-EXP(-LN(2)/2))/(LN(2)/2)*AQ115*AT115*VLOOKUP('Données projet'!$B$10,Paramètres!$A$1:$I$89,3,0)*0.475*44/12</f>
        <v>7.144195491749913E-12</v>
      </c>
      <c r="AX115" s="23">
        <f t="shared" si="60"/>
        <v>0.71453650951993042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217.60439999999988</v>
      </c>
      <c r="BF115" s="14">
        <f t="shared" si="91"/>
        <v>53.593882578706356</v>
      </c>
      <c r="BG115" s="22">
        <f t="shared" si="61"/>
        <v>472.3370088245801</v>
      </c>
      <c r="BH115" s="62">
        <f t="shared" si="62"/>
        <v>755.46468003411394</v>
      </c>
      <c r="BI115" s="62">
        <f ca="1">AVERAGE(OFFSET($BH$3,0,0,'Données projet'!$E$11+1,1))-AVERAGE(OFFSET($H$3,0,0,'Données projet'!$E$11+1,1))</f>
        <v>343.31521637281833</v>
      </c>
      <c r="BJ115" s="62">
        <f t="shared" si="92"/>
        <v>179.67327892360623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67.216637602600144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2.6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9.5333333333333332</v>
      </c>
      <c r="H116" s="70">
        <f t="shared" si="56"/>
        <v>193.74666666666667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1.5961632016114892E-13</v>
      </c>
      <c r="P116" s="14">
        <f t="shared" si="87"/>
        <v>2.2708641912150958E-12</v>
      </c>
      <c r="Q116" s="22">
        <f t="shared" si="107"/>
        <v>4.2330868906469593E-12</v>
      </c>
      <c r="R116" s="62">
        <f t="shared" si="55"/>
        <v>283.30471663094369</v>
      </c>
      <c r="S116" s="62">
        <f ca="1">AVERAGE(OFFSET($R$3,0,0,'Données projet'!$E$9+1,1))-AVERAGE(OFFSET($H$3,0,0,'Données projet'!$E$9+1,1))</f>
        <v>347.22603428907496</v>
      </c>
      <c r="T116" s="62">
        <f t="shared" si="88"/>
        <v>258.98427374339872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1.9846683054315196E-9</v>
      </c>
      <c r="AC116" s="24">
        <f t="shared" si="57"/>
        <v>1.9846683054315196E-9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387.18736830550665</v>
      </c>
      <c r="AO116" s="62">
        <f t="shared" si="90"/>
        <v>312.32487363394125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0.6949974710843172</v>
      </c>
      <c r="AW116" s="23">
        <f>EXP(-LN(2)/2)*AW115+(1-EXP(-LN(2)/2))/(LN(2)/2)*AQ116*AT116*VLOOKUP('Données projet'!$B$10,Paramètres!$A$1:$I$89,3,0)*0.475*44/12</f>
        <v>5.0517090783387255E-12</v>
      </c>
      <c r="AX116" s="23">
        <f t="shared" si="60"/>
        <v>0.69499747108936893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220.44359999999992</v>
      </c>
      <c r="BF116" s="14">
        <f t="shared" si="91"/>
        <v>54.211288682893063</v>
      </c>
      <c r="BG116" s="22">
        <f t="shared" si="61"/>
        <v>478.35726445603859</v>
      </c>
      <c r="BH116" s="62">
        <f t="shared" si="62"/>
        <v>761.66198108697813</v>
      </c>
      <c r="BI116" s="62">
        <f ca="1">AVERAGE(OFFSET($BH$3,0,0,'Données projet'!$E$11+1,1))-AVERAGE(OFFSET($H$3,0,0,'Données projet'!$E$11+1,1))</f>
        <v>343.31521637281833</v>
      </c>
      <c r="BJ116" s="62">
        <f t="shared" si="92"/>
        <v>179.67327892360623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67.264922717528947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2.6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9.5333333333333332</v>
      </c>
      <c r="H117" s="70">
        <f t="shared" si="56"/>
        <v>193.74666666666667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1.5961632016114892E-13</v>
      </c>
      <c r="P117" s="14">
        <f t="shared" si="87"/>
        <v>2.2708641912150958E-12</v>
      </c>
      <c r="Q117" s="22">
        <f t="shared" si="107"/>
        <v>4.2330868906469593E-12</v>
      </c>
      <c r="R117" s="62">
        <f t="shared" si="55"/>
        <v>283.47869071010211</v>
      </c>
      <c r="S117" s="62">
        <f ca="1">AVERAGE(OFFSET($R$3,0,0,'Données projet'!$E$9+1,1))-AVERAGE(OFFSET($H$3,0,0,'Données projet'!$E$9+1,1))</f>
        <v>347.22603428907496</v>
      </c>
      <c r="T117" s="62">
        <f t="shared" si="88"/>
        <v>258.98427374339872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1.4033724171766416E-9</v>
      </c>
      <c r="AC117" s="24">
        <f t="shared" si="57"/>
        <v>1.4033724171766416E-9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387.18736830550665</v>
      </c>
      <c r="AO117" s="62">
        <f t="shared" si="90"/>
        <v>312.32487363394125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0.67599272868918803</v>
      </c>
      <c r="AW117" s="23">
        <f>EXP(-LN(2)/2)*AW116+(1-EXP(-LN(2)/2))/(LN(2)/2)*AQ117*AT117*VLOOKUP('Données projet'!$B$10,Paramètres!$A$1:$I$89,3,0)*0.475*44/12</f>
        <v>3.5720977458749569E-12</v>
      </c>
      <c r="AX117" s="23">
        <f t="shared" si="60"/>
        <v>0.67599272869276017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223.28279999999992</v>
      </c>
      <c r="BF117" s="14">
        <f t="shared" si="91"/>
        <v>54.82776985554348</v>
      </c>
      <c r="BG117" s="22">
        <f t="shared" si="61"/>
        <v>484.37590916507139</v>
      </c>
      <c r="BH117" s="62">
        <f t="shared" si="62"/>
        <v>767.85459987516924</v>
      </c>
      <c r="BI117" s="62">
        <f ca="1">AVERAGE(OFFSET($BH$3,0,0,'Données projet'!$E$11+1,1))-AVERAGE(OFFSET($H$3,0,0,'Données projet'!$E$11+1,1))</f>
        <v>343.31521637281833</v>
      </c>
      <c r="BJ117" s="62">
        <f t="shared" si="92"/>
        <v>179.67327892360623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67.312370193663071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2.6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9.5333333333333332</v>
      </c>
      <c r="H118" s="70">
        <f t="shared" si="56"/>
        <v>193.74666666666667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1.5961632016114892E-13</v>
      </c>
      <c r="P118" s="14">
        <f t="shared" si="87"/>
        <v>2.2708641912150958E-12</v>
      </c>
      <c r="Q118" s="22">
        <f t="shared" si="107"/>
        <v>4.2330868906469593E-12</v>
      </c>
      <c r="R118" s="62">
        <f t="shared" si="55"/>
        <v>283.64964672793496</v>
      </c>
      <c r="S118" s="62">
        <f ca="1">AVERAGE(OFFSET($R$3,0,0,'Données projet'!$E$9+1,1))-AVERAGE(OFFSET($H$3,0,0,'Données projet'!$E$9+1,1))</f>
        <v>347.22603428907496</v>
      </c>
      <c r="T118" s="62">
        <f t="shared" si="88"/>
        <v>258.98427374339872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9.9233415271575979E-10</v>
      </c>
      <c r="AC118" s="24">
        <f t="shared" si="57"/>
        <v>9.9233415271575979E-10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387.18736830550665</v>
      </c>
      <c r="AO118" s="62">
        <f t="shared" si="90"/>
        <v>312.32487363394125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0.65750767197426963</v>
      </c>
      <c r="AW118" s="23">
        <f>EXP(-LN(2)/2)*AW117+(1-EXP(-LN(2)/2))/(LN(2)/2)*AQ118*AT118*VLOOKUP('Données projet'!$B$10,Paramètres!$A$1:$I$89,3,0)*0.475*44/12</f>
        <v>2.5258545391693631E-12</v>
      </c>
      <c r="AX118" s="23">
        <f t="shared" si="60"/>
        <v>0.65750767197679549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226.12199999999996</v>
      </c>
      <c r="BF118" s="14">
        <f t="shared" si="91"/>
        <v>55.443339217820046</v>
      </c>
      <c r="BG118" s="22">
        <f t="shared" si="61"/>
        <v>490.39296580436979</v>
      </c>
      <c r="BH118" s="62">
        <f t="shared" si="62"/>
        <v>774.04261253230061</v>
      </c>
      <c r="BI118" s="62">
        <f ca="1">AVERAGE(OFFSET($BH$3,0,0,'Données projet'!$E$11+1,1))-AVERAGE(OFFSET($H$3,0,0,'Données projet'!$E$11+1,1))</f>
        <v>343.31521637281833</v>
      </c>
      <c r="BJ118" s="62">
        <f t="shared" si="92"/>
        <v>179.67327892360623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67.358994562162934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2.6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9.5333333333333332</v>
      </c>
      <c r="H119" s="70">
        <f t="shared" si="56"/>
        <v>193.74666666666667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1.5961632016114892E-13</v>
      </c>
      <c r="P119" s="14">
        <f t="shared" si="87"/>
        <v>2.2708641912150958E-12</v>
      </c>
      <c r="Q119" s="22">
        <f t="shared" si="107"/>
        <v>4.2330868906469593E-12</v>
      </c>
      <c r="R119" s="62">
        <f t="shared" si="55"/>
        <v>283.81763704105873</v>
      </c>
      <c r="S119" s="62">
        <f ca="1">AVERAGE(OFFSET($R$3,0,0,'Données projet'!$E$9+1,1))-AVERAGE(OFFSET($H$3,0,0,'Données projet'!$E$9+1,1))</f>
        <v>347.22603428907496</v>
      </c>
      <c r="T119" s="62">
        <f t="shared" si="88"/>
        <v>258.98427374339872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7.016862085883208E-10</v>
      </c>
      <c r="AC119" s="24">
        <f t="shared" si="57"/>
        <v>7.016862085883208E-10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387.18736830550665</v>
      </c>
      <c r="AO119" s="62">
        <f t="shared" si="90"/>
        <v>312.32487363394125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0.63952809010730749</v>
      </c>
      <c r="AW119" s="23">
        <f>EXP(-LN(2)/2)*AW118+(1-EXP(-LN(2)/2))/(LN(2)/2)*AQ119*AT119*VLOOKUP('Données projet'!$B$10,Paramètres!$A$1:$I$89,3,0)*0.475*44/12</f>
        <v>1.7860488729374789E-12</v>
      </c>
      <c r="AX119" s="23">
        <f t="shared" si="60"/>
        <v>0.63952809010909351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215.37359999999993</v>
      </c>
      <c r="BF119" s="14">
        <f t="shared" si="91"/>
        <v>53.108120144188916</v>
      </c>
      <c r="BG119" s="22">
        <f t="shared" si="61"/>
        <v>467.60566258446215</v>
      </c>
      <c r="BH119" s="62">
        <f t="shared" si="62"/>
        <v>751.42329962551662</v>
      </c>
      <c r="BI119" s="62">
        <f ca="1">AVERAGE(OFFSET($BH$3,0,0,'Données projet'!$E$11+1,1))-AVERAGE(OFFSET($H$3,0,0,'Données projet'!$E$11+1,1))</f>
        <v>343.31521637281833</v>
      </c>
      <c r="BJ119" s="62">
        <f t="shared" si="92"/>
        <v>179.67327892360623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67.404810102105785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2.6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9.5333333333333332</v>
      </c>
      <c r="H120" s="70">
        <f t="shared" si="56"/>
        <v>193.74666666666667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1.5961632016114892E-13</v>
      </c>
      <c r="P120" s="14">
        <f t="shared" si="87"/>
        <v>2.2708641912150958E-12</v>
      </c>
      <c r="Q120" s="22">
        <f t="shared" si="107"/>
        <v>4.2330868906469593E-12</v>
      </c>
      <c r="R120" s="62">
        <f t="shared" si="55"/>
        <v>283.98271309781995</v>
      </c>
      <c r="S120" s="62">
        <f ca="1">AVERAGE(OFFSET($R$3,0,0,'Données projet'!$E$9+1,1))-AVERAGE(OFFSET($H$3,0,0,'Données projet'!$E$9+1,1))</f>
        <v>347.22603428907496</v>
      </c>
      <c r="T120" s="62">
        <f t="shared" si="88"/>
        <v>258.98427374339872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4.961670763578799E-10</v>
      </c>
      <c r="AC120" s="24">
        <f t="shared" si="57"/>
        <v>4.961670763578799E-10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387.18736830550665</v>
      </c>
      <c r="AO120" s="62">
        <f t="shared" si="90"/>
        <v>312.32487363394125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0.62204016085200253</v>
      </c>
      <c r="AW120" s="23">
        <f>EXP(-LN(2)/2)*AW119+(1-EXP(-LN(2)/2))/(LN(2)/2)*AQ120*AT120*VLOOKUP('Données projet'!$B$10,Paramètres!$A$1:$I$89,3,0)*0.475*44/12</f>
        <v>1.2629272695846818E-12</v>
      </c>
      <c r="AX120" s="23">
        <f t="shared" si="60"/>
        <v>0.62204016085326541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217.80719999999994</v>
      </c>
      <c r="BF120" s="14">
        <f t="shared" si="91"/>
        <v>53.638013973813976</v>
      </c>
      <c r="BG120" s="22">
        <f t="shared" si="61"/>
        <v>472.76708100439259</v>
      </c>
      <c r="BH120" s="62">
        <f t="shared" si="62"/>
        <v>756.7497941022084</v>
      </c>
      <c r="BI120" s="62">
        <f ca="1">AVERAGE(OFFSET($BH$3,0,0,'Données projet'!$E$11+1,1))-AVERAGE(OFFSET($H$3,0,0,'Données projet'!$E$11+1,1))</f>
        <v>343.31521637281833</v>
      </c>
      <c r="BJ120" s="62">
        <f t="shared" si="92"/>
        <v>179.67327892360623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67.449830844858838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2.6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9.5333333333333332</v>
      </c>
      <c r="H121" s="70">
        <f t="shared" si="56"/>
        <v>193.74666666666667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1.5961632016114892E-13</v>
      </c>
      <c r="P121" s="14">
        <f t="shared" si="87"/>
        <v>2.2708641912150958E-12</v>
      </c>
      <c r="Q121" s="22">
        <f t="shared" si="107"/>
        <v>4.2330868906469593E-12</v>
      </c>
      <c r="R121" s="62">
        <f t="shared" si="55"/>
        <v>284.14492545405108</v>
      </c>
      <c r="S121" s="62">
        <f ca="1">AVERAGE(OFFSET($R$3,0,0,'Données projet'!$E$9+1,1))-AVERAGE(OFFSET($H$3,0,0,'Données projet'!$E$9+1,1))</f>
        <v>347.22603428907496</v>
      </c>
      <c r="T121" s="62">
        <f t="shared" si="88"/>
        <v>258.98427374339872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3.508431042941604E-10</v>
      </c>
      <c r="AC121" s="24">
        <f t="shared" si="57"/>
        <v>3.508431042941604E-10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387.18736830550665</v>
      </c>
      <c r="AO121" s="62">
        <f t="shared" si="90"/>
        <v>312.32487363394125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0.60503043994183414</v>
      </c>
      <c r="AW121" s="23">
        <f>EXP(-LN(2)/2)*AW120+(1-EXP(-LN(2)/2))/(LN(2)/2)*AQ121*AT121*VLOOKUP('Données projet'!$B$10,Paramètres!$A$1:$I$89,3,0)*0.475*44/12</f>
        <v>8.9302443646873953E-13</v>
      </c>
      <c r="AX121" s="23">
        <f t="shared" si="60"/>
        <v>0.60503043994272721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220.24079999999992</v>
      </c>
      <c r="BF121" s="14">
        <f t="shared" si="91"/>
        <v>54.167219078226751</v>
      </c>
      <c r="BG121" s="22">
        <f t="shared" si="61"/>
        <v>477.9272998945782</v>
      </c>
      <c r="BH121" s="62">
        <f t="shared" si="62"/>
        <v>762.07222534862512</v>
      </c>
      <c r="BI121" s="62">
        <f ca="1">AVERAGE(OFFSET($BH$3,0,0,'Données projet'!$E$11+1,1))-AVERAGE(OFFSET($H$3,0,0,'Données projet'!$E$11+1,1))</f>
        <v>343.31521637281833</v>
      </c>
      <c r="BJ121" s="62">
        <f t="shared" si="92"/>
        <v>179.67327892360623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67.494070578376423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2.6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9.5333333333333332</v>
      </c>
      <c r="H122" s="70">
        <f t="shared" si="56"/>
        <v>193.74666666666667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1.5961632016114892E-13</v>
      </c>
      <c r="P122" s="14">
        <f t="shared" si="87"/>
        <v>2.2708641912150958E-12</v>
      </c>
      <c r="Q122" s="22">
        <f t="shared" si="107"/>
        <v>4.2330868906469593E-12</v>
      </c>
      <c r="R122" s="62">
        <f t="shared" si="55"/>
        <v>284.30432378855409</v>
      </c>
      <c r="S122" s="62">
        <f ca="1">AVERAGE(OFFSET($R$3,0,0,'Données projet'!$E$9+1,1))-AVERAGE(OFFSET($H$3,0,0,'Données projet'!$E$9+1,1))</f>
        <v>347.22603428907496</v>
      </c>
      <c r="T122" s="62">
        <f t="shared" si="88"/>
        <v>258.98427374339872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2.4808353817893995E-10</v>
      </c>
      <c r="AC122" s="24">
        <f t="shared" si="57"/>
        <v>2.4808353817893995E-10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387.18736830550665</v>
      </c>
      <c r="AO122" s="62">
        <f t="shared" si="90"/>
        <v>312.32487363394125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0.5884858507444567</v>
      </c>
      <c r="AW122" s="23">
        <f>EXP(-LN(2)/2)*AW121+(1-EXP(-LN(2)/2))/(LN(2)/2)*AQ122*AT122*VLOOKUP('Données projet'!$B$10,Paramètres!$A$1:$I$89,3,0)*0.475*44/12</f>
        <v>6.3146363479234099E-13</v>
      </c>
      <c r="AX122" s="23">
        <f t="shared" si="60"/>
        <v>0.58848585074508819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222.67439999999993</v>
      </c>
      <c r="BF122" s="14">
        <f t="shared" si="91"/>
        <v>54.695743948366427</v>
      </c>
      <c r="BG122" s="22">
        <f t="shared" si="61"/>
        <v>483.08633404340475</v>
      </c>
      <c r="BH122" s="62">
        <f t="shared" si="62"/>
        <v>767.39065783195463</v>
      </c>
      <c r="BI122" s="62">
        <f ca="1">AVERAGE(OFFSET($BH$3,0,0,'Données projet'!$E$11+1,1))-AVERAGE(OFFSET($H$3,0,0,'Données projet'!$E$11+1,1))</f>
        <v>343.31521637281833</v>
      </c>
      <c r="BJ122" s="62">
        <f t="shared" si="92"/>
        <v>179.67327892360623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67.5375428514227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2.6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9.5333333333333332</v>
      </c>
      <c r="H123" s="70">
        <f t="shared" si="56"/>
        <v>193.74666666666667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1.5961632016114892E-13</v>
      </c>
      <c r="P123" s="14">
        <f t="shared" si="87"/>
        <v>2.2708641912150958E-12</v>
      </c>
      <c r="Q123" s="22">
        <f t="shared" si="107"/>
        <v>4.2330868906469593E-12</v>
      </c>
      <c r="R123" s="62">
        <f t="shared" si="55"/>
        <v>284.46095691831482</v>
      </c>
      <c r="S123" s="62">
        <f ca="1">AVERAGE(OFFSET($R$3,0,0,'Données projet'!$E$9+1,1))-AVERAGE(OFFSET($H$3,0,0,'Données projet'!$E$9+1,1))</f>
        <v>347.22603428907496</v>
      </c>
      <c r="T123" s="62">
        <f t="shared" si="88"/>
        <v>258.98427374339872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1.754215521470802E-10</v>
      </c>
      <c r="AC123" s="24">
        <f t="shared" si="57"/>
        <v>1.754215521470802E-10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387.18736830550665</v>
      </c>
      <c r="AO123" s="62">
        <f t="shared" si="90"/>
        <v>312.32487363394125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0.57239367420872367</v>
      </c>
      <c r="AW123" s="23">
        <f>EXP(-LN(2)/2)*AW122+(1-EXP(-LN(2)/2))/(LN(2)/2)*AQ123*AT123*VLOOKUP('Données projet'!$B$10,Paramètres!$A$1:$I$89,3,0)*0.475*44/12</f>
        <v>4.4651221823436987E-13</v>
      </c>
      <c r="AX123" s="23">
        <f t="shared" si="60"/>
        <v>0.5723936742091702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225.10799999999995</v>
      </c>
      <c r="BF123" s="14">
        <f t="shared" si="91"/>
        <v>55.223596878889587</v>
      </c>
      <c r="BG123" s="22">
        <f t="shared" si="61"/>
        <v>488.24419789739915</v>
      </c>
      <c r="BH123" s="62">
        <f t="shared" si="62"/>
        <v>772.70515481570976</v>
      </c>
      <c r="BI123" s="62">
        <f ca="1">AVERAGE(OFFSET($BH$3,0,0,'Données projet'!$E$11+1,1))-AVERAGE(OFFSET($H$3,0,0,'Données projet'!$E$11+1,1))</f>
        <v>343.31521637281833</v>
      </c>
      <c r="BJ123" s="62">
        <f t="shared" si="92"/>
        <v>179.67327892360623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67.580260977721082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2.6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9.5333333333333332</v>
      </c>
      <c r="H124" s="70">
        <f t="shared" si="56"/>
        <v>193.74666666666667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1.5961632016114892E-13</v>
      </c>
      <c r="P124" s="14">
        <f t="shared" si="87"/>
        <v>2.2708641912150958E-12</v>
      </c>
      <c r="Q124" s="22">
        <f t="shared" si="107"/>
        <v>4.2330868906469593E-12</v>
      </c>
      <c r="R124" s="62">
        <f t="shared" si="55"/>
        <v>284.61487281345342</v>
      </c>
      <c r="S124" s="62">
        <f ca="1">AVERAGE(OFFSET($R$3,0,0,'Données projet'!$E$9+1,1))-AVERAGE(OFFSET($H$3,0,0,'Données projet'!$E$9+1,1))</f>
        <v>347.22603428907496</v>
      </c>
      <c r="T124" s="62">
        <f t="shared" si="88"/>
        <v>258.98427374339872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1.2404176908946997E-10</v>
      </c>
      <c r="AC124" s="24">
        <f t="shared" si="57"/>
        <v>1.2404176908946997E-10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387.18736830550665</v>
      </c>
      <c r="AO124" s="62">
        <f t="shared" si="90"/>
        <v>312.32487363394125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0.55674153908661106</v>
      </c>
      <c r="AW124" s="23">
        <f>EXP(-LN(2)/2)*AW123+(1-EXP(-LN(2)/2))/(LN(2)/2)*AQ124*AT124*VLOOKUP('Données projet'!$B$10,Paramètres!$A$1:$I$89,3,0)*0.475*44/12</f>
        <v>3.1573181739617054E-13</v>
      </c>
      <c r="AX124" s="23">
        <f t="shared" si="60"/>
        <v>0.55674153908692681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-5.7639226724859328E-14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343.31521637281833</v>
      </c>
      <c r="BJ124" s="62">
        <f t="shared" si="92"/>
        <v>179.67327892360623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67.622238040031604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2.6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9.5333333333333332</v>
      </c>
      <c r="H125" s="70">
        <f t="shared" si="56"/>
        <v>193.74666666666667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1.5961632016114892E-13</v>
      </c>
      <c r="P125" s="14">
        <f t="shared" si="87"/>
        <v>2.2708641912150958E-12</v>
      </c>
      <c r="Q125" s="22">
        <f t="shared" si="107"/>
        <v>4.2330868906469593E-12</v>
      </c>
      <c r="R125" s="62">
        <f t="shared" si="55"/>
        <v>284.76611861191572</v>
      </c>
      <c r="S125" s="62">
        <f ca="1">AVERAGE(OFFSET($R$3,0,0,'Données projet'!$E$9+1,1))-AVERAGE(OFFSET($H$3,0,0,'Données projet'!$E$9+1,1))</f>
        <v>347.22603428907496</v>
      </c>
      <c r="T125" s="62">
        <f t="shared" si="88"/>
        <v>258.98427374339872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8.77107760735401E-11</v>
      </c>
      <c r="AC125" s="24">
        <f t="shared" si="57"/>
        <v>8.77107760735401E-11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387.18736830550665</v>
      </c>
      <c r="AO125" s="62">
        <f t="shared" si="90"/>
        <v>312.32487363394125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0.5415174124225226</v>
      </c>
      <c r="AW125" s="23">
        <f>EXP(-LN(2)/2)*AW124+(1-EXP(-LN(2)/2))/(LN(2)/2)*AQ125*AT125*VLOOKUP('Données projet'!$B$10,Paramètres!$A$1:$I$89,3,0)*0.475*44/12</f>
        <v>2.2325610911718496E-13</v>
      </c>
      <c r="AX125" s="23">
        <f t="shared" si="60"/>
        <v>0.54151741242274587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-5.7639226724859328E-14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343.31521637281833</v>
      </c>
      <c r="BJ125" s="62">
        <f t="shared" si="92"/>
        <v>179.67327892360623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67.663486894157685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2.6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9.5333333333333332</v>
      </c>
      <c r="H126" s="70">
        <f t="shared" si="56"/>
        <v>193.74666666666667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1.5961632016114892E-13</v>
      </c>
      <c r="P126" s="14">
        <f t="shared" si="87"/>
        <v>2.2708641912150958E-12</v>
      </c>
      <c r="Q126" s="22">
        <f t="shared" si="107"/>
        <v>4.2330868906469593E-12</v>
      </c>
      <c r="R126" s="62">
        <f t="shared" si="55"/>
        <v>284.91474063390967</v>
      </c>
      <c r="S126" s="62">
        <f ca="1">AVERAGE(OFFSET($R$3,0,0,'Données projet'!$E$9+1,1))-AVERAGE(OFFSET($H$3,0,0,'Données projet'!$E$9+1,1))</f>
        <v>347.22603428907496</v>
      </c>
      <c r="T126" s="62">
        <f t="shared" si="88"/>
        <v>258.98427374339872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6.2020884544734987E-11</v>
      </c>
      <c r="AC126" s="24">
        <f t="shared" si="57"/>
        <v>6.2020884544734987E-11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387.18736830550665</v>
      </c>
      <c r="AO126" s="62">
        <f t="shared" si="90"/>
        <v>312.32487363394125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0.52670959030266562</v>
      </c>
      <c r="AW126" s="23">
        <f>EXP(-LN(2)/2)*AW125+(1-EXP(-LN(2)/2))/(LN(2)/2)*AQ126*AT126*VLOOKUP('Données projet'!$B$10,Paramètres!$A$1:$I$89,3,0)*0.475*44/12</f>
        <v>1.578659086980853E-13</v>
      </c>
      <c r="AX126" s="23">
        <f t="shared" si="60"/>
        <v>0.52670959030282349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-5.7639226724859328E-14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343.31521637281833</v>
      </c>
      <c r="BJ126" s="62">
        <f t="shared" si="92"/>
        <v>179.67327892360623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67.704020172883304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2.6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9.5333333333333332</v>
      </c>
      <c r="H127" s="70">
        <f t="shared" si="56"/>
        <v>193.74666666666667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1.5961632016114892E-13</v>
      </c>
      <c r="P127" s="14">
        <f t="shared" si="87"/>
        <v>2.2708641912150958E-12</v>
      </c>
      <c r="Q127" s="22">
        <f t="shared" si="107"/>
        <v>4.2330868906469593E-12</v>
      </c>
      <c r="R127" s="62">
        <f t="shared" si="55"/>
        <v>285.06078439609104</v>
      </c>
      <c r="S127" s="62">
        <f ca="1">AVERAGE(OFFSET($R$3,0,0,'Données projet'!$E$9+1,1))-AVERAGE(OFFSET($H$3,0,0,'Données projet'!$E$9+1,1))</f>
        <v>347.22603428907496</v>
      </c>
      <c r="T127" s="62">
        <f t="shared" si="88"/>
        <v>258.98427374339872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4.385538803677005E-11</v>
      </c>
      <c r="AC127" s="24">
        <f t="shared" si="57"/>
        <v>4.385538803677005E-11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387.18736830550665</v>
      </c>
      <c r="AO127" s="62">
        <f t="shared" si="90"/>
        <v>312.32487363394125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0.51230668885738573</v>
      </c>
      <c r="AW127" s="23">
        <f>EXP(-LN(2)/2)*AW126+(1-EXP(-LN(2)/2))/(LN(2)/2)*AQ127*AT127*VLOOKUP('Données projet'!$B$10,Paramètres!$A$1:$I$89,3,0)*0.475*44/12</f>
        <v>1.1162805455859249E-13</v>
      </c>
      <c r="AX127" s="23">
        <f t="shared" si="60"/>
        <v>0.51230668885749731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-5.7639226724859328E-14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343.31521637281833</v>
      </c>
      <c r="BJ127" s="62">
        <f t="shared" si="92"/>
        <v>179.67327892360623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67.743850289841873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2.6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9.5333333333333332</v>
      </c>
      <c r="H128" s="70">
        <f t="shared" si="56"/>
        <v>193.74666666666667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1.5961632016114892E-13</v>
      </c>
      <c r="P128" s="14">
        <f t="shared" si="87"/>
        <v>2.2708641912150958E-12</v>
      </c>
      <c r="Q128" s="22">
        <f t="shared" si="107"/>
        <v>4.2330868906469593E-12</v>
      </c>
      <c r="R128" s="62">
        <f t="shared" si="55"/>
        <v>285.20429462550356</v>
      </c>
      <c r="S128" s="62">
        <f ca="1">AVERAGE(OFFSET($R$3,0,0,'Données projet'!$E$9+1,1))-AVERAGE(OFFSET($H$3,0,0,'Données projet'!$E$9+1,1))</f>
        <v>347.22603428907496</v>
      </c>
      <c r="T128" s="62">
        <f t="shared" si="88"/>
        <v>258.98427374339872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3.1010442272367493E-11</v>
      </c>
      <c r="AC128" s="24">
        <f t="shared" si="57"/>
        <v>3.1010442272367493E-11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387.18736830550665</v>
      </c>
      <c r="AO128" s="62">
        <f t="shared" si="90"/>
        <v>312.32487363394125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0.49829763550954265</v>
      </c>
      <c r="AW128" s="23">
        <f>EXP(-LN(2)/2)*AW127+(1-EXP(-LN(2)/2))/(LN(2)/2)*AQ128*AT128*VLOOKUP('Données projet'!$B$10,Paramètres!$A$1:$I$89,3,0)*0.475*44/12</f>
        <v>7.8932954349042661E-14</v>
      </c>
      <c r="AX128" s="23">
        <f t="shared" si="60"/>
        <v>0.49829763550962158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-5.7639226724859328E-14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343.31521637281833</v>
      </c>
      <c r="BJ128" s="62">
        <f t="shared" si="92"/>
        <v>179.67327892360623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67.782989443318002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2.6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9.5333333333333332</v>
      </c>
      <c r="H129" s="70">
        <f t="shared" si="56"/>
        <v>193.74666666666667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1.5961632016114892E-13</v>
      </c>
      <c r="P129" s="14">
        <f t="shared" si="87"/>
        <v>2.2708641912150958E-12</v>
      </c>
      <c r="Q129" s="22">
        <f t="shared" si="107"/>
        <v>4.2330868906469593E-12</v>
      </c>
      <c r="R129" s="62">
        <f t="shared" si="55"/>
        <v>285.34531527327664</v>
      </c>
      <c r="S129" s="62">
        <f ca="1">AVERAGE(OFFSET($R$3,0,0,'Données projet'!$E$9+1,1))-AVERAGE(OFFSET($H$3,0,0,'Données projet'!$E$9+1,1))</f>
        <v>347.22603428907496</v>
      </c>
      <c r="T129" s="62">
        <f t="shared" si="88"/>
        <v>258.98427374339872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2.1927694018385025E-11</v>
      </c>
      <c r="AC129" s="24">
        <f t="shared" si="57"/>
        <v>2.1927694018385025E-11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387.18736830550665</v>
      </c>
      <c r="AO129" s="62">
        <f t="shared" si="90"/>
        <v>312.32487363394125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0.48467166046220045</v>
      </c>
      <c r="AW129" s="23">
        <f>EXP(-LN(2)/2)*AW128+(1-EXP(-LN(2)/2))/(LN(2)/2)*AQ129*AT129*VLOOKUP('Données projet'!$B$10,Paramètres!$A$1:$I$89,3,0)*0.475*44/12</f>
        <v>5.5814027279296259E-14</v>
      </c>
      <c r="AX129" s="23">
        <f t="shared" si="60"/>
        <v>0.48467166046225624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-5.7639226724859328E-14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343.31521637281833</v>
      </c>
      <c r="BJ129" s="62">
        <f t="shared" si="92"/>
        <v>179.67327892360623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67.821449619983383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2.6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9.5333333333333332</v>
      </c>
      <c r="H130" s="70">
        <f t="shared" si="56"/>
        <v>193.74666666666667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1.5961632016114892E-13</v>
      </c>
      <c r="P130" s="14">
        <f t="shared" si="87"/>
        <v>2.2708641912150958E-12</v>
      </c>
      <c r="Q130" s="22">
        <f t="shared" si="107"/>
        <v>4.2330868906469593E-12</v>
      </c>
      <c r="R130" s="62">
        <f t="shared" si="55"/>
        <v>285.48388952808568</v>
      </c>
      <c r="S130" s="62">
        <f ca="1">AVERAGE(OFFSET($R$3,0,0,'Données projet'!$E$9+1,1))-AVERAGE(OFFSET($H$3,0,0,'Données projet'!$E$9+1,1))</f>
        <v>347.22603428907496</v>
      </c>
      <c r="T130" s="62">
        <f t="shared" si="88"/>
        <v>258.98427374339872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1.5505221136183747E-11</v>
      </c>
      <c r="AC130" s="24">
        <f t="shared" si="57"/>
        <v>1.5505221136183747E-11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387.18736830550665</v>
      </c>
      <c r="AO130" s="62">
        <f t="shared" si="90"/>
        <v>312.32487363394125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0.47141828841908667</v>
      </c>
      <c r="AW130" s="23">
        <f>EXP(-LN(2)/2)*AW129+(1-EXP(-LN(2)/2))/(LN(2)/2)*AQ130*AT130*VLOOKUP('Données projet'!$B$10,Paramètres!$A$1:$I$89,3,0)*0.475*44/12</f>
        <v>3.9466477174521337E-14</v>
      </c>
      <c r="AX130" s="23">
        <f t="shared" si="60"/>
        <v>0.47141828841912614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-5.7639226724859328E-14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343.31521637281833</v>
      </c>
      <c r="BJ130" s="62">
        <f t="shared" si="92"/>
        <v>179.67327892360623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67.859242598567675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2.6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9.5333333333333332</v>
      </c>
      <c r="H131" s="70">
        <f t="shared" si="56"/>
        <v>193.74666666666667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1.5961632016114892E-13</v>
      </c>
      <c r="P131" s="14">
        <f t="shared" si="87"/>
        <v>2.2708641912150958E-12</v>
      </c>
      <c r="Q131" s="22">
        <f t="shared" ref="Q131:Q153" si="108">(O131+P131)*0.475*44/12</f>
        <v>4.2330868906469593E-12</v>
      </c>
      <c r="R131" s="62">
        <f t="shared" ref="R131:R194" si="109">Q131+(I131+J131)*44/12</f>
        <v>285.62005982937939</v>
      </c>
      <c r="S131" s="62">
        <f ca="1">AVERAGE(OFFSET($R$3,0,0,'Données projet'!$E$9+1,1))-AVERAGE(OFFSET($H$3,0,0,'Données projet'!$E$9+1,1))</f>
        <v>347.22603428907496</v>
      </c>
      <c r="T131" s="62">
        <f t="shared" si="88"/>
        <v>258.98427374339872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1.0963847009192513E-11</v>
      </c>
      <c r="AC131" s="24">
        <f t="shared" si="57"/>
        <v>1.0963847009192513E-11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387.18736830550665</v>
      </c>
      <c r="AO131" s="62">
        <f t="shared" si="90"/>
        <v>312.32487363394125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0.45852733053145639</v>
      </c>
      <c r="AW131" s="23">
        <f>EXP(-LN(2)/2)*AW130+(1-EXP(-LN(2)/2))/(LN(2)/2)*AQ131*AT131*VLOOKUP('Données projet'!$B$10,Paramètres!$A$1:$I$89,3,0)*0.475*44/12</f>
        <v>2.7907013639648133E-14</v>
      </c>
      <c r="AX131" s="23">
        <f t="shared" si="60"/>
        <v>0.45852733053148431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-5.7639226724859328E-14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343.31521637281833</v>
      </c>
      <c r="BJ131" s="62">
        <f t="shared" si="92"/>
        <v>179.67327892360623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67.896379953465967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2.6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9.5333333333333332</v>
      </c>
      <c r="H132" s="70">
        <f t="shared" ref="H132:H195" si="110">(B132+E132+F132)*44/12+(C132+D132)*0.475*44/12</f>
        <v>193.74666666666667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1.5961632016114892E-13</v>
      </c>
      <c r="P132" s="14">
        <f t="shared" si="87"/>
        <v>2.2708641912150958E-12</v>
      </c>
      <c r="Q132" s="22">
        <f t="shared" si="108"/>
        <v>4.2330868906469593E-12</v>
      </c>
      <c r="R132" s="62">
        <f t="shared" si="109"/>
        <v>285.7538678803769</v>
      </c>
      <c r="S132" s="62">
        <f ca="1">AVERAGE(OFFSET($R$3,0,0,'Données projet'!$E$9+1,1))-AVERAGE(OFFSET($H$3,0,0,'Données projet'!$E$9+1,1))</f>
        <v>347.22603428907496</v>
      </c>
      <c r="T132" s="62">
        <f t="shared" si="88"/>
        <v>258.98427374339872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7.7526105680918734E-12</v>
      </c>
      <c r="AC132" s="24">
        <f t="shared" ref="AC132:AC153" si="111">SUM(Z132:AB132)</f>
        <v>7.7526105680918734E-12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387.18736830550665</v>
      </c>
      <c r="AO132" s="62">
        <f t="shared" si="90"/>
        <v>312.32487363394125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0.44598887656516939</v>
      </c>
      <c r="AW132" s="23">
        <f>EXP(-LN(2)/2)*AW131+(1-EXP(-LN(2)/2))/(LN(2)/2)*AQ132*AT132*VLOOKUP('Données projet'!$B$10,Paramètres!$A$1:$I$89,3,0)*0.475*44/12</f>
        <v>1.9733238587260672E-14</v>
      </c>
      <c r="AX132" s="23">
        <f t="shared" ref="AX132:AX153" si="114">SUM(AU132:AW132)</f>
        <v>0.4459888765651891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-5.7639226724859328E-14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343.31521637281833</v>
      </c>
      <c r="BJ132" s="62">
        <f t="shared" si="92"/>
        <v>179.67327892360623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67.932873058283462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2.6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9.5333333333333332</v>
      </c>
      <c r="H133" s="70">
        <f t="shared" si="110"/>
        <v>193.74666666666667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1.5961632016114892E-13</v>
      </c>
      <c r="P133" s="14">
        <f t="shared" ref="P133:P196" si="141">EXP(-1.0587+0.8836*LN(O133)+0.284)</f>
        <v>2.2708641912150958E-12</v>
      </c>
      <c r="Q133" s="22">
        <f t="shared" si="108"/>
        <v>4.2330868906469593E-12</v>
      </c>
      <c r="R133" s="62">
        <f t="shared" si="109"/>
        <v>285.8853546608396</v>
      </c>
      <c r="S133" s="62">
        <f ca="1">AVERAGE(OFFSET($R$3,0,0,'Données projet'!$E$9+1,1))-AVERAGE(OFFSET($H$3,0,0,'Données projet'!$E$9+1,1))</f>
        <v>347.22603428907496</v>
      </c>
      <c r="T133" s="62">
        <f t="shared" ref="T133:T196" si="142">$T$3</f>
        <v>258.98427374339872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5.4819235045962563E-12</v>
      </c>
      <c r="AC133" s="24">
        <f t="shared" si="111"/>
        <v>5.4819235045962563E-12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387.18736830550665</v>
      </c>
      <c r="AO133" s="62">
        <f t="shared" ref="AO133:AO196" si="144">$AO$3</f>
        <v>312.32487363394125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0.43379328728195915</v>
      </c>
      <c r="AW133" s="23">
        <f>EXP(-LN(2)/2)*AW132+(1-EXP(-LN(2)/2))/(LN(2)/2)*AQ133*AT133*VLOOKUP('Données projet'!$B$10,Paramètres!$A$1:$I$89,3,0)*0.475*44/12</f>
        <v>1.3953506819824069E-14</v>
      </c>
      <c r="AX133" s="23">
        <f t="shared" si="114"/>
        <v>0.43379328728197308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-5.7639226724859328E-14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343.31521637281833</v>
      </c>
      <c r="BJ133" s="62">
        <f t="shared" ref="BJ133:BJ196" si="146">$BJ$3</f>
        <v>179.67327892360623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67.968733089318732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2.6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9.5333333333333332</v>
      </c>
      <c r="H134" s="70">
        <f t="shared" si="110"/>
        <v>193.74666666666667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1.5961632016114892E-13</v>
      </c>
      <c r="P134" s="14">
        <f t="shared" si="141"/>
        <v>2.2708641912150958E-12</v>
      </c>
      <c r="Q134" s="22">
        <f t="shared" si="108"/>
        <v>4.2330868906469593E-12</v>
      </c>
      <c r="R134" s="62">
        <f t="shared" si="109"/>
        <v>286.01456043962162</v>
      </c>
      <c r="S134" s="62">
        <f ca="1">AVERAGE(OFFSET($R$3,0,0,'Données projet'!$E$9+1,1))-AVERAGE(OFFSET($H$3,0,0,'Données projet'!$E$9+1,1))</f>
        <v>347.22603428907496</v>
      </c>
      <c r="T134" s="62">
        <f t="shared" si="142"/>
        <v>258.98427374339872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3.8763052840459367E-12</v>
      </c>
      <c r="AC134" s="24">
        <f t="shared" si="111"/>
        <v>3.8763052840459367E-12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387.18736830550665</v>
      </c>
      <c r="AO134" s="62">
        <f t="shared" si="144"/>
        <v>312.32487363394125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0.42193118702903643</v>
      </c>
      <c r="AW134" s="23">
        <f>EXP(-LN(2)/2)*AW133+(1-EXP(-LN(2)/2))/(LN(2)/2)*AQ134*AT134*VLOOKUP('Données projet'!$B$10,Paramètres!$A$1:$I$89,3,0)*0.475*44/12</f>
        <v>9.8666192936303374E-15</v>
      </c>
      <c r="AX134" s="23">
        <f t="shared" si="114"/>
        <v>0.42193118702904631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-5.7639226724859328E-14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343.31521637281833</v>
      </c>
      <c r="BJ134" s="62">
        <f t="shared" si="146"/>
        <v>179.67327892360623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68.00397102898657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2.6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9.5333333333333332</v>
      </c>
      <c r="H135" s="70">
        <f t="shared" si="110"/>
        <v>193.74666666666667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1.5961632016114892E-13</v>
      </c>
      <c r="P135" s="14">
        <f t="shared" si="141"/>
        <v>2.2708641912150958E-12</v>
      </c>
      <c r="Q135" s="22">
        <f t="shared" si="108"/>
        <v>4.2330868906469593E-12</v>
      </c>
      <c r="R135" s="62">
        <f t="shared" si="109"/>
        <v>286.14152478700265</v>
      </c>
      <c r="S135" s="62">
        <f ca="1">AVERAGE(OFFSET($R$3,0,0,'Données projet'!$E$9+1,1))-AVERAGE(OFFSET($H$3,0,0,'Données projet'!$E$9+1,1))</f>
        <v>347.22603428907496</v>
      </c>
      <c r="T135" s="62">
        <f t="shared" si="142"/>
        <v>258.98427374339872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2.7409617522981281E-12</v>
      </c>
      <c r="AC135" s="24">
        <f t="shared" si="111"/>
        <v>2.7409617522981281E-12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387.18736830550665</v>
      </c>
      <c r="AO135" s="62">
        <f t="shared" si="144"/>
        <v>312.32487363394125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0.41039345653133064</v>
      </c>
      <c r="AW135" s="23">
        <f>EXP(-LN(2)/2)*AW134+(1-EXP(-LN(2)/2))/(LN(2)/2)*AQ135*AT135*VLOOKUP('Données projet'!$B$10,Paramètres!$A$1:$I$89,3,0)*0.475*44/12</f>
        <v>6.9767534099120355E-15</v>
      </c>
      <c r="AX135" s="23">
        <f t="shared" si="114"/>
        <v>0.41039345653133763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-5.7639226724859328E-14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343.31521637281833</v>
      </c>
      <c r="BJ135" s="62">
        <f t="shared" si="146"/>
        <v>179.67327892360623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68.038597669181399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2.6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9.5333333333333332</v>
      </c>
      <c r="H136" s="70">
        <f t="shared" si="110"/>
        <v>193.74666666666667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1.5961632016114892E-13</v>
      </c>
      <c r="P136" s="14">
        <f t="shared" si="141"/>
        <v>2.2708641912150958E-12</v>
      </c>
      <c r="Q136" s="22">
        <f t="shared" si="108"/>
        <v>4.2330868906469593E-12</v>
      </c>
      <c r="R136" s="62">
        <f t="shared" si="109"/>
        <v>286.26628658680642</v>
      </c>
      <c r="S136" s="62">
        <f ca="1">AVERAGE(OFFSET($R$3,0,0,'Données projet'!$E$9+1,1))-AVERAGE(OFFSET($H$3,0,0,'Données projet'!$E$9+1,1))</f>
        <v>347.22603428907496</v>
      </c>
      <c r="T136" s="62">
        <f t="shared" si="142"/>
        <v>258.98427374339872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1.9381526420229683E-12</v>
      </c>
      <c r="AC136" s="24">
        <f t="shared" si="111"/>
        <v>1.9381526420229683E-12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387.18736830550665</v>
      </c>
      <c r="AO136" s="62">
        <f t="shared" si="144"/>
        <v>312.32487363394125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0.39917122588082748</v>
      </c>
      <c r="AW136" s="23">
        <f>EXP(-LN(2)/2)*AW135+(1-EXP(-LN(2)/2))/(LN(2)/2)*AQ136*AT136*VLOOKUP('Données projet'!$B$10,Paramètres!$A$1:$I$89,3,0)*0.475*44/12</f>
        <v>4.9333096468151695E-15</v>
      </c>
      <c r="AX136" s="23">
        <f t="shared" si="114"/>
        <v>0.39917122588083243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-5.7639226724859328E-14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343.31521637281833</v>
      </c>
      <c r="BJ136" s="62">
        <f t="shared" si="146"/>
        <v>179.67327892360623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68.072623614582426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2.6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9.5333333333333332</v>
      </c>
      <c r="H137" s="70">
        <f t="shared" si="110"/>
        <v>193.74666666666667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1.5961632016114892E-13</v>
      </c>
      <c r="P137" s="14">
        <f t="shared" si="141"/>
        <v>2.2708641912150958E-12</v>
      </c>
      <c r="Q137" s="22">
        <f t="shared" si="108"/>
        <v>4.2330868906469593E-12</v>
      </c>
      <c r="R137" s="62">
        <f t="shared" si="109"/>
        <v>286.38888404830919</v>
      </c>
      <c r="S137" s="62">
        <f ca="1">AVERAGE(OFFSET($R$3,0,0,'Données projet'!$E$9+1,1))-AVERAGE(OFFSET($H$3,0,0,'Données projet'!$E$9+1,1))</f>
        <v>347.22603428907496</v>
      </c>
      <c r="T137" s="62">
        <f t="shared" si="142"/>
        <v>258.98427374339872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1.3704808761490641E-12</v>
      </c>
      <c r="AC137" s="24">
        <f t="shared" si="111"/>
        <v>1.3704808761490641E-12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387.18736830550665</v>
      </c>
      <c r="AO137" s="62">
        <f t="shared" si="144"/>
        <v>312.32487363394125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0.38825586771761383</v>
      </c>
      <c r="AW137" s="23">
        <f>EXP(-LN(2)/2)*AW136+(1-EXP(-LN(2)/2))/(LN(2)/2)*AQ137*AT137*VLOOKUP('Données projet'!$B$10,Paramètres!$A$1:$I$89,3,0)*0.475*44/12</f>
        <v>3.4883767049560181E-15</v>
      </c>
      <c r="AX137" s="23">
        <f t="shared" si="114"/>
        <v>0.38825586771761733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-5.7639226724859328E-14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343.31521637281833</v>
      </c>
      <c r="BJ137" s="62">
        <f t="shared" si="146"/>
        <v>179.67327892360623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68.106059285901352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2.6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9.5333333333333332</v>
      </c>
      <c r="H138" s="70">
        <f t="shared" si="110"/>
        <v>193.74666666666667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1.5961632016114892E-13</v>
      </c>
      <c r="P138" s="14">
        <f t="shared" si="141"/>
        <v>2.2708641912150958E-12</v>
      </c>
      <c r="Q138" s="22">
        <f t="shared" si="108"/>
        <v>4.2330868906469593E-12</v>
      </c>
      <c r="R138" s="62">
        <f t="shared" si="109"/>
        <v>286.50935471794168</v>
      </c>
      <c r="S138" s="62">
        <f ca="1">AVERAGE(OFFSET($R$3,0,0,'Données projet'!$E$9+1,1))-AVERAGE(OFFSET($H$3,0,0,'Données projet'!$E$9+1,1))</f>
        <v>347.22603428907496</v>
      </c>
      <c r="T138" s="62">
        <f t="shared" si="142"/>
        <v>258.98427374339872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9.6907632101148417E-13</v>
      </c>
      <c r="AC138" s="24">
        <f t="shared" si="111"/>
        <v>9.6907632101148417E-13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387.18736830550665</v>
      </c>
      <c r="AO138" s="62">
        <f t="shared" si="144"/>
        <v>312.32487363394125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0.37763899059738698</v>
      </c>
      <c r="AW138" s="23">
        <f>EXP(-LN(2)/2)*AW137+(1-EXP(-LN(2)/2))/(LN(2)/2)*AQ138*AT138*VLOOKUP('Données projet'!$B$10,Paramètres!$A$1:$I$89,3,0)*0.475*44/12</f>
        <v>2.4666548234075851E-15</v>
      </c>
      <c r="AX138" s="23">
        <f t="shared" si="114"/>
        <v>0.37763899059738942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-5.7639226724859328E-14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343.31521637281833</v>
      </c>
      <c r="BJ138" s="62">
        <f t="shared" si="146"/>
        <v>179.67327892360623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68.138914923073855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2.6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9.5333333333333332</v>
      </c>
      <c r="H139" s="70">
        <f t="shared" si="110"/>
        <v>193.74666666666667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1.5961632016114892E-13</v>
      </c>
      <c r="P139" s="14">
        <f t="shared" si="141"/>
        <v>2.2708641912150958E-12</v>
      </c>
      <c r="Q139" s="22">
        <f t="shared" si="108"/>
        <v>4.2330868906469593E-12</v>
      </c>
      <c r="R139" s="62">
        <f t="shared" si="109"/>
        <v>286.6277354907881</v>
      </c>
      <c r="S139" s="62">
        <f ca="1">AVERAGE(OFFSET($R$3,0,0,'Données projet'!$E$9+1,1))-AVERAGE(OFFSET($H$3,0,0,'Données projet'!$E$9+1,1))</f>
        <v>347.22603428907496</v>
      </c>
      <c r="T139" s="62">
        <f t="shared" si="142"/>
        <v>258.98427374339872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6.8524043807453203E-13</v>
      </c>
      <c r="AC139" s="24">
        <f t="shared" si="111"/>
        <v>6.8524043807453203E-13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387.18736830550665</v>
      </c>
      <c r="AO139" s="62">
        <f t="shared" si="144"/>
        <v>312.32487363394125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0.36731243254033002</v>
      </c>
      <c r="AW139" s="23">
        <f>EXP(-LN(2)/2)*AW138+(1-EXP(-LN(2)/2))/(LN(2)/2)*AQ139*AT139*VLOOKUP('Données projet'!$B$10,Paramètres!$A$1:$I$89,3,0)*0.475*44/12</f>
        <v>1.7441883524780095E-15</v>
      </c>
      <c r="AX139" s="23">
        <f t="shared" si="114"/>
        <v>0.36731243254033175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-5.7639226724859328E-14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343.31521637281833</v>
      </c>
      <c r="BJ139" s="62">
        <f t="shared" si="146"/>
        <v>179.67327892360623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68.171200588395607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2.6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9.5333333333333332</v>
      </c>
      <c r="H140" s="70">
        <f t="shared" si="110"/>
        <v>193.74666666666667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1.5961632016114892E-13</v>
      </c>
      <c r="P140" s="14">
        <f t="shared" si="141"/>
        <v>2.2708641912150958E-12</v>
      </c>
      <c r="Q140" s="22">
        <f t="shared" si="108"/>
        <v>4.2330868906469593E-12</v>
      </c>
      <c r="R140" s="62">
        <f t="shared" si="109"/>
        <v>286.74406262188546</v>
      </c>
      <c r="S140" s="62">
        <f ca="1">AVERAGE(OFFSET($R$3,0,0,'Données projet'!$E$9+1,1))-AVERAGE(OFFSET($H$3,0,0,'Données projet'!$E$9+1,1))</f>
        <v>347.22603428907496</v>
      </c>
      <c r="T140" s="62">
        <f t="shared" si="142"/>
        <v>258.98427374339872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4.8453816050574209E-13</v>
      </c>
      <c r="AC140" s="24">
        <f t="shared" si="111"/>
        <v>4.8453816050574209E-13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387.18736830550665</v>
      </c>
      <c r="AO140" s="62">
        <f t="shared" si="144"/>
        <v>312.32487363394125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0.3572682547563934</v>
      </c>
      <c r="AW140" s="23">
        <f>EXP(-LN(2)/2)*AW139+(1-EXP(-LN(2)/2))/(LN(2)/2)*AQ140*AT140*VLOOKUP('Données projet'!$B$10,Paramètres!$A$1:$I$89,3,0)*0.475*44/12</f>
        <v>1.2333274117037928E-15</v>
      </c>
      <c r="AX140" s="23">
        <f t="shared" si="114"/>
        <v>0.35726825475639462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-5.7639226724859328E-14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343.31521637281833</v>
      </c>
      <c r="BJ140" s="62">
        <f t="shared" si="146"/>
        <v>179.67327892360623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68.202926169603984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2.6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9.5333333333333332</v>
      </c>
      <c r="H141" s="70">
        <f t="shared" si="110"/>
        <v>193.74666666666667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1.5961632016114892E-13</v>
      </c>
      <c r="P141" s="14">
        <f t="shared" si="141"/>
        <v>2.2708641912150958E-12</v>
      </c>
      <c r="Q141" s="22">
        <f t="shared" si="108"/>
        <v>4.2330868906469593E-12</v>
      </c>
      <c r="R141" s="62">
        <f t="shared" si="109"/>
        <v>286.85837173732676</v>
      </c>
      <c r="S141" s="62">
        <f ca="1">AVERAGE(OFFSET($R$3,0,0,'Données projet'!$E$9+1,1))-AVERAGE(OFFSET($H$3,0,0,'Données projet'!$E$9+1,1))</f>
        <v>347.22603428907496</v>
      </c>
      <c r="T141" s="62">
        <f t="shared" si="142"/>
        <v>258.98427374339872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3.4262021903726602E-13</v>
      </c>
      <c r="AC141" s="24">
        <f t="shared" si="111"/>
        <v>3.4262021903726602E-13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387.18736830550665</v>
      </c>
      <c r="AO141" s="62">
        <f t="shared" si="144"/>
        <v>312.32487363394125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0.34749873554215888</v>
      </c>
      <c r="AW141" s="23">
        <f>EXP(-LN(2)/2)*AW140+(1-EXP(-LN(2)/2))/(LN(2)/2)*AQ141*AT141*VLOOKUP('Données projet'!$B$10,Paramètres!$A$1:$I$89,3,0)*0.475*44/12</f>
        <v>8.7209417623900483E-16</v>
      </c>
      <c r="AX141" s="23">
        <f t="shared" si="114"/>
        <v>0.34749873554215976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-5.7639226724859328E-14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343.31521637281833</v>
      </c>
      <c r="BJ141" s="62">
        <f t="shared" si="146"/>
        <v>179.67327892360623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68.234101382906161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2.6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9.5333333333333332</v>
      </c>
      <c r="H142" s="70">
        <f t="shared" si="110"/>
        <v>193.74666666666667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1.5961632016114892E-13</v>
      </c>
      <c r="P142" s="14">
        <f t="shared" si="141"/>
        <v>2.2708641912150958E-12</v>
      </c>
      <c r="Q142" s="22">
        <f t="shared" si="108"/>
        <v>4.2330868906469593E-12</v>
      </c>
      <c r="R142" s="62">
        <f t="shared" si="109"/>
        <v>286.97069784517208</v>
      </c>
      <c r="S142" s="62">
        <f ca="1">AVERAGE(OFFSET($R$3,0,0,'Données projet'!$E$9+1,1))-AVERAGE(OFFSET($H$3,0,0,'Données projet'!$E$9+1,1))</f>
        <v>347.22603428907496</v>
      </c>
      <c r="T142" s="62">
        <f t="shared" si="142"/>
        <v>258.98427374339872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2.4226908025287104E-13</v>
      </c>
      <c r="AC142" s="24">
        <f t="shared" si="111"/>
        <v>2.4226908025287104E-13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387.18736830550665</v>
      </c>
      <c r="AO142" s="62">
        <f t="shared" si="144"/>
        <v>312.32487363394125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0.33799636434459424</v>
      </c>
      <c r="AW142" s="23">
        <f>EXP(-LN(2)/2)*AW141+(1-EXP(-LN(2)/2))/(LN(2)/2)*AQ142*AT142*VLOOKUP('Données projet'!$B$10,Paramètres!$A$1:$I$89,3,0)*0.475*44/12</f>
        <v>6.1666370585189648E-16</v>
      </c>
      <c r="AX142" s="23">
        <f t="shared" si="114"/>
        <v>0.33799636434459485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-5.7639226724859328E-14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343.31521637281833</v>
      </c>
      <c r="BJ142" s="62">
        <f t="shared" si="146"/>
        <v>179.67327892360623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68.264735775954875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2.6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9.5333333333333332</v>
      </c>
      <c r="H143" s="70">
        <f t="shared" si="110"/>
        <v>193.74666666666667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1.5961632016114892E-13</v>
      </c>
      <c r="P143" s="14">
        <f t="shared" si="141"/>
        <v>2.2708641912150958E-12</v>
      </c>
      <c r="Q143" s="22">
        <f t="shared" si="108"/>
        <v>4.2330868906469593E-12</v>
      </c>
      <c r="R143" s="62">
        <f t="shared" si="109"/>
        <v>287.08107534616983</v>
      </c>
      <c r="S143" s="62">
        <f ca="1">AVERAGE(OFFSET($R$3,0,0,'Données projet'!$E$9+1,1))-AVERAGE(OFFSET($H$3,0,0,'Données projet'!$E$9+1,1))</f>
        <v>347.22603428907496</v>
      </c>
      <c r="T143" s="62">
        <f t="shared" si="142"/>
        <v>258.98427374339872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1.7131010951863301E-13</v>
      </c>
      <c r="AC143" s="24">
        <f t="shared" si="111"/>
        <v>1.7131010951863301E-13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387.18736830550665</v>
      </c>
      <c r="AO143" s="62">
        <f t="shared" si="144"/>
        <v>312.32487363394125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0.32875383598713498</v>
      </c>
      <c r="AW143" s="23">
        <f>EXP(-LN(2)/2)*AW142+(1-EXP(-LN(2)/2))/(LN(2)/2)*AQ143*AT143*VLOOKUP('Données projet'!$B$10,Paramètres!$A$1:$I$89,3,0)*0.475*44/12</f>
        <v>4.3604708811950251E-16</v>
      </c>
      <c r="AX143" s="23">
        <f t="shared" si="114"/>
        <v>0.32875383598713542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-5.7639226724859328E-14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343.31521637281833</v>
      </c>
      <c r="BJ143" s="62">
        <f t="shared" si="146"/>
        <v>179.67327892360623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68.29483873077244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2.6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9.5333333333333332</v>
      </c>
      <c r="H144" s="70">
        <f t="shared" si="110"/>
        <v>193.74666666666667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1.5961632016114892E-13</v>
      </c>
      <c r="P144" s="14">
        <f t="shared" si="141"/>
        <v>2.2708641912150958E-12</v>
      </c>
      <c r="Q144" s="22">
        <f t="shared" si="108"/>
        <v>4.2330868906469593E-12</v>
      </c>
      <c r="R144" s="62">
        <f t="shared" si="109"/>
        <v>287.18953804429242</v>
      </c>
      <c r="S144" s="62">
        <f ca="1">AVERAGE(OFFSET($R$3,0,0,'Données projet'!$E$9+1,1))-AVERAGE(OFFSET($H$3,0,0,'Données projet'!$E$9+1,1))</f>
        <v>347.22603428907496</v>
      </c>
      <c r="T144" s="62">
        <f t="shared" si="142"/>
        <v>258.98427374339872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1.2113454012643552E-13</v>
      </c>
      <c r="AC144" s="24">
        <f t="shared" si="111"/>
        <v>1.2113454012643552E-13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387.18736830550665</v>
      </c>
      <c r="AO144" s="62">
        <f t="shared" si="144"/>
        <v>312.32487363394125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0.31976404505365391</v>
      </c>
      <c r="AW144" s="23">
        <f>EXP(-LN(2)/2)*AW143+(1-EXP(-LN(2)/2))/(LN(2)/2)*AQ144*AT144*VLOOKUP('Données projet'!$B$10,Paramètres!$A$1:$I$89,3,0)*0.475*44/12</f>
        <v>3.0833185292594829E-16</v>
      </c>
      <c r="AX144" s="23">
        <f t="shared" si="114"/>
        <v>0.31976404505365424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-5.7639226724859328E-14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343.31521637281833</v>
      </c>
      <c r="BJ144" s="62">
        <f t="shared" si="146"/>
        <v>179.67327892360623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68.32441946662405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2.6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9.5333333333333332</v>
      </c>
      <c r="H145" s="70">
        <f t="shared" si="110"/>
        <v>193.74666666666667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1.5961632016114892E-13</v>
      </c>
      <c r="P145" s="14">
        <f t="shared" si="141"/>
        <v>2.2708641912150958E-12</v>
      </c>
      <c r="Q145" s="22">
        <f t="shared" si="108"/>
        <v>4.2330868906469593E-12</v>
      </c>
      <c r="R145" s="62">
        <f t="shared" si="109"/>
        <v>287.29611915708875</v>
      </c>
      <c r="S145" s="62">
        <f ca="1">AVERAGE(OFFSET($R$3,0,0,'Données projet'!$E$9+1,1))-AVERAGE(OFFSET($H$3,0,0,'Données projet'!$E$9+1,1))</f>
        <v>347.22603428907496</v>
      </c>
      <c r="T145" s="62">
        <f t="shared" si="142"/>
        <v>258.98427374339872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8.5655054759316504E-14</v>
      </c>
      <c r="AC145" s="24">
        <f t="shared" si="111"/>
        <v>8.5655054759316504E-14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387.18736830550665</v>
      </c>
      <c r="AO145" s="62">
        <f t="shared" si="144"/>
        <v>312.32487363394125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0.31102008042600143</v>
      </c>
      <c r="AW145" s="23">
        <f>EXP(-LN(2)/2)*AW144+(1-EXP(-LN(2)/2))/(LN(2)/2)*AQ145*AT145*VLOOKUP('Données projet'!$B$10,Paramètres!$A$1:$I$89,3,0)*0.475*44/12</f>
        <v>2.1802354405975128E-16</v>
      </c>
      <c r="AX145" s="23">
        <f t="shared" si="114"/>
        <v>0.31102008042600165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-5.7639226724859328E-14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343.31521637281833</v>
      </c>
      <c r="BJ145" s="62">
        <f t="shared" si="146"/>
        <v>179.67327892360623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68.353487042841238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2.6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9.5333333333333332</v>
      </c>
      <c r="H146" s="70">
        <f t="shared" si="110"/>
        <v>193.74666666666667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1.5961632016114892E-13</v>
      </c>
      <c r="P146" s="14">
        <f t="shared" si="141"/>
        <v>2.2708641912150958E-12</v>
      </c>
      <c r="Q146" s="22">
        <f t="shared" si="108"/>
        <v>4.2330868906469593E-12</v>
      </c>
      <c r="R146" s="62">
        <f t="shared" si="109"/>
        <v>287.40085132585784</v>
      </c>
      <c r="S146" s="62">
        <f ca="1">AVERAGE(OFFSET($R$3,0,0,'Données projet'!$E$9+1,1))-AVERAGE(OFFSET($H$3,0,0,'Données projet'!$E$9+1,1))</f>
        <v>347.22603428907496</v>
      </c>
      <c r="T146" s="62">
        <f t="shared" si="142"/>
        <v>258.98427374339872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6.0567270063217761E-14</v>
      </c>
      <c r="AC146" s="24">
        <f t="shared" si="111"/>
        <v>6.0567270063217761E-14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387.18736830550665</v>
      </c>
      <c r="AO146" s="62">
        <f t="shared" si="144"/>
        <v>312.32487363394125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0.30251521997091724</v>
      </c>
      <c r="AW146" s="23">
        <f>EXP(-LN(2)/2)*AW145+(1-EXP(-LN(2)/2))/(LN(2)/2)*AQ146*AT146*VLOOKUP('Données projet'!$B$10,Paramètres!$A$1:$I$89,3,0)*0.475*44/12</f>
        <v>1.5416592646297417E-16</v>
      </c>
      <c r="AX146" s="23">
        <f t="shared" si="114"/>
        <v>0.3025152199709174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-5.7639226724859328E-14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343.31521637281833</v>
      </c>
      <c r="BJ146" s="62">
        <f t="shared" si="146"/>
        <v>179.67327892360623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68.382050361596441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2.6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9.5333333333333332</v>
      </c>
      <c r="H147" s="70">
        <f t="shared" si="110"/>
        <v>193.74666666666667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1.5961632016114892E-13</v>
      </c>
      <c r="P147" s="14">
        <f t="shared" si="141"/>
        <v>2.2708641912150958E-12</v>
      </c>
      <c r="Q147" s="22">
        <f t="shared" si="108"/>
        <v>4.2330868906469593E-12</v>
      </c>
      <c r="R147" s="62">
        <f t="shared" si="109"/>
        <v>287.50376662564474</v>
      </c>
      <c r="S147" s="62">
        <f ca="1">AVERAGE(OFFSET($R$3,0,0,'Données projet'!$E$9+1,1))-AVERAGE(OFFSET($H$3,0,0,'Données projet'!$E$9+1,1))</f>
        <v>347.22603428907496</v>
      </c>
      <c r="T147" s="62">
        <f t="shared" si="142"/>
        <v>258.98427374339872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4.2827527379658252E-14</v>
      </c>
      <c r="AC147" s="24">
        <f t="shared" si="111"/>
        <v>4.2827527379658252E-14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387.18736830550665</v>
      </c>
      <c r="AO147" s="62">
        <f t="shared" si="144"/>
        <v>312.32487363394125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0.29424292537222851</v>
      </c>
      <c r="AW147" s="23">
        <f>EXP(-LN(2)/2)*AW146+(1-EXP(-LN(2)/2))/(LN(2)/2)*AQ147*AT147*VLOOKUP('Données projet'!$B$10,Paramètres!$A$1:$I$89,3,0)*0.475*44/12</f>
        <v>1.0901177202987567E-16</v>
      </c>
      <c r="AX147" s="23">
        <f t="shared" si="114"/>
        <v>0.29424292537222863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-5.7639226724859328E-14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343.31521637281833</v>
      </c>
      <c r="BJ147" s="62">
        <f t="shared" si="146"/>
        <v>179.67327892360623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68.410118170629232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2.6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9.5333333333333332</v>
      </c>
      <c r="H148" s="70">
        <f t="shared" si="110"/>
        <v>193.74666666666667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1.5961632016114892E-13</v>
      </c>
      <c r="P148" s="14">
        <f t="shared" si="141"/>
        <v>2.2708641912150958E-12</v>
      </c>
      <c r="Q148" s="22">
        <f t="shared" si="108"/>
        <v>4.2330868906469593E-12</v>
      </c>
      <c r="R148" s="62">
        <f t="shared" si="109"/>
        <v>287.60489657506457</v>
      </c>
      <c r="S148" s="62">
        <f ca="1">AVERAGE(OFFSET($R$3,0,0,'Données projet'!$E$9+1,1))-AVERAGE(OFFSET($H$3,0,0,'Données projet'!$E$9+1,1))</f>
        <v>347.22603428907496</v>
      </c>
      <c r="T148" s="62">
        <f t="shared" si="142"/>
        <v>258.98427374339872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3.028363503160888E-14</v>
      </c>
      <c r="AC148" s="24">
        <f t="shared" si="111"/>
        <v>3.028363503160888E-14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387.18736830550665</v>
      </c>
      <c r="AO148" s="62">
        <f t="shared" si="144"/>
        <v>312.32487363394125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0.286196837104362</v>
      </c>
      <c r="AW148" s="23">
        <f>EXP(-LN(2)/2)*AW147+(1-EXP(-LN(2)/2))/(LN(2)/2)*AQ148*AT148*VLOOKUP('Données projet'!$B$10,Paramètres!$A$1:$I$89,3,0)*0.475*44/12</f>
        <v>7.7082963231487097E-17</v>
      </c>
      <c r="AX148" s="23">
        <f t="shared" si="114"/>
        <v>0.28619683710436206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-5.7639226724859328E-14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343.31521637281833</v>
      </c>
      <c r="BJ148" s="62">
        <f t="shared" si="146"/>
        <v>179.67327892360623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68.437699065925557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2.6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9.5333333333333332</v>
      </c>
      <c r="H149" s="70">
        <f t="shared" si="110"/>
        <v>193.74666666666667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1.5961632016114892E-13</v>
      </c>
      <c r="P149" s="14">
        <f t="shared" si="141"/>
        <v>2.2708641912150958E-12</v>
      </c>
      <c r="Q149" s="22">
        <f t="shared" si="108"/>
        <v>4.2330868906469593E-12</v>
      </c>
      <c r="R149" s="62">
        <f t="shared" si="109"/>
        <v>287.70427214595463</v>
      </c>
      <c r="S149" s="62">
        <f ca="1">AVERAGE(OFFSET($R$3,0,0,'Données projet'!$E$9+1,1))-AVERAGE(OFFSET($H$3,0,0,'Données projet'!$E$9+1,1))</f>
        <v>347.22603428907496</v>
      </c>
      <c r="T149" s="62">
        <f t="shared" si="142"/>
        <v>258.98427374339872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2.1413763689829126E-14</v>
      </c>
      <c r="AC149" s="24">
        <f t="shared" si="111"/>
        <v>2.1413763689829126E-14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387.18736830550665</v>
      </c>
      <c r="AO149" s="62">
        <f t="shared" si="144"/>
        <v>312.32487363394125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0.2783707695433057</v>
      </c>
      <c r="AW149" s="23">
        <f>EXP(-LN(2)/2)*AW148+(1-EXP(-LN(2)/2))/(LN(2)/2)*AQ149*AT149*VLOOKUP('Données projet'!$B$10,Paramètres!$A$1:$I$89,3,0)*0.475*44/12</f>
        <v>5.4505886014937839E-17</v>
      </c>
      <c r="AX149" s="23">
        <f t="shared" si="114"/>
        <v>0.27837076954330575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-5.7639226724859328E-14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343.31521637281833</v>
      </c>
      <c r="BJ149" s="62">
        <f t="shared" si="146"/>
        <v>179.67327892360623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68.464801494350112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2.6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9.5333333333333332</v>
      </c>
      <c r="H150" s="70">
        <f t="shared" si="110"/>
        <v>193.74666666666667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1.5961632016114892E-13</v>
      </c>
      <c r="P150" s="14">
        <f t="shared" si="141"/>
        <v>2.2708641912150958E-12</v>
      </c>
      <c r="Q150" s="22">
        <f t="shared" si="108"/>
        <v>4.2330868906469593E-12</v>
      </c>
      <c r="R150" s="62">
        <f t="shared" si="109"/>
        <v>287.80192377286022</v>
      </c>
      <c r="S150" s="62">
        <f ca="1">AVERAGE(OFFSET($R$3,0,0,'Données projet'!$E$9+1,1))-AVERAGE(OFFSET($H$3,0,0,'Données projet'!$E$9+1,1))</f>
        <v>347.22603428907496</v>
      </c>
      <c r="T150" s="62">
        <f t="shared" si="142"/>
        <v>258.98427374339872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1.514181751580444E-14</v>
      </c>
      <c r="AC150" s="24">
        <f t="shared" si="111"/>
        <v>1.514181751580444E-14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387.18736830550665</v>
      </c>
      <c r="AO150" s="62">
        <f t="shared" si="144"/>
        <v>312.32487363394125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0.27075870621126147</v>
      </c>
      <c r="AW150" s="23">
        <f>EXP(-LN(2)/2)*AW149+(1-EXP(-LN(2)/2))/(LN(2)/2)*AQ150*AT150*VLOOKUP('Données projet'!$B$10,Paramètres!$A$1:$I$89,3,0)*0.475*44/12</f>
        <v>3.8541481615743555E-17</v>
      </c>
      <c r="AX150" s="23">
        <f t="shared" si="114"/>
        <v>0.27075870621126152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-5.7639226724859328E-14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343.31521637281833</v>
      </c>
      <c r="BJ150" s="62">
        <f t="shared" si="146"/>
        <v>179.67327892360623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68.491433756233448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2.6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9.5333333333333332</v>
      </c>
      <c r="H151" s="70">
        <f t="shared" si="110"/>
        <v>193.74666666666667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1.5961632016114892E-13</v>
      </c>
      <c r="P151" s="14">
        <f t="shared" si="141"/>
        <v>2.2708641912150958E-12</v>
      </c>
      <c r="Q151" s="22">
        <f t="shared" si="108"/>
        <v>4.2330868906469593E-12</v>
      </c>
      <c r="R151" s="62">
        <f t="shared" si="109"/>
        <v>287.89788136235535</v>
      </c>
      <c r="S151" s="62">
        <f ca="1">AVERAGE(OFFSET($R$3,0,0,'Données projet'!$E$9+1,1))-AVERAGE(OFFSET($H$3,0,0,'Données projet'!$E$9+1,1))</f>
        <v>347.22603428907496</v>
      </c>
      <c r="T151" s="62">
        <f t="shared" si="142"/>
        <v>258.98427374339872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1.0706881844914563E-14</v>
      </c>
      <c r="AC151" s="24">
        <f t="shared" si="111"/>
        <v>1.0706881844914563E-14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387.18736830550665</v>
      </c>
      <c r="AO151" s="62">
        <f t="shared" si="144"/>
        <v>312.32487363394125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0.26335479515133298</v>
      </c>
      <c r="AW151" s="23">
        <f>EXP(-LN(2)/2)*AW150+(1-EXP(-LN(2)/2))/(LN(2)/2)*AQ151*AT151*VLOOKUP('Données projet'!$B$10,Paramètres!$A$1:$I$89,3,0)*0.475*44/12</f>
        <v>2.7252943007468923E-17</v>
      </c>
      <c r="AX151" s="23">
        <f t="shared" si="114"/>
        <v>0.26335479515133298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-5.7639226724859328E-14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343.31521637281833</v>
      </c>
      <c r="BJ151" s="62">
        <f t="shared" si="146"/>
        <v>179.67327892360623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68.517604007913945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2.6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9.5333333333333332</v>
      </c>
      <c r="H152" s="70">
        <f t="shared" si="110"/>
        <v>193.74666666666667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1.5961632016114892E-13</v>
      </c>
      <c r="P152" s="14">
        <f t="shared" si="141"/>
        <v>2.2708641912150958E-12</v>
      </c>
      <c r="Q152" s="22">
        <f t="shared" si="108"/>
        <v>4.2330868906469593E-12</v>
      </c>
      <c r="R152" s="62">
        <f t="shared" si="109"/>
        <v>287.9921743022017</v>
      </c>
      <c r="S152" s="62">
        <f ca="1">AVERAGE(OFFSET($R$3,0,0,'Données projet'!$E$9+1,1))-AVERAGE(OFFSET($H$3,0,0,'Données projet'!$E$9+1,1))</f>
        <v>347.22603428907496</v>
      </c>
      <c r="T152" s="62">
        <f t="shared" si="142"/>
        <v>258.98427374339872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7.5709087579022201E-15</v>
      </c>
      <c r="AC152" s="24">
        <f t="shared" si="111"/>
        <v>7.5709087579022201E-15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387.18736830550665</v>
      </c>
      <c r="AO152" s="62">
        <f t="shared" si="144"/>
        <v>312.32487363394125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0.25615334442869303</v>
      </c>
      <c r="AW152" s="23">
        <f>EXP(-LN(2)/2)*AW151+(1-EXP(-LN(2)/2))/(LN(2)/2)*AQ152*AT152*VLOOKUP('Données projet'!$B$10,Paramètres!$A$1:$I$89,3,0)*0.475*44/12</f>
        <v>1.927074080787178E-17</v>
      </c>
      <c r="AX152" s="23">
        <f t="shared" si="114"/>
        <v>0.25615334442869303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-5.7639226724859328E-14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343.31521637281833</v>
      </c>
      <c r="BJ152" s="62">
        <f t="shared" si="146"/>
        <v>179.67327892360623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68.543320264235689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2.6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9.5333333333333332</v>
      </c>
      <c r="H153" s="70">
        <f t="shared" si="110"/>
        <v>193.74666666666667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1.5961632016114892E-13</v>
      </c>
      <c r="P153" s="14">
        <f t="shared" si="141"/>
        <v>2.2708641912150958E-12</v>
      </c>
      <c r="Q153" s="22">
        <f t="shared" si="108"/>
        <v>4.2330868906469593E-12</v>
      </c>
      <c r="R153" s="62">
        <f t="shared" si="109"/>
        <v>288.08483147034929</v>
      </c>
      <c r="S153" s="62">
        <f ca="1">AVERAGE(OFFSET($R$3,0,0,'Données projet'!$E$9+1,1))-AVERAGE(OFFSET($H$3,0,0,'Données projet'!$E$9+1,1))</f>
        <v>347.22603428907496</v>
      </c>
      <c r="T153" s="62">
        <f t="shared" si="142"/>
        <v>258.98427374339872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5.3534409224572815E-15</v>
      </c>
      <c r="AC153" s="24">
        <f t="shared" si="111"/>
        <v>5.3534409224572815E-15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387.18736830550665</v>
      </c>
      <c r="AO153" s="62">
        <f t="shared" si="144"/>
        <v>312.32487363394125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0.24914881775477149</v>
      </c>
      <c r="AW153" s="23">
        <f>EXP(-LN(2)/2)*AW152+(1-EXP(-LN(2)/2))/(LN(2)/2)*AQ153*AT153*VLOOKUP('Données projet'!$B$10,Paramètres!$A$1:$I$89,3,0)*0.475*44/12</f>
        <v>1.3626471503734464E-17</v>
      </c>
      <c r="AX153" s="23">
        <f t="shared" si="114"/>
        <v>0.24914881775477149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-5.7639226724859328E-14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343.31521637281833</v>
      </c>
      <c r="BJ153" s="62">
        <f t="shared" si="146"/>
        <v>179.67327892360623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68.568590401003206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2.6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9.5333333333333332</v>
      </c>
      <c r="H154" s="70">
        <f t="shared" si="110"/>
        <v>193.74666666666667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1.5961632016114892E-13</v>
      </c>
      <c r="P154" s="14">
        <f t="shared" si="141"/>
        <v>2.2708641912150958E-12</v>
      </c>
      <c r="Q154" s="22">
        <f t="shared" ref="Q154:Q203" si="162">(O154+P154)*0.475*44/12</f>
        <v>4.2330868906469593E-12</v>
      </c>
      <c r="R154" s="62">
        <f t="shared" si="109"/>
        <v>288.17588124377983</v>
      </c>
      <c r="S154" s="62">
        <f ca="1">AVERAGE(OFFSET($R$3,0,0,'Données projet'!$E$9+1,1))-AVERAGE(OFFSET($H$3,0,0,'Données projet'!$E$9+1,1))</f>
        <v>347.22603428907496</v>
      </c>
      <c r="T154" s="62">
        <f t="shared" si="142"/>
        <v>258.98427374339872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3.78545437895111E-15</v>
      </c>
      <c r="AC154" s="24">
        <f t="shared" ref="AC154:AC203" si="163">SUM(Z154:AB154)</f>
        <v>3.78545437895111E-15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387.18736830550665</v>
      </c>
      <c r="AO154" s="62">
        <f t="shared" si="144"/>
        <v>312.32487363394125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0.24233583023110036</v>
      </c>
      <c r="AW154" s="23">
        <f>EXP(-LN(2)/2)*AW153+(1-EXP(-LN(2)/2))/(LN(2)/2)*AQ154*AT154*VLOOKUP('Données projet'!$B$10,Paramètres!$A$1:$I$89,3,0)*0.475*44/12</f>
        <v>9.6353704039358918E-18</v>
      </c>
      <c r="AX154" s="23">
        <f t="shared" ref="AX154:AX203" si="166">SUM(AU154:AW154)</f>
        <v>0.24233583023110036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-5.7639226724859328E-14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343.31521637281833</v>
      </c>
      <c r="BJ154" s="62">
        <f t="shared" si="146"/>
        <v>179.67327892360623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68.593422157393348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2.6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9.5333333333333332</v>
      </c>
      <c r="H155" s="70">
        <f t="shared" si="110"/>
        <v>193.74666666666667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1.5961632016114892E-13</v>
      </c>
      <c r="P155" s="14">
        <f t="shared" si="141"/>
        <v>2.2708641912150958E-12</v>
      </c>
      <c r="Q155" s="22">
        <f t="shared" si="162"/>
        <v>4.2330868906469593E-12</v>
      </c>
      <c r="R155" s="62">
        <f t="shared" si="109"/>
        <v>288.26535150719809</v>
      </c>
      <c r="S155" s="62">
        <f ca="1">AVERAGE(OFFSET($R$3,0,0,'Données projet'!$E$9+1,1))-AVERAGE(OFFSET($H$3,0,0,'Données projet'!$E$9+1,1))</f>
        <v>347.22603428907496</v>
      </c>
      <c r="T155" s="62">
        <f t="shared" si="142"/>
        <v>258.98427374339872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2.6767204612286408E-15</v>
      </c>
      <c r="AC155" s="24">
        <f t="shared" si="163"/>
        <v>2.6767204612286408E-15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387.18736830550665</v>
      </c>
      <c r="AO155" s="62">
        <f t="shared" si="144"/>
        <v>312.32487363394125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0.23570914420954348</v>
      </c>
      <c r="AW155" s="23">
        <f>EXP(-LN(2)/2)*AW154+(1-EXP(-LN(2)/2))/(LN(2)/2)*AQ155*AT155*VLOOKUP('Données projet'!$B$10,Paramètres!$A$1:$I$89,3,0)*0.475*44/12</f>
        <v>6.813235751867233E-18</v>
      </c>
      <c r="AX155" s="23">
        <f t="shared" si="166"/>
        <v>0.23570914420954348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-5.7639226724859328E-14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343.31521637281833</v>
      </c>
      <c r="BJ155" s="62">
        <f t="shared" si="146"/>
        <v>179.67327892360623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68.617823138325605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2.6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9.5333333333333332</v>
      </c>
      <c r="H156" s="70">
        <f t="shared" si="110"/>
        <v>193.74666666666667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1.5961632016114892E-13</v>
      </c>
      <c r="P156" s="14">
        <f t="shared" si="141"/>
        <v>2.2708641912150958E-12</v>
      </c>
      <c r="Q156" s="22">
        <f t="shared" si="162"/>
        <v>4.2330868906469593E-12</v>
      </c>
      <c r="R156" s="62">
        <f t="shared" si="109"/>
        <v>288.35326966157163</v>
      </c>
      <c r="S156" s="62">
        <f ca="1">AVERAGE(OFFSET($R$3,0,0,'Données projet'!$E$9+1,1))-AVERAGE(OFFSET($H$3,0,0,'Données projet'!$E$9+1,1))</f>
        <v>347.22603428907496</v>
      </c>
      <c r="T156" s="62">
        <f t="shared" si="142"/>
        <v>258.98427374339872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1.892727189475555E-15</v>
      </c>
      <c r="AC156" s="24">
        <f t="shared" si="163"/>
        <v>1.892727189475555E-15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387.18736830550665</v>
      </c>
      <c r="AO156" s="62">
        <f t="shared" si="144"/>
        <v>312.32487363394125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0.22926366526572833</v>
      </c>
      <c r="AW156" s="23">
        <f>EXP(-LN(2)/2)*AW155+(1-EXP(-LN(2)/2))/(LN(2)/2)*AQ156*AT156*VLOOKUP('Données projet'!$B$10,Paramètres!$A$1:$I$89,3,0)*0.475*44/12</f>
        <v>4.8176852019679467E-18</v>
      </c>
      <c r="AX156" s="23">
        <f t="shared" si="166"/>
        <v>0.22926366526572833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-5.7639226724859328E-14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343.31521637281833</v>
      </c>
      <c r="BJ156" s="62">
        <f t="shared" si="146"/>
        <v>179.67327892360623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68.641800816791118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2.6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9.5333333333333332</v>
      </c>
      <c r="H157" s="70">
        <f t="shared" si="110"/>
        <v>193.74666666666667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1.5961632016114892E-13</v>
      </c>
      <c r="P157" s="14">
        <f t="shared" si="141"/>
        <v>2.2708641912150958E-12</v>
      </c>
      <c r="Q157" s="22">
        <f t="shared" si="162"/>
        <v>4.2330868906469593E-12</v>
      </c>
      <c r="R157" s="62">
        <f t="shared" si="109"/>
        <v>288.43966263252236</v>
      </c>
      <c r="S157" s="62">
        <f ca="1">AVERAGE(OFFSET($R$3,0,0,'Données projet'!$E$9+1,1))-AVERAGE(OFFSET($H$3,0,0,'Données projet'!$E$9+1,1))</f>
        <v>347.22603428907496</v>
      </c>
      <c r="T157" s="62">
        <f t="shared" si="142"/>
        <v>258.98427374339872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1.3383602306143204E-15</v>
      </c>
      <c r="AC157" s="24">
        <f t="shared" si="163"/>
        <v>1.3383602306143204E-15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387.18736830550665</v>
      </c>
      <c r="AO157" s="62">
        <f t="shared" si="144"/>
        <v>312.32487363394125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0.22299443828258483</v>
      </c>
      <c r="AW157" s="23">
        <f>EXP(-LN(2)/2)*AW156+(1-EXP(-LN(2)/2))/(LN(2)/2)*AQ157*AT157*VLOOKUP('Données projet'!$B$10,Paramètres!$A$1:$I$89,3,0)*0.475*44/12</f>
        <v>3.4066178759336172E-18</v>
      </c>
      <c r="AX157" s="23">
        <f t="shared" si="166"/>
        <v>0.22299443828258483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-5.7639226724859328E-14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343.31521637281833</v>
      </c>
      <c r="BJ157" s="62">
        <f t="shared" si="146"/>
        <v>179.67327892360623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68.665362536141316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2.6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9.5333333333333332</v>
      </c>
      <c r="H158" s="70">
        <f t="shared" si="110"/>
        <v>193.74666666666667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1.5961632016114892E-13</v>
      </c>
      <c r="P158" s="14">
        <f t="shared" si="141"/>
        <v>2.2708641912150958E-12</v>
      </c>
      <c r="Q158" s="22">
        <f t="shared" si="162"/>
        <v>4.2330868906469593E-12</v>
      </c>
      <c r="R158" s="62">
        <f t="shared" si="109"/>
        <v>288.52455687857292</v>
      </c>
      <c r="S158" s="62">
        <f ca="1">AVERAGE(OFFSET($R$3,0,0,'Données projet'!$E$9+1,1))-AVERAGE(OFFSET($H$3,0,0,'Données projet'!$E$9+1,1))</f>
        <v>347.22603428907496</v>
      </c>
      <c r="T158" s="62">
        <f t="shared" si="142"/>
        <v>258.98427374339872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9.4636359473777751E-16</v>
      </c>
      <c r="AC158" s="24">
        <f t="shared" si="163"/>
        <v>9.4636359473777751E-16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387.18736830550665</v>
      </c>
      <c r="AO158" s="62">
        <f t="shared" si="144"/>
        <v>312.32487363394125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0.21689664364097971</v>
      </c>
      <c r="AW158" s="23">
        <f>EXP(-LN(2)/2)*AW157+(1-EXP(-LN(2)/2))/(LN(2)/2)*AQ158*AT158*VLOOKUP('Données projet'!$B$10,Paramètres!$A$1:$I$89,3,0)*0.475*44/12</f>
        <v>2.4088426009839737E-18</v>
      </c>
      <c r="AX158" s="23">
        <f t="shared" si="166"/>
        <v>0.21689664364097971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-5.7639226724859328E-14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343.31521637281833</v>
      </c>
      <c r="BJ158" s="62">
        <f t="shared" si="146"/>
        <v>179.67327892360623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68.68851551233692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2.6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9.5333333333333332</v>
      </c>
      <c r="H159" s="70">
        <f t="shared" si="110"/>
        <v>193.74666666666667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1.5961632016114892E-13</v>
      </c>
      <c r="P159" s="14">
        <f t="shared" si="141"/>
        <v>2.2708641912150958E-12</v>
      </c>
      <c r="Q159" s="22">
        <f t="shared" si="162"/>
        <v>4.2330868906469593E-12</v>
      </c>
      <c r="R159" s="62">
        <f t="shared" si="109"/>
        <v>288.60797839924948</v>
      </c>
      <c r="S159" s="62">
        <f ca="1">AVERAGE(OFFSET($R$3,0,0,'Données projet'!$E$9+1,1))-AVERAGE(OFFSET($H$3,0,0,'Données projet'!$E$9+1,1))</f>
        <v>347.22603428907496</v>
      </c>
      <c r="T159" s="62">
        <f t="shared" si="142"/>
        <v>258.98427374339872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6.6918011530716019E-16</v>
      </c>
      <c r="AC159" s="24">
        <f t="shared" si="163"/>
        <v>6.6918011530716019E-16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387.18736830550665</v>
      </c>
      <c r="AO159" s="62">
        <f t="shared" si="144"/>
        <v>312.32487363394125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0.21096559351451835</v>
      </c>
      <c r="AW159" s="23">
        <f>EXP(-LN(2)/2)*AW158+(1-EXP(-LN(2)/2))/(LN(2)/2)*AQ159*AT159*VLOOKUP('Données projet'!$B$10,Paramètres!$A$1:$I$89,3,0)*0.475*44/12</f>
        <v>1.7033089379668088E-18</v>
      </c>
      <c r="AX159" s="23">
        <f t="shared" si="166"/>
        <v>0.21096559351451835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-5.7639226724859328E-14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343.31521637281833</v>
      </c>
      <c r="BJ159" s="62">
        <f t="shared" si="146"/>
        <v>179.67327892360623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68.711266836157805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2.6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9.5333333333333332</v>
      </c>
      <c r="H160" s="70">
        <f t="shared" si="110"/>
        <v>193.74666666666667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1.5961632016114892E-13</v>
      </c>
      <c r="P160" s="14">
        <f t="shared" si="141"/>
        <v>2.2708641912150958E-12</v>
      </c>
      <c r="Q160" s="22">
        <f t="shared" si="162"/>
        <v>4.2330868906469593E-12</v>
      </c>
      <c r="R160" s="62">
        <f t="shared" si="109"/>
        <v>288.6899527430449</v>
      </c>
      <c r="S160" s="62">
        <f ca="1">AVERAGE(OFFSET($R$3,0,0,'Données projet'!$E$9+1,1))-AVERAGE(OFFSET($H$3,0,0,'Données projet'!$E$9+1,1))</f>
        <v>347.22603428907496</v>
      </c>
      <c r="T160" s="62">
        <f t="shared" si="142"/>
        <v>258.98427374339872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4.7318179736888875E-16</v>
      </c>
      <c r="AC160" s="24">
        <f t="shared" si="163"/>
        <v>4.7318179736888875E-16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387.18736830550665</v>
      </c>
      <c r="AO160" s="62">
        <f t="shared" si="144"/>
        <v>312.32487363394125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0.20519672826566546</v>
      </c>
      <c r="AW160" s="23">
        <f>EXP(-LN(2)/2)*AW159+(1-EXP(-LN(2)/2))/(LN(2)/2)*AQ160*AT160*VLOOKUP('Données projet'!$B$10,Paramètres!$A$1:$I$89,3,0)*0.475*44/12</f>
        <v>1.204421300491987E-18</v>
      </c>
      <c r="AX160" s="23">
        <f t="shared" si="166"/>
        <v>0.20519672826566546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-5.7639226724859328E-14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343.31521637281833</v>
      </c>
      <c r="BJ160" s="62">
        <f t="shared" si="146"/>
        <v>179.67327892360623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68.733623475374742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2.6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9.5333333333333332</v>
      </c>
      <c r="H161" s="70">
        <f t="shared" si="110"/>
        <v>193.74666666666667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1.5961632016114892E-13</v>
      </c>
      <c r="P161" s="14">
        <f t="shared" si="141"/>
        <v>2.2708641912150958E-12</v>
      </c>
      <c r="Q161" s="22">
        <f t="shared" si="162"/>
        <v>4.2330868906469593E-12</v>
      </c>
      <c r="R161" s="62">
        <f t="shared" si="109"/>
        <v>288.77050501524269</v>
      </c>
      <c r="S161" s="62">
        <f ca="1">AVERAGE(OFFSET($R$3,0,0,'Données projet'!$E$9+1,1))-AVERAGE(OFFSET($H$3,0,0,'Données projet'!$E$9+1,1))</f>
        <v>347.22603428907496</v>
      </c>
      <c r="T161" s="62">
        <f t="shared" si="142"/>
        <v>258.98427374339872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3.3459005765358009E-16</v>
      </c>
      <c r="AC161" s="24">
        <f t="shared" si="163"/>
        <v>3.3459005765358009E-16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387.18736830550665</v>
      </c>
      <c r="AO161" s="62">
        <f t="shared" si="144"/>
        <v>312.32487363394125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0.19958561294041388</v>
      </c>
      <c r="AW161" s="23">
        <f>EXP(-LN(2)/2)*AW160+(1-EXP(-LN(2)/2))/(LN(2)/2)*AQ161*AT161*VLOOKUP('Données projet'!$B$10,Paramètres!$A$1:$I$89,3,0)*0.475*44/12</f>
        <v>8.516544689834045E-19</v>
      </c>
      <c r="AX161" s="23">
        <f t="shared" si="166"/>
        <v>0.19958561294041388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-5.7639226724859328E-14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343.31521637281833</v>
      </c>
      <c r="BJ161" s="62">
        <f t="shared" si="146"/>
        <v>179.67327892360623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68.75559227688322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2.6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9.5333333333333332</v>
      </c>
      <c r="H162" s="70">
        <f t="shared" si="110"/>
        <v>193.74666666666667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1.5961632016114892E-13</v>
      </c>
      <c r="P162" s="14">
        <f t="shared" si="141"/>
        <v>2.2708641912150958E-12</v>
      </c>
      <c r="Q162" s="22">
        <f t="shared" si="162"/>
        <v>4.2330868906469593E-12</v>
      </c>
      <c r="R162" s="62">
        <f t="shared" si="109"/>
        <v>288.84965988560577</v>
      </c>
      <c r="S162" s="62">
        <f ca="1">AVERAGE(OFFSET($R$3,0,0,'Données projet'!$E$9+1,1))-AVERAGE(OFFSET($H$3,0,0,'Données projet'!$E$9+1,1))</f>
        <v>347.22603428907496</v>
      </c>
      <c r="T162" s="62">
        <f t="shared" si="142"/>
        <v>258.98427374339872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2.3659089868444438E-16</v>
      </c>
      <c r="AC162" s="24">
        <f t="shared" si="163"/>
        <v>2.3659089868444438E-16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387.18736830550665</v>
      </c>
      <c r="AO162" s="62">
        <f t="shared" si="144"/>
        <v>312.32487363394125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0.19412793385880703</v>
      </c>
      <c r="AW162" s="23">
        <f>EXP(-LN(2)/2)*AW161+(1-EXP(-LN(2)/2))/(LN(2)/2)*AQ162*AT162*VLOOKUP('Données projet'!$B$10,Paramètres!$A$1:$I$89,3,0)*0.475*44/12</f>
        <v>6.0221065024599362E-19</v>
      </c>
      <c r="AX162" s="23">
        <f t="shared" si="166"/>
        <v>0.19412793385880703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-5.7639226724859328E-14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343.31521637281833</v>
      </c>
      <c r="BJ162" s="62">
        <f t="shared" si="146"/>
        <v>179.67327892360623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68.777179968800425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2.6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9.5333333333333332</v>
      </c>
      <c r="H163" s="70">
        <f t="shared" si="110"/>
        <v>193.74666666666667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1.5961632016114892E-13</v>
      </c>
      <c r="P163" s="14">
        <f t="shared" si="141"/>
        <v>2.2708641912150958E-12</v>
      </c>
      <c r="Q163" s="22">
        <f t="shared" si="162"/>
        <v>4.2330868906469593E-12</v>
      </c>
      <c r="R163" s="62">
        <f t="shared" si="109"/>
        <v>288.92744159593178</v>
      </c>
      <c r="S163" s="62">
        <f ca="1">AVERAGE(OFFSET($R$3,0,0,'Données projet'!$E$9+1,1))-AVERAGE(OFFSET($H$3,0,0,'Données projet'!$E$9+1,1))</f>
        <v>347.22603428907496</v>
      </c>
      <c r="T163" s="62">
        <f t="shared" si="142"/>
        <v>258.98427374339872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1.6729502882679005E-16</v>
      </c>
      <c r="AC163" s="24">
        <f t="shared" si="163"/>
        <v>1.6729502882679005E-16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387.18736830550665</v>
      </c>
      <c r="AO163" s="62">
        <f t="shared" si="144"/>
        <v>312.32487363394125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0.1888194952986936</v>
      </c>
      <c r="AW163" s="23">
        <f>EXP(-LN(2)/2)*AW162+(1-EXP(-LN(2)/2))/(LN(2)/2)*AQ163*AT163*VLOOKUP('Données projet'!$B$10,Paramètres!$A$1:$I$89,3,0)*0.475*44/12</f>
        <v>4.2582723449170235E-19</v>
      </c>
      <c r="AX163" s="23">
        <f t="shared" si="166"/>
        <v>0.1888194952986936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-5.7639226724859328E-14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343.31521637281833</v>
      </c>
      <c r="BJ163" s="62">
        <f t="shared" si="146"/>
        <v>179.67327892360623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68.798393162525699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2.6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9.5333333333333332</v>
      </c>
      <c r="H164" s="70">
        <f t="shared" si="110"/>
        <v>193.74666666666667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1.5961632016114892E-13</v>
      </c>
      <c r="P164" s="14">
        <f t="shared" si="141"/>
        <v>2.2708641912150958E-12</v>
      </c>
      <c r="Q164" s="22">
        <f t="shared" si="162"/>
        <v>4.2330868906469593E-12</v>
      </c>
      <c r="R164" s="62">
        <f t="shared" si="109"/>
        <v>289.00387396747743</v>
      </c>
      <c r="S164" s="62">
        <f ca="1">AVERAGE(OFFSET($R$3,0,0,'Données projet'!$E$9+1,1))-AVERAGE(OFFSET($H$3,0,0,'Données projet'!$E$9+1,1))</f>
        <v>347.22603428907496</v>
      </c>
      <c r="T164" s="62">
        <f t="shared" si="142"/>
        <v>258.98427374339872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1.1829544934222219E-16</v>
      </c>
      <c r="AC164" s="24">
        <f t="shared" si="163"/>
        <v>1.1829544934222219E-16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387.18736830550665</v>
      </c>
      <c r="AO164" s="62">
        <f t="shared" si="144"/>
        <v>312.32487363394125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0.18365621627016512</v>
      </c>
      <c r="AW164" s="23">
        <f>EXP(-LN(2)/2)*AW163+(1-EXP(-LN(2)/2))/(LN(2)/2)*AQ164*AT164*VLOOKUP('Données projet'!$B$10,Paramètres!$A$1:$I$89,3,0)*0.475*44/12</f>
        <v>3.0110532512299686E-19</v>
      </c>
      <c r="AX164" s="23">
        <f t="shared" si="166"/>
        <v>0.18365621627016512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-5.7639226724859328E-14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343.31521637281833</v>
      </c>
      <c r="BJ164" s="62">
        <f t="shared" si="146"/>
        <v>179.67327892360623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68.819238354765432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2.6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9.5333333333333332</v>
      </c>
      <c r="H165" s="70">
        <f t="shared" si="110"/>
        <v>193.74666666666667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1.5961632016114892E-13</v>
      </c>
      <c r="P165" s="14">
        <f t="shared" si="141"/>
        <v>2.2708641912150958E-12</v>
      </c>
      <c r="Q165" s="22">
        <f t="shared" si="162"/>
        <v>4.2330868906469593E-12</v>
      </c>
      <c r="R165" s="62">
        <f t="shared" si="109"/>
        <v>289.07898040825404</v>
      </c>
      <c r="S165" s="62">
        <f ca="1">AVERAGE(OFFSET($R$3,0,0,'Données projet'!$E$9+1,1))-AVERAGE(OFFSET($H$3,0,0,'Données projet'!$E$9+1,1))</f>
        <v>347.22603428907496</v>
      </c>
      <c r="T165" s="62">
        <f t="shared" si="142"/>
        <v>258.98427374339872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8.3647514413395024E-17</v>
      </c>
      <c r="AC165" s="24">
        <f t="shared" si="163"/>
        <v>8.3647514413395024E-17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387.18736830550665</v>
      </c>
      <c r="AO165" s="62">
        <f t="shared" si="144"/>
        <v>312.32487363394125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0.17863412737819678</v>
      </c>
      <c r="AW165" s="23">
        <f>EXP(-LN(2)/2)*AW164+(1-EXP(-LN(2)/2))/(LN(2)/2)*AQ165*AT165*VLOOKUP('Données projet'!$B$10,Paramètres!$A$1:$I$89,3,0)*0.475*44/12</f>
        <v>2.129136172458512E-19</v>
      </c>
      <c r="AX165" s="23">
        <f t="shared" si="166"/>
        <v>0.17863412737819678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-5.7639226724859328E-14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343.31521637281833</v>
      </c>
      <c r="BJ165" s="62">
        <f t="shared" si="146"/>
        <v>179.67327892360623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68.839721929522682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2.6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9.5333333333333332</v>
      </c>
      <c r="H166" s="70">
        <f t="shared" si="110"/>
        <v>193.74666666666667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1.5961632016114892E-13</v>
      </c>
      <c r="P166" s="14">
        <f t="shared" si="141"/>
        <v>2.2708641912150958E-12</v>
      </c>
      <c r="Q166" s="22">
        <f t="shared" si="162"/>
        <v>4.2330868906469593E-12</v>
      </c>
      <c r="R166" s="62">
        <f t="shared" si="109"/>
        <v>289.15278392019599</v>
      </c>
      <c r="S166" s="62">
        <f ca="1">AVERAGE(OFFSET($R$3,0,0,'Données projet'!$E$9+1,1))-AVERAGE(OFFSET($H$3,0,0,'Données projet'!$E$9+1,1))</f>
        <v>347.22603428907496</v>
      </c>
      <c r="T166" s="62">
        <f t="shared" si="142"/>
        <v>258.98427374339872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5.9147724671111094E-17</v>
      </c>
      <c r="AC166" s="24">
        <f t="shared" si="163"/>
        <v>5.9147724671111094E-17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387.18736830550665</v>
      </c>
      <c r="AO166" s="62">
        <f t="shared" si="144"/>
        <v>312.32487363394125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0.17374936777107949</v>
      </c>
      <c r="AW166" s="23">
        <f>EXP(-LN(2)/2)*AW165+(1-EXP(-LN(2)/2))/(LN(2)/2)*AQ166*AT166*VLOOKUP('Données projet'!$B$10,Paramètres!$A$1:$I$89,3,0)*0.475*44/12</f>
        <v>1.5055266256149845E-19</v>
      </c>
      <c r="AX166" s="23">
        <f t="shared" si="166"/>
        <v>0.17374936777107949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-5.7639226724859328E-14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343.31521637281833</v>
      </c>
      <c r="BJ166" s="62">
        <f t="shared" si="146"/>
        <v>179.67327892360623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68.859850160052304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2.6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9.5333333333333332</v>
      </c>
      <c r="H167" s="70">
        <f t="shared" si="110"/>
        <v>193.74666666666667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1.5961632016114892E-13</v>
      </c>
      <c r="P167" s="14">
        <f t="shared" si="141"/>
        <v>2.2708641912150958E-12</v>
      </c>
      <c r="Q167" s="22">
        <f t="shared" si="162"/>
        <v>4.2330868906469593E-12</v>
      </c>
      <c r="R167" s="62">
        <f t="shared" si="109"/>
        <v>289.22530710620572</v>
      </c>
      <c r="S167" s="62">
        <f ca="1">AVERAGE(OFFSET($R$3,0,0,'Données projet'!$E$9+1,1))-AVERAGE(OFFSET($H$3,0,0,'Données projet'!$E$9+1,1))</f>
        <v>347.22603428907496</v>
      </c>
      <c r="T167" s="62">
        <f t="shared" si="142"/>
        <v>258.98427374339872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4.1823757206697512E-17</v>
      </c>
      <c r="AC167" s="24">
        <f t="shared" si="163"/>
        <v>4.1823757206697512E-17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387.18736830550665</v>
      </c>
      <c r="AO167" s="62">
        <f t="shared" si="144"/>
        <v>312.32487363394125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0.16899818217229717</v>
      </c>
      <c r="AW167" s="23">
        <f>EXP(-LN(2)/2)*AW166+(1-EXP(-LN(2)/2))/(LN(2)/2)*AQ167*AT167*VLOOKUP('Données projet'!$B$10,Paramètres!$A$1:$I$89,3,0)*0.475*44/12</f>
        <v>1.0645680862292562E-19</v>
      </c>
      <c r="AX167" s="23">
        <f t="shared" si="166"/>
        <v>0.16899818217229717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-5.7639226724859328E-14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343.31521637281833</v>
      </c>
      <c r="BJ167" s="62">
        <f t="shared" si="146"/>
        <v>179.67327892360623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68.879629210782227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2.6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9.5333333333333332</v>
      </c>
      <c r="H168" s="70">
        <f t="shared" si="110"/>
        <v>193.74666666666667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1.5961632016114892E-13</v>
      </c>
      <c r="P168" s="14">
        <f t="shared" si="141"/>
        <v>2.2708641912150958E-12</v>
      </c>
      <c r="Q168" s="22">
        <f t="shared" si="162"/>
        <v>4.2330868906469593E-12</v>
      </c>
      <c r="R168" s="62">
        <f t="shared" si="109"/>
        <v>289.29657217707569</v>
      </c>
      <c r="S168" s="62">
        <f ca="1">AVERAGE(OFFSET($R$3,0,0,'Données projet'!$E$9+1,1))-AVERAGE(OFFSET($H$3,0,0,'Données projet'!$E$9+1,1))</f>
        <v>347.22603428907496</v>
      </c>
      <c r="T168" s="62">
        <f t="shared" si="142"/>
        <v>258.98427374339872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2.9573862335555547E-17</v>
      </c>
      <c r="AC168" s="24">
        <f t="shared" si="163"/>
        <v>2.9573862335555547E-17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387.18736830550665</v>
      </c>
      <c r="AO168" s="62">
        <f t="shared" si="144"/>
        <v>312.32487363394125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0.16437691799356755</v>
      </c>
      <c r="AW168" s="23">
        <f>EXP(-LN(2)/2)*AW167+(1-EXP(-LN(2)/2))/(LN(2)/2)*AQ168*AT168*VLOOKUP('Données projet'!$B$10,Paramètres!$A$1:$I$89,3,0)*0.475*44/12</f>
        <v>7.5276331280749239E-20</v>
      </c>
      <c r="AX168" s="23">
        <f t="shared" si="166"/>
        <v>0.16437691799356755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-5.7639226724859328E-14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343.31521637281833</v>
      </c>
      <c r="BJ168" s="62">
        <f t="shared" si="146"/>
        <v>179.67327892360623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68.899065139201312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2.6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9.5333333333333332</v>
      </c>
      <c r="H169" s="70">
        <f t="shared" si="110"/>
        <v>193.74666666666667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1.5961632016114892E-13</v>
      </c>
      <c r="P169" s="14">
        <f t="shared" si="141"/>
        <v>2.2708641912150958E-12</v>
      </c>
      <c r="Q169" s="22">
        <f t="shared" si="162"/>
        <v>4.2330868906469593E-12</v>
      </c>
      <c r="R169" s="62">
        <f t="shared" si="109"/>
        <v>289.36660095829092</v>
      </c>
      <c r="S169" s="62">
        <f ca="1">AVERAGE(OFFSET($R$3,0,0,'Données projet'!$E$9+1,1))-AVERAGE(OFFSET($H$3,0,0,'Données projet'!$E$9+1,1))</f>
        <v>347.22603428907496</v>
      </c>
      <c r="T169" s="62">
        <f t="shared" si="142"/>
        <v>258.98427374339872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2.0911878603348756E-17</v>
      </c>
      <c r="AC169" s="24">
        <f t="shared" si="163"/>
        <v>2.0911878603348756E-17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387.18736830550665</v>
      </c>
      <c r="AO169" s="62">
        <f t="shared" si="144"/>
        <v>312.32487363394125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0.15988202252682701</v>
      </c>
      <c r="AW169" s="23">
        <f>EXP(-LN(2)/2)*AW168+(1-EXP(-LN(2)/2))/(LN(2)/2)*AQ169*AT169*VLOOKUP('Données projet'!$B$10,Paramètres!$A$1:$I$89,3,0)*0.475*44/12</f>
        <v>5.3228404311462818E-20</v>
      </c>
      <c r="AX169" s="23">
        <f t="shared" si="166"/>
        <v>0.15988202252682701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-5.7639226724859328E-14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343.31521637281833</v>
      </c>
      <c r="BJ169" s="62">
        <f t="shared" si="146"/>
        <v>179.67327892360623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68.91816389771455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2.6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9.5333333333333332</v>
      </c>
      <c r="H170" s="70">
        <f t="shared" si="110"/>
        <v>193.74666666666667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1.5961632016114892E-13</v>
      </c>
      <c r="P170" s="14">
        <f t="shared" si="141"/>
        <v>2.2708641912150958E-12</v>
      </c>
      <c r="Q170" s="22">
        <f t="shared" si="162"/>
        <v>4.2330868906469593E-12</v>
      </c>
      <c r="R170" s="62">
        <f t="shared" si="109"/>
        <v>289.43541489671298</v>
      </c>
      <c r="S170" s="62">
        <f ca="1">AVERAGE(OFFSET($R$3,0,0,'Données projet'!$E$9+1,1))-AVERAGE(OFFSET($H$3,0,0,'Données projet'!$E$9+1,1))</f>
        <v>347.22603428907496</v>
      </c>
      <c r="T170" s="62">
        <f t="shared" si="142"/>
        <v>258.98427374339872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1.4786931167777774E-17</v>
      </c>
      <c r="AC170" s="24">
        <f t="shared" si="163"/>
        <v>1.4786931167777774E-17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387.18736830550665</v>
      </c>
      <c r="AO170" s="62">
        <f t="shared" si="144"/>
        <v>312.32487363394125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0.15551004021300077</v>
      </c>
      <c r="AW170" s="23">
        <f>EXP(-LN(2)/2)*AW169+(1-EXP(-LN(2)/2))/(LN(2)/2)*AQ170*AT170*VLOOKUP('Données projet'!$B$10,Paramètres!$A$1:$I$89,3,0)*0.475*44/12</f>
        <v>3.7638165640374625E-20</v>
      </c>
      <c r="AX170" s="23">
        <f t="shared" si="166"/>
        <v>0.15551004021300077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-5.7639226724859328E-14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343.31521637281833</v>
      </c>
      <c r="BJ170" s="62">
        <f t="shared" si="146"/>
        <v>179.67327892360623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68.936931335466028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2.6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9.5333333333333332</v>
      </c>
      <c r="H171" s="70">
        <f t="shared" si="110"/>
        <v>193.74666666666667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1.5961632016114892E-13</v>
      </c>
      <c r="P171" s="14">
        <f t="shared" si="141"/>
        <v>2.2708641912150958E-12</v>
      </c>
      <c r="Q171" s="22">
        <f t="shared" si="162"/>
        <v>4.2330868906469593E-12</v>
      </c>
      <c r="R171" s="62">
        <f t="shared" si="109"/>
        <v>289.50303506714823</v>
      </c>
      <c r="S171" s="62">
        <f ca="1">AVERAGE(OFFSET($R$3,0,0,'Données projet'!$E$9+1,1))-AVERAGE(OFFSET($H$3,0,0,'Données projet'!$E$9+1,1))</f>
        <v>347.22603428907496</v>
      </c>
      <c r="T171" s="62">
        <f t="shared" si="142"/>
        <v>258.98427374339872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1.0455939301674378E-17</v>
      </c>
      <c r="AC171" s="24">
        <f t="shared" si="163"/>
        <v>1.0455939301674378E-17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387.18736830550665</v>
      </c>
      <c r="AO171" s="62">
        <f t="shared" si="144"/>
        <v>312.32487363394125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0.15125760998545867</v>
      </c>
      <c r="AW171" s="23">
        <f>EXP(-LN(2)/2)*AW170+(1-EXP(-LN(2)/2))/(LN(2)/2)*AQ171*AT171*VLOOKUP('Données projet'!$B$10,Paramètres!$A$1:$I$89,3,0)*0.475*44/12</f>
        <v>2.6614202155731415E-20</v>
      </c>
      <c r="AX171" s="23">
        <f t="shared" si="166"/>
        <v>0.15125760998545867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-5.7639226724859328E-14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343.31521637281833</v>
      </c>
      <c r="BJ171" s="62">
        <f t="shared" si="146"/>
        <v>179.67327892360623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68.955373200130197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2.6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9.5333333333333332</v>
      </c>
      <c r="H172" s="70">
        <f t="shared" si="110"/>
        <v>193.74666666666667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1.5961632016114892E-13</v>
      </c>
      <c r="P172" s="14">
        <f t="shared" si="141"/>
        <v>2.2708641912150958E-12</v>
      </c>
      <c r="Q172" s="22">
        <f t="shared" si="162"/>
        <v>4.2330868906469593E-12</v>
      </c>
      <c r="R172" s="62">
        <f t="shared" si="109"/>
        <v>289.56948217880256</v>
      </c>
      <c r="S172" s="62">
        <f ca="1">AVERAGE(OFFSET($R$3,0,0,'Données projet'!$E$9+1,1))-AVERAGE(OFFSET($H$3,0,0,'Données projet'!$E$9+1,1))</f>
        <v>347.22603428907496</v>
      </c>
      <c r="T172" s="62">
        <f t="shared" si="142"/>
        <v>258.98427374339872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7.3934655838888868E-18</v>
      </c>
      <c r="AC172" s="24">
        <f t="shared" si="163"/>
        <v>7.3934655838888868E-18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387.18736830550665</v>
      </c>
      <c r="AO172" s="62">
        <f t="shared" si="144"/>
        <v>312.32487363394125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0.14712146268611431</v>
      </c>
      <c r="AW172" s="23">
        <f>EXP(-LN(2)/2)*AW171+(1-EXP(-LN(2)/2))/(LN(2)/2)*AQ172*AT172*VLOOKUP('Données projet'!$B$10,Paramètres!$A$1:$I$89,3,0)*0.475*44/12</f>
        <v>1.8819082820187316E-20</v>
      </c>
      <c r="AX172" s="23">
        <f t="shared" si="166"/>
        <v>0.14712146268611431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-5.7639226724859328E-14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343.31521637281833</v>
      </c>
      <c r="BJ172" s="62">
        <f t="shared" si="146"/>
        <v>179.67327892360623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68.973495139672281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2.6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9.5333333333333332</v>
      </c>
      <c r="H173" s="70">
        <f t="shared" si="110"/>
        <v>193.74666666666667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1.5961632016114892E-13</v>
      </c>
      <c r="P173" s="14">
        <f t="shared" si="141"/>
        <v>2.2708641912150958E-12</v>
      </c>
      <c r="Q173" s="22">
        <f t="shared" si="162"/>
        <v>4.2330868906469593E-12</v>
      </c>
      <c r="R173" s="62">
        <f t="shared" si="109"/>
        <v>289.63477658162321</v>
      </c>
      <c r="S173" s="62">
        <f ca="1">AVERAGE(OFFSET($R$3,0,0,'Données projet'!$E$9+1,1))-AVERAGE(OFFSET($H$3,0,0,'Données projet'!$E$9+1,1))</f>
        <v>347.22603428907496</v>
      </c>
      <c r="T173" s="62">
        <f t="shared" si="142"/>
        <v>258.98427374339872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5.227969650837189E-18</v>
      </c>
      <c r="AC173" s="24">
        <f t="shared" si="163"/>
        <v>5.227969650837189E-18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387.18736830550665</v>
      </c>
      <c r="AO173" s="62">
        <f t="shared" si="144"/>
        <v>312.32487363394125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0.14309841855218106</v>
      </c>
      <c r="AW173" s="23">
        <f>EXP(-LN(2)/2)*AW172+(1-EXP(-LN(2)/2))/(LN(2)/2)*AQ173*AT173*VLOOKUP('Données projet'!$B$10,Paramètres!$A$1:$I$89,3,0)*0.475*44/12</f>
        <v>1.3307101077865709E-20</v>
      </c>
      <c r="AX173" s="23">
        <f t="shared" si="166"/>
        <v>0.14309841855218106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-5.7639226724859328E-14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343.31521637281833</v>
      </c>
      <c r="BJ173" s="62">
        <f t="shared" si="146"/>
        <v>179.67327892360623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68.99130270407791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2.6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9.5333333333333332</v>
      </c>
      <c r="H174" s="70">
        <f t="shared" si="110"/>
        <v>193.74666666666667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1.5961632016114892E-13</v>
      </c>
      <c r="P174" s="14">
        <f t="shared" si="141"/>
        <v>2.2708641912150958E-12</v>
      </c>
      <c r="Q174" s="22">
        <f t="shared" si="162"/>
        <v>4.2330868906469593E-12</v>
      </c>
      <c r="R174" s="62">
        <f t="shared" si="109"/>
        <v>289.69893827253128</v>
      </c>
      <c r="S174" s="62">
        <f ca="1">AVERAGE(OFFSET($R$3,0,0,'Données projet'!$E$9+1,1))-AVERAGE(OFFSET($H$3,0,0,'Données projet'!$E$9+1,1))</f>
        <v>347.22603428907496</v>
      </c>
      <c r="T174" s="62">
        <f t="shared" si="142"/>
        <v>258.98427374339872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3.6967327919444434E-18</v>
      </c>
      <c r="AC174" s="24">
        <f t="shared" si="163"/>
        <v>3.6967327919444434E-18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387.18736830550665</v>
      </c>
      <c r="AO174" s="62">
        <f t="shared" si="144"/>
        <v>312.32487363394125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0.13918538477165288</v>
      </c>
      <c r="AW174" s="23">
        <f>EXP(-LN(2)/2)*AW173+(1-EXP(-LN(2)/2))/(LN(2)/2)*AQ174*AT174*VLOOKUP('Données projet'!$B$10,Paramètres!$A$1:$I$89,3,0)*0.475*44/12</f>
        <v>9.4095414100936594E-21</v>
      </c>
      <c r="AX174" s="23">
        <f t="shared" si="166"/>
        <v>0.13918538477165288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-5.7639226724859328E-14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343.31521637281833</v>
      </c>
      <c r="BJ174" s="62">
        <f t="shared" si="146"/>
        <v>179.67327892360623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69.008801347052838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2.6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9.5333333333333332</v>
      </c>
      <c r="H175" s="70">
        <f t="shared" si="110"/>
        <v>193.74666666666667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1.5961632016114892E-13</v>
      </c>
      <c r="P175" s="14">
        <f t="shared" si="141"/>
        <v>2.2708641912150958E-12</v>
      </c>
      <c r="Q175" s="22">
        <f t="shared" si="162"/>
        <v>4.2330868906469593E-12</v>
      </c>
      <c r="R175" s="62">
        <f t="shared" si="109"/>
        <v>289.76198690154621</v>
      </c>
      <c r="S175" s="62">
        <f ca="1">AVERAGE(OFFSET($R$3,0,0,'Données projet'!$E$9+1,1))-AVERAGE(OFFSET($H$3,0,0,'Données projet'!$E$9+1,1))</f>
        <v>347.22603428907496</v>
      </c>
      <c r="T175" s="62">
        <f t="shared" si="142"/>
        <v>258.98427374339872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2.6139848254185945E-18</v>
      </c>
      <c r="AC175" s="24">
        <f t="shared" si="163"/>
        <v>2.6139848254185945E-18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387.18736830550665</v>
      </c>
      <c r="AO175" s="62">
        <f t="shared" si="144"/>
        <v>312.32487363394125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0.13537935310563076</v>
      </c>
      <c r="AW175" s="23">
        <f>EXP(-LN(2)/2)*AW174+(1-EXP(-LN(2)/2))/(LN(2)/2)*AQ175*AT175*VLOOKUP('Données projet'!$B$10,Paramètres!$A$1:$I$89,3,0)*0.475*44/12</f>
        <v>6.6535505389328552E-21</v>
      </c>
      <c r="AX175" s="23">
        <f t="shared" si="166"/>
        <v>0.13537935310563076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-5.7639226724859328E-14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343.31521637281833</v>
      </c>
      <c r="BJ175" s="62">
        <f t="shared" si="146"/>
        <v>179.67327892360623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69.025996427693272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2.6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9.5333333333333332</v>
      </c>
      <c r="H176" s="70">
        <f t="shared" si="110"/>
        <v>193.74666666666667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1.5961632016114892E-13</v>
      </c>
      <c r="P176" s="14">
        <f t="shared" si="141"/>
        <v>2.2708641912150958E-12</v>
      </c>
      <c r="Q176" s="22">
        <f t="shared" si="162"/>
        <v>4.2330868906469593E-12</v>
      </c>
      <c r="R176" s="62">
        <f t="shared" si="109"/>
        <v>289.82394177780327</v>
      </c>
      <c r="S176" s="62">
        <f ca="1">AVERAGE(OFFSET($R$3,0,0,'Données projet'!$E$9+1,1))-AVERAGE(OFFSET($H$3,0,0,'Données projet'!$E$9+1,1))</f>
        <v>347.22603428907496</v>
      </c>
      <c r="T176" s="62">
        <f t="shared" si="142"/>
        <v>258.98427374339872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1.8483663959722217E-18</v>
      </c>
      <c r="AC176" s="24">
        <f t="shared" si="163"/>
        <v>1.8483663959722217E-18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387.18736830550665</v>
      </c>
      <c r="AO176" s="62">
        <f t="shared" si="144"/>
        <v>312.32487363394125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0.13167739757566652</v>
      </c>
      <c r="AW176" s="23">
        <f>EXP(-LN(2)/2)*AW175+(1-EXP(-LN(2)/2))/(LN(2)/2)*AQ176*AT176*VLOOKUP('Données projet'!$B$10,Paramètres!$A$1:$I$89,3,0)*0.475*44/12</f>
        <v>4.7047707050468304E-21</v>
      </c>
      <c r="AX176" s="23">
        <f t="shared" si="166"/>
        <v>0.13167739757566652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-5.7639226724859328E-14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343.31521637281833</v>
      </c>
      <c r="BJ176" s="62">
        <f t="shared" si="146"/>
        <v>179.67327892360623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69.042893212127012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2.6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9.5333333333333332</v>
      </c>
      <c r="H177" s="70">
        <f t="shared" si="110"/>
        <v>193.74666666666667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1.5961632016114892E-13</v>
      </c>
      <c r="P177" s="14">
        <f t="shared" si="141"/>
        <v>2.2708641912150958E-12</v>
      </c>
      <c r="Q177" s="22">
        <f t="shared" si="162"/>
        <v>4.2330868906469593E-12</v>
      </c>
      <c r="R177" s="62">
        <f t="shared" si="109"/>
        <v>289.88482187546771</v>
      </c>
      <c r="S177" s="62">
        <f ca="1">AVERAGE(OFFSET($R$3,0,0,'Données projet'!$E$9+1,1))-AVERAGE(OFFSET($H$3,0,0,'Données projet'!$E$9+1,1))</f>
        <v>347.22603428907496</v>
      </c>
      <c r="T177" s="62">
        <f t="shared" si="142"/>
        <v>258.98427374339872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1.3069924127092972E-18</v>
      </c>
      <c r="AC177" s="24">
        <f t="shared" si="163"/>
        <v>1.3069924127092972E-18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387.18736830550665</v>
      </c>
      <c r="AO177" s="62">
        <f t="shared" si="144"/>
        <v>312.32487363394125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0.12807667221434654</v>
      </c>
      <c r="AW177" s="23">
        <f>EXP(-LN(2)/2)*AW176+(1-EXP(-LN(2)/2))/(LN(2)/2)*AQ177*AT177*VLOOKUP('Données projet'!$B$10,Paramètres!$A$1:$I$89,3,0)*0.475*44/12</f>
        <v>3.3267752694664284E-21</v>
      </c>
      <c r="AX177" s="23">
        <f t="shared" si="166"/>
        <v>0.12807667221434654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-5.7639226724859328E-14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343.31521637281833</v>
      </c>
      <c r="BJ177" s="62">
        <f t="shared" si="146"/>
        <v>179.67327892360623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69.059496875126399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2.6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9.5333333333333332</v>
      </c>
      <c r="H178" s="70">
        <f t="shared" si="110"/>
        <v>193.74666666666667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1.5961632016114892E-13</v>
      </c>
      <c r="P178" s="14">
        <f t="shared" si="141"/>
        <v>2.2708641912150958E-12</v>
      </c>
      <c r="Q178" s="22">
        <f t="shared" si="162"/>
        <v>4.2330868906469593E-12</v>
      </c>
      <c r="R178" s="62">
        <f t="shared" si="109"/>
        <v>289.9446458395451</v>
      </c>
      <c r="S178" s="62">
        <f ca="1">AVERAGE(OFFSET($R$3,0,0,'Données projet'!$E$9+1,1))-AVERAGE(OFFSET($H$3,0,0,'Données projet'!$E$9+1,1))</f>
        <v>347.22603428907496</v>
      </c>
      <c r="T178" s="62">
        <f t="shared" si="142"/>
        <v>258.98427374339872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9.2418319798611085E-19</v>
      </c>
      <c r="AC178" s="24">
        <f t="shared" si="163"/>
        <v>9.2418319798611085E-19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387.18736830550665</v>
      </c>
      <c r="AO178" s="62">
        <f t="shared" si="144"/>
        <v>312.32487363394125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0.12457440887738577</v>
      </c>
      <c r="AW178" s="23">
        <f>EXP(-LN(2)/2)*AW177+(1-EXP(-LN(2)/2))/(LN(2)/2)*AQ178*AT178*VLOOKUP('Données projet'!$B$10,Paramètres!$A$1:$I$89,3,0)*0.475*44/12</f>
        <v>2.3523853525234156E-21</v>
      </c>
      <c r="AX178" s="23">
        <f t="shared" si="166"/>
        <v>0.12457440887738577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-5.7639226724859328E-14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343.31521637281833</v>
      </c>
      <c r="BJ178" s="62">
        <f t="shared" si="146"/>
        <v>179.67327892360623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69.07581250169298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2.6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9.5333333333333332</v>
      </c>
      <c r="H179" s="70">
        <f t="shared" si="110"/>
        <v>193.74666666666667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1.5961632016114892E-13</v>
      </c>
      <c r="P179" s="14">
        <f t="shared" si="141"/>
        <v>2.2708641912150958E-12</v>
      </c>
      <c r="Q179" s="22">
        <f t="shared" si="162"/>
        <v>4.2330868906469593E-12</v>
      </c>
      <c r="R179" s="62">
        <f t="shared" si="109"/>
        <v>290.00343199159209</v>
      </c>
      <c r="S179" s="62">
        <f ca="1">AVERAGE(OFFSET($R$3,0,0,'Données projet'!$E$9+1,1))-AVERAGE(OFFSET($H$3,0,0,'Données projet'!$E$9+1,1))</f>
        <v>347.22603428907496</v>
      </c>
      <c r="T179" s="62">
        <f t="shared" si="142"/>
        <v>258.98427374339872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6.5349620635464862E-19</v>
      </c>
      <c r="AC179" s="24">
        <f t="shared" si="163"/>
        <v>6.5349620635464862E-19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387.18736830550665</v>
      </c>
      <c r="AO179" s="62">
        <f t="shared" si="144"/>
        <v>312.32487363394125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0.12116791511555021</v>
      </c>
      <c r="AW179" s="23">
        <f>EXP(-LN(2)/2)*AW178+(1-EXP(-LN(2)/2))/(LN(2)/2)*AQ179*AT179*VLOOKUP('Données projet'!$B$10,Paramètres!$A$1:$I$89,3,0)*0.475*44/12</f>
        <v>1.6633876347332144E-21</v>
      </c>
      <c r="AX179" s="23">
        <f t="shared" si="166"/>
        <v>0.12116791511555021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-5.7639226724859328E-14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343.31521637281833</v>
      </c>
      <c r="BJ179" s="62">
        <f t="shared" si="146"/>
        <v>179.67327892360623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69.091845088614889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2.6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9.5333333333333332</v>
      </c>
      <c r="H180" s="70">
        <f t="shared" si="110"/>
        <v>193.74666666666667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1.5961632016114892E-13</v>
      </c>
      <c r="P180" s="14">
        <f t="shared" si="141"/>
        <v>2.2708641912150958E-12</v>
      </c>
      <c r="Q180" s="22">
        <f t="shared" si="162"/>
        <v>4.2330868906469593E-12</v>
      </c>
      <c r="R180" s="62">
        <f t="shared" si="109"/>
        <v>290.06119833532728</v>
      </c>
      <c r="S180" s="62">
        <f ca="1">AVERAGE(OFFSET($R$3,0,0,'Données projet'!$E$9+1,1))-AVERAGE(OFFSET($H$3,0,0,'Données projet'!$E$9+1,1))</f>
        <v>347.22603428907496</v>
      </c>
      <c r="T180" s="62">
        <f t="shared" si="142"/>
        <v>258.98427374339872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4.6209159899305542E-19</v>
      </c>
      <c r="AC180" s="24">
        <f t="shared" si="163"/>
        <v>4.6209159899305542E-19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387.18736830550665</v>
      </c>
      <c r="AO180" s="62">
        <f t="shared" si="144"/>
        <v>312.32487363394125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0.11785457210477177</v>
      </c>
      <c r="AW180" s="23">
        <f>EXP(-LN(2)/2)*AW179+(1-EXP(-LN(2)/2))/(LN(2)/2)*AQ180*AT180*VLOOKUP('Données projet'!$B$10,Paramètres!$A$1:$I$89,3,0)*0.475*44/12</f>
        <v>1.176192676261708E-21</v>
      </c>
      <c r="AX180" s="23">
        <f t="shared" si="166"/>
        <v>0.11785457210477177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-5.7639226724859328E-14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343.31521637281833</v>
      </c>
      <c r="BJ180" s="62">
        <f t="shared" si="146"/>
        <v>179.67327892360623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69.107599545997203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2.6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9.5333333333333332</v>
      </c>
      <c r="H181" s="70">
        <f t="shared" si="110"/>
        <v>193.74666666666667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1.5961632016114892E-13</v>
      </c>
      <c r="P181" s="14">
        <f t="shared" si="141"/>
        <v>2.2708641912150958E-12</v>
      </c>
      <c r="Q181" s="22">
        <f t="shared" si="162"/>
        <v>4.2330868906469593E-12</v>
      </c>
      <c r="R181" s="62">
        <f t="shared" si="109"/>
        <v>290.11796256214478</v>
      </c>
      <c r="S181" s="62">
        <f ca="1">AVERAGE(OFFSET($R$3,0,0,'Données projet'!$E$9+1,1))-AVERAGE(OFFSET($H$3,0,0,'Données projet'!$E$9+1,1))</f>
        <v>347.22603428907496</v>
      </c>
      <c r="T181" s="62">
        <f t="shared" si="142"/>
        <v>258.98427374339872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3.2674810317732431E-19</v>
      </c>
      <c r="AC181" s="24">
        <f t="shared" si="163"/>
        <v>3.2674810317732431E-19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387.18736830550665</v>
      </c>
      <c r="AO181" s="62">
        <f t="shared" si="144"/>
        <v>312.32487363394125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0.11463183263286419</v>
      </c>
      <c r="AW181" s="23">
        <f>EXP(-LN(2)/2)*AW180+(1-EXP(-LN(2)/2))/(LN(2)/2)*AQ181*AT181*VLOOKUP('Données projet'!$B$10,Paramètres!$A$1:$I$89,3,0)*0.475*44/12</f>
        <v>8.3169381736660737E-22</v>
      </c>
      <c r="AX181" s="23">
        <f t="shared" si="166"/>
        <v>0.11463183263286419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-5.7639226724859328E-14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343.31521637281833</v>
      </c>
      <c r="BJ181" s="62">
        <f t="shared" si="146"/>
        <v>179.67327892360623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69.123080698765619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2.6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9.5333333333333332</v>
      </c>
      <c r="H182" s="70">
        <f t="shared" si="110"/>
        <v>193.74666666666667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1.5961632016114892E-13</v>
      </c>
      <c r="P182" s="14">
        <f t="shared" si="141"/>
        <v>2.2708641912150958E-12</v>
      </c>
      <c r="Q182" s="22">
        <f t="shared" si="162"/>
        <v>4.2330868906469593E-12</v>
      </c>
      <c r="R182" s="62">
        <f t="shared" si="109"/>
        <v>290.17374205653289</v>
      </c>
      <c r="S182" s="62">
        <f ca="1">AVERAGE(OFFSET($R$3,0,0,'Données projet'!$E$9+1,1))-AVERAGE(OFFSET($H$3,0,0,'Données projet'!$E$9+1,1))</f>
        <v>347.22603428907496</v>
      </c>
      <c r="T182" s="62">
        <f t="shared" si="142"/>
        <v>258.98427374339872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2.3104579949652771E-19</v>
      </c>
      <c r="AC182" s="24">
        <f t="shared" si="163"/>
        <v>2.3104579949652771E-19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387.18736830550665</v>
      </c>
      <c r="AO182" s="62">
        <f t="shared" si="144"/>
        <v>312.32487363394125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0.11149721914129244</v>
      </c>
      <c r="AW182" s="23">
        <f>EXP(-LN(2)/2)*AW181+(1-EXP(-LN(2)/2))/(LN(2)/2)*AQ182*AT182*VLOOKUP('Données projet'!$B$10,Paramètres!$A$1:$I$89,3,0)*0.475*44/12</f>
        <v>5.8809633813085409E-22</v>
      </c>
      <c r="AX182" s="23">
        <f t="shared" si="166"/>
        <v>0.11149721914129244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-5.7639226724859328E-14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343.31521637281833</v>
      </c>
      <c r="BJ182" s="62">
        <f t="shared" si="146"/>
        <v>179.67327892360623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69.138293288144183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2.6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9.5333333333333332</v>
      </c>
      <c r="H183" s="70">
        <f t="shared" si="110"/>
        <v>193.74666666666667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1.5961632016114892E-13</v>
      </c>
      <c r="P183" s="14">
        <f t="shared" si="141"/>
        <v>2.2708641912150958E-12</v>
      </c>
      <c r="Q183" s="22">
        <f t="shared" si="162"/>
        <v>4.2330868906469593E-12</v>
      </c>
      <c r="R183" s="62">
        <f t="shared" si="109"/>
        <v>290.22855390139767</v>
      </c>
      <c r="S183" s="62">
        <f ca="1">AVERAGE(OFFSET($R$3,0,0,'Données projet'!$E$9+1,1))-AVERAGE(OFFSET($H$3,0,0,'Données projet'!$E$9+1,1))</f>
        <v>347.22603428907496</v>
      </c>
      <c r="T183" s="62">
        <f t="shared" si="142"/>
        <v>258.98427374339872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1.6337405158866216E-19</v>
      </c>
      <c r="AC183" s="24">
        <f t="shared" si="163"/>
        <v>1.6337405158866216E-19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387.18736830550665</v>
      </c>
      <c r="AO183" s="62">
        <f t="shared" si="144"/>
        <v>312.32487363394125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0.10844832182048988</v>
      </c>
      <c r="AW183" s="23">
        <f>EXP(-LN(2)/2)*AW182+(1-EXP(-LN(2)/2))/(LN(2)/2)*AQ183*AT183*VLOOKUP('Données projet'!$B$10,Paramètres!$A$1:$I$89,3,0)*0.475*44/12</f>
        <v>4.1584690868330373E-22</v>
      </c>
      <c r="AX183" s="23">
        <f t="shared" si="166"/>
        <v>0.10844832182048988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-5.7639226724859328E-14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343.31521637281833</v>
      </c>
      <c r="BJ183" s="62">
        <f t="shared" si="146"/>
        <v>179.67327892360623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69.153241973107299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2.6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9.5333333333333332</v>
      </c>
      <c r="H184" s="70">
        <f t="shared" si="110"/>
        <v>193.74666666666667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1.5961632016114892E-13</v>
      </c>
      <c r="P184" s="14">
        <f t="shared" si="141"/>
        <v>2.2708641912150958E-12</v>
      </c>
      <c r="Q184" s="22">
        <f t="shared" si="162"/>
        <v>4.2330868906469593E-12</v>
      </c>
      <c r="R184" s="62">
        <f t="shared" si="109"/>
        <v>290.28241488329479</v>
      </c>
      <c r="S184" s="62">
        <f ca="1">AVERAGE(OFFSET($R$3,0,0,'Données projet'!$E$9+1,1))-AVERAGE(OFFSET($H$3,0,0,'Données projet'!$E$9+1,1))</f>
        <v>347.22603428907496</v>
      </c>
      <c r="T184" s="62">
        <f t="shared" si="142"/>
        <v>258.98427374339872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1.1552289974826386E-19</v>
      </c>
      <c r="AC184" s="24">
        <f t="shared" si="163"/>
        <v>1.1552289974826386E-19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387.18736830550665</v>
      </c>
      <c r="AO184" s="62">
        <f t="shared" si="144"/>
        <v>312.32487363394125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0.1054827967572592</v>
      </c>
      <c r="AW184" s="23">
        <f>EXP(-LN(2)/2)*AW183+(1-EXP(-LN(2)/2))/(LN(2)/2)*AQ184*AT184*VLOOKUP('Données projet'!$B$10,Paramètres!$A$1:$I$89,3,0)*0.475*44/12</f>
        <v>2.9404816906542709E-22</v>
      </c>
      <c r="AX184" s="23">
        <f t="shared" si="166"/>
        <v>0.1054827967572592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-5.7639226724859328E-14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343.31521637281833</v>
      </c>
      <c r="BJ184" s="62">
        <f t="shared" si="146"/>
        <v>179.67327892360623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69.167931331806528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2.6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9.5333333333333332</v>
      </c>
      <c r="H185" s="70">
        <f t="shared" si="110"/>
        <v>193.74666666666667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1.5961632016114892E-13</v>
      </c>
      <c r="P185" s="14">
        <f t="shared" si="141"/>
        <v>2.2708641912150958E-12</v>
      </c>
      <c r="Q185" s="22">
        <f t="shared" si="162"/>
        <v>4.2330868906469593E-12</v>
      </c>
      <c r="R185" s="62">
        <f t="shared" si="109"/>
        <v>290.33534149757128</v>
      </c>
      <c r="S185" s="62">
        <f ca="1">AVERAGE(OFFSET($R$3,0,0,'Données projet'!$E$9+1,1))-AVERAGE(OFFSET($H$3,0,0,'Données projet'!$E$9+1,1))</f>
        <v>347.22603428907496</v>
      </c>
      <c r="T185" s="62">
        <f t="shared" si="142"/>
        <v>258.98427374339872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8.1687025794331078E-20</v>
      </c>
      <c r="AC185" s="24">
        <f t="shared" si="163"/>
        <v>8.1687025794331078E-20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387.18736830550665</v>
      </c>
      <c r="AO185" s="62">
        <f t="shared" si="144"/>
        <v>312.32487363394125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0.10259836413283276</v>
      </c>
      <c r="AW185" s="23">
        <f>EXP(-LN(2)/2)*AW184+(1-EXP(-LN(2)/2))/(LN(2)/2)*AQ185*AT185*VLOOKUP('Données projet'!$B$10,Paramètres!$A$1:$I$89,3,0)*0.475*44/12</f>
        <v>2.0792345434165189E-22</v>
      </c>
      <c r="AX185" s="23">
        <f t="shared" si="166"/>
        <v>0.10259836413283276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-5.7639226724859328E-14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343.31521637281833</v>
      </c>
      <c r="BJ185" s="62">
        <f t="shared" si="146"/>
        <v>179.67327892360623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69.18236586297283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2.6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9.5333333333333332</v>
      </c>
      <c r="H186" s="70">
        <f t="shared" si="110"/>
        <v>193.74666666666667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1.5961632016114892E-13</v>
      </c>
      <c r="P186" s="14">
        <f t="shared" si="141"/>
        <v>2.2708641912150958E-12</v>
      </c>
      <c r="Q186" s="22">
        <f t="shared" si="162"/>
        <v>4.2330868906469593E-12</v>
      </c>
      <c r="R186" s="62">
        <f t="shared" si="109"/>
        <v>290.38734995341616</v>
      </c>
      <c r="S186" s="62">
        <f ca="1">AVERAGE(OFFSET($R$3,0,0,'Données projet'!$E$9+1,1))-AVERAGE(OFFSET($H$3,0,0,'Données projet'!$E$9+1,1))</f>
        <v>347.22603428907496</v>
      </c>
      <c r="T186" s="62">
        <f t="shared" si="142"/>
        <v>258.98427374339872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5.7761449874131928E-20</v>
      </c>
      <c r="AC186" s="24">
        <f t="shared" si="163"/>
        <v>5.7761449874131928E-20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387.18736830550665</v>
      </c>
      <c r="AO186" s="62">
        <f t="shared" si="144"/>
        <v>312.32487363394125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9.9792806470206968E-2</v>
      </c>
      <c r="AW186" s="23">
        <f>EXP(-LN(2)/2)*AW185+(1-EXP(-LN(2)/2))/(LN(2)/2)*AQ186*AT186*VLOOKUP('Données projet'!$B$10,Paramètres!$A$1:$I$89,3,0)*0.475*44/12</f>
        <v>1.4702408453271357E-22</v>
      </c>
      <c r="AX186" s="23">
        <f t="shared" si="166"/>
        <v>9.9792806470206968E-2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-5.7639226724859328E-14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343.31521637281833</v>
      </c>
      <c r="BJ186" s="62">
        <f t="shared" si="146"/>
        <v>179.67327892360623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69.196549987294162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2.6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9.5333333333333332</v>
      </c>
      <c r="H187" s="70">
        <f t="shared" si="110"/>
        <v>193.74666666666667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1.5961632016114892E-13</v>
      </c>
      <c r="P187" s="14">
        <f t="shared" si="141"/>
        <v>2.2708641912150958E-12</v>
      </c>
      <c r="Q187" s="22">
        <f t="shared" si="162"/>
        <v>4.2330868906469593E-12</v>
      </c>
      <c r="R187" s="62">
        <f t="shared" si="109"/>
        <v>290.43845617882562</v>
      </c>
      <c r="S187" s="62">
        <f ca="1">AVERAGE(OFFSET($R$3,0,0,'Données projet'!$E$9+1,1))-AVERAGE(OFFSET($H$3,0,0,'Données projet'!$E$9+1,1))</f>
        <v>347.22603428907496</v>
      </c>
      <c r="T187" s="62">
        <f t="shared" si="142"/>
        <v>258.98427374339872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4.0843512897165539E-20</v>
      </c>
      <c r="AC187" s="24">
        <f t="shared" si="163"/>
        <v>4.0843512897165539E-20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387.18736830550665</v>
      </c>
      <c r="AO187" s="62">
        <f t="shared" si="144"/>
        <v>312.32487363394125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9.7063966929403542E-2</v>
      </c>
      <c r="AW187" s="23">
        <f>EXP(-LN(2)/2)*AW186+(1-EXP(-LN(2)/2))/(LN(2)/2)*AQ187*AT187*VLOOKUP('Données projet'!$B$10,Paramètres!$A$1:$I$89,3,0)*0.475*44/12</f>
        <v>1.0396172717082597E-22</v>
      </c>
      <c r="AX187" s="23">
        <f t="shared" si="166"/>
        <v>9.7063966929403542E-2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-5.7639226724859328E-14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343.31521637281833</v>
      </c>
      <c r="BJ187" s="62">
        <f t="shared" si="146"/>
        <v>179.67327892360623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69.210488048769477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2.6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9.5333333333333332</v>
      </c>
      <c r="H188" s="70">
        <f t="shared" si="110"/>
        <v>193.74666666666667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1.5961632016114892E-13</v>
      </c>
      <c r="P188" s="14">
        <f t="shared" si="141"/>
        <v>2.2708641912150958E-12</v>
      </c>
      <c r="Q188" s="22">
        <f t="shared" si="162"/>
        <v>4.2330868906469593E-12</v>
      </c>
      <c r="R188" s="62">
        <f t="shared" si="109"/>
        <v>290.4886758254807</v>
      </c>
      <c r="S188" s="62">
        <f ca="1">AVERAGE(OFFSET($R$3,0,0,'Données projet'!$E$9+1,1))-AVERAGE(OFFSET($H$3,0,0,'Données projet'!$E$9+1,1))</f>
        <v>347.22603428907496</v>
      </c>
      <c r="T188" s="62">
        <f t="shared" si="142"/>
        <v>258.98427374339872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2.8880724937065964E-20</v>
      </c>
      <c r="AC188" s="24">
        <f t="shared" si="163"/>
        <v>2.8880724937065964E-20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387.18736830550665</v>
      </c>
      <c r="AO188" s="62">
        <f t="shared" si="144"/>
        <v>312.32487363394125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9.4409747649346829E-2</v>
      </c>
      <c r="AW188" s="23">
        <f>EXP(-LN(2)/2)*AW187+(1-EXP(-LN(2)/2))/(LN(2)/2)*AQ188*AT188*VLOOKUP('Données projet'!$B$10,Paramètres!$A$1:$I$89,3,0)*0.475*44/12</f>
        <v>7.3512042266356796E-23</v>
      </c>
      <c r="AX188" s="23">
        <f t="shared" si="166"/>
        <v>9.4409747649346829E-2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-5.7639226724859328E-14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343.31521637281833</v>
      </c>
      <c r="BJ188" s="62">
        <f t="shared" si="146"/>
        <v>179.67327892360623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69.224184316039043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2.6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9.5333333333333332</v>
      </c>
      <c r="H189" s="70">
        <f t="shared" si="110"/>
        <v>193.74666666666667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1.5961632016114892E-13</v>
      </c>
      <c r="P189" s="14">
        <f t="shared" si="141"/>
        <v>2.2708641912150958E-12</v>
      </c>
      <c r="Q189" s="22">
        <f t="shared" si="162"/>
        <v>4.2330868906469593E-12</v>
      </c>
      <c r="R189" s="62">
        <f t="shared" si="109"/>
        <v>290.53802427354054</v>
      </c>
      <c r="S189" s="62">
        <f ca="1">AVERAGE(OFFSET($R$3,0,0,'Données projet'!$E$9+1,1))-AVERAGE(OFFSET($H$3,0,0,'Données projet'!$E$9+1,1))</f>
        <v>347.22603428907496</v>
      </c>
      <c r="T189" s="62">
        <f t="shared" si="142"/>
        <v>258.98427374339872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2.0421756448582769E-20</v>
      </c>
      <c r="AC189" s="24">
        <f t="shared" si="163"/>
        <v>2.0421756448582769E-20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387.18736830550665</v>
      </c>
      <c r="AO189" s="62">
        <f t="shared" si="144"/>
        <v>312.32487363394125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9.182810813508259E-2</v>
      </c>
      <c r="AW189" s="23">
        <f>EXP(-LN(2)/2)*AW188+(1-EXP(-LN(2)/2))/(LN(2)/2)*AQ189*AT189*VLOOKUP('Données projet'!$B$10,Paramètres!$A$1:$I$89,3,0)*0.475*44/12</f>
        <v>5.198086358541299E-23</v>
      </c>
      <c r="AX189" s="23">
        <f t="shared" si="166"/>
        <v>9.182810813508259E-2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-5.7639226724859328E-14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343.31521637281833</v>
      </c>
      <c r="BJ189" s="62">
        <f t="shared" si="146"/>
        <v>179.67327892360623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69.237642983691728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2.6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9.5333333333333332</v>
      </c>
      <c r="H190" s="70">
        <f t="shared" si="110"/>
        <v>193.74666666666667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1.5961632016114892E-13</v>
      </c>
      <c r="P190" s="14">
        <f t="shared" si="141"/>
        <v>2.2708641912150958E-12</v>
      </c>
      <c r="Q190" s="22">
        <f t="shared" si="162"/>
        <v>4.2330868906469593E-12</v>
      </c>
      <c r="R190" s="62">
        <f t="shared" si="109"/>
        <v>290.58651663635317</v>
      </c>
      <c r="S190" s="62">
        <f ca="1">AVERAGE(OFFSET($R$3,0,0,'Données projet'!$E$9+1,1))-AVERAGE(OFFSET($H$3,0,0,'Données projet'!$E$9+1,1))</f>
        <v>347.22603428907496</v>
      </c>
      <c r="T190" s="62">
        <f t="shared" si="142"/>
        <v>258.98427374339872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1.4440362468532982E-20</v>
      </c>
      <c r="AC190" s="24">
        <f t="shared" si="163"/>
        <v>1.4440362468532982E-20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387.18736830550665</v>
      </c>
      <c r="AO190" s="62">
        <f t="shared" si="144"/>
        <v>312.32487363394125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8.9317063689098419E-2</v>
      </c>
      <c r="AW190" s="23">
        <f>EXP(-LN(2)/2)*AW189+(1-EXP(-LN(2)/2))/(LN(2)/2)*AQ190*AT190*VLOOKUP('Données projet'!$B$10,Paramètres!$A$1:$I$89,3,0)*0.475*44/12</f>
        <v>3.6756021133178404E-23</v>
      </c>
      <c r="AX190" s="23">
        <f t="shared" si="166"/>
        <v>8.9317063689098419E-2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-5.7639226724859328E-14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343.31521637281833</v>
      </c>
      <c r="BJ190" s="62">
        <f t="shared" si="146"/>
        <v>179.67327892360623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69.250868173549719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2.6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9.5333333333333332</v>
      </c>
      <c r="H191" s="70">
        <f t="shared" si="110"/>
        <v>193.74666666666667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1.5961632016114892E-13</v>
      </c>
      <c r="P191" s="14">
        <f t="shared" si="141"/>
        <v>2.2708641912150958E-12</v>
      </c>
      <c r="Q191" s="22">
        <f t="shared" si="162"/>
        <v>4.2330868906469593E-12</v>
      </c>
      <c r="R191" s="62">
        <f t="shared" si="109"/>
        <v>290.6341677650837</v>
      </c>
      <c r="S191" s="62">
        <f ca="1">AVERAGE(OFFSET($R$3,0,0,'Données projet'!$E$9+1,1))-AVERAGE(OFFSET($H$3,0,0,'Données projet'!$E$9+1,1))</f>
        <v>347.22603428907496</v>
      </c>
      <c r="T191" s="62">
        <f t="shared" si="142"/>
        <v>258.98427374339872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1.0210878224291385E-20</v>
      </c>
      <c r="AC191" s="24">
        <f t="shared" si="163"/>
        <v>1.0210878224291385E-20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387.18736830550665</v>
      </c>
      <c r="AO191" s="62">
        <f t="shared" si="144"/>
        <v>312.32487363394125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8.6874683885539775E-2</v>
      </c>
      <c r="AW191" s="23">
        <f>EXP(-LN(2)/2)*AW190+(1-EXP(-LN(2)/2))/(LN(2)/2)*AQ191*AT191*VLOOKUP('Données projet'!$B$10,Paramètres!$A$1:$I$89,3,0)*0.475*44/12</f>
        <v>2.5990431792706501E-23</v>
      </c>
      <c r="AX191" s="23">
        <f t="shared" si="166"/>
        <v>8.6874683885539775E-2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-5.7639226724859328E-14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343.31521637281833</v>
      </c>
      <c r="BJ191" s="62">
        <f t="shared" si="146"/>
        <v>179.67327892360623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69.263863935930772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2.6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9.5333333333333332</v>
      </c>
      <c r="H192" s="70">
        <f t="shared" si="110"/>
        <v>193.74666666666667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1.5961632016114892E-13</v>
      </c>
      <c r="P192" s="14">
        <f t="shared" si="141"/>
        <v>2.2708641912150958E-12</v>
      </c>
      <c r="Q192" s="22">
        <f t="shared" si="162"/>
        <v>4.2330868906469593E-12</v>
      </c>
      <c r="R192" s="62">
        <f t="shared" si="109"/>
        <v>290.68099225326273</v>
      </c>
      <c r="S192" s="62">
        <f ca="1">AVERAGE(OFFSET($R$3,0,0,'Données projet'!$E$9+1,1))-AVERAGE(OFFSET($H$3,0,0,'Données projet'!$E$9+1,1))</f>
        <v>347.22603428907496</v>
      </c>
      <c r="T192" s="62">
        <f t="shared" si="142"/>
        <v>258.98427374339872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7.220181234266491E-21</v>
      </c>
      <c r="AC192" s="24">
        <f t="shared" si="163"/>
        <v>7.220181234266491E-21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387.18736830550665</v>
      </c>
      <c r="AO192" s="62">
        <f t="shared" si="144"/>
        <v>312.32487363394125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8.4499091086148614E-2</v>
      </c>
      <c r="AW192" s="23">
        <f>EXP(-LN(2)/2)*AW191+(1-EXP(-LN(2)/2))/(LN(2)/2)*AQ192*AT192*VLOOKUP('Données projet'!$B$10,Paramètres!$A$1:$I$89,3,0)*0.475*44/12</f>
        <v>1.8378010566589205E-23</v>
      </c>
      <c r="AX192" s="23">
        <f t="shared" si="166"/>
        <v>8.4499091086148614E-2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-5.7639226724859328E-14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343.31521637281833</v>
      </c>
      <c r="BJ192" s="62">
        <f t="shared" si="146"/>
        <v>179.67327892360623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69.276634250888691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2.6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9.5333333333333332</v>
      </c>
      <c r="H193" s="70">
        <f t="shared" si="110"/>
        <v>193.74666666666667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1.5961632016114892E-13</v>
      </c>
      <c r="P193" s="14">
        <f t="shared" si="141"/>
        <v>2.2708641912150958E-12</v>
      </c>
      <c r="Q193" s="22">
        <f t="shared" si="162"/>
        <v>4.2330868906469593E-12</v>
      </c>
      <c r="R193" s="62">
        <f t="shared" si="109"/>
        <v>290.7270044412557</v>
      </c>
      <c r="S193" s="62">
        <f ca="1">AVERAGE(OFFSET($R$3,0,0,'Données projet'!$E$9+1,1))-AVERAGE(OFFSET($H$3,0,0,'Données projet'!$E$9+1,1))</f>
        <v>347.22603428907496</v>
      </c>
      <c r="T193" s="62">
        <f t="shared" si="142"/>
        <v>258.98427374339872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5.1054391121456924E-21</v>
      </c>
      <c r="AC193" s="24">
        <f t="shared" si="163"/>
        <v>5.1054391121456924E-21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387.18736830550665</v>
      </c>
      <c r="AO193" s="62">
        <f t="shared" si="144"/>
        <v>312.32487363394125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8.21884589967838E-2</v>
      </c>
      <c r="AW193" s="23">
        <f>EXP(-LN(2)/2)*AW192+(1-EXP(-LN(2)/2))/(LN(2)/2)*AQ193*AT193*VLOOKUP('Données projet'!$B$10,Paramètres!$A$1:$I$89,3,0)*0.475*44/12</f>
        <v>1.2995215896353252E-23</v>
      </c>
      <c r="AX193" s="23">
        <f t="shared" si="166"/>
        <v>8.21884589967838E-2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-5.7639226724859328E-14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343.31521637281833</v>
      </c>
      <c r="BJ193" s="62">
        <f t="shared" si="146"/>
        <v>179.67327892360623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69.289183029432223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2.6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9.5333333333333332</v>
      </c>
      <c r="H194" s="70">
        <f t="shared" si="110"/>
        <v>193.74666666666667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1.5961632016114892E-13</v>
      </c>
      <c r="P194" s="14">
        <f t="shared" si="141"/>
        <v>2.2708641912150958E-12</v>
      </c>
      <c r="Q194" s="22">
        <f t="shared" si="162"/>
        <v>4.2330868906469593E-12</v>
      </c>
      <c r="R194" s="62">
        <f t="shared" si="109"/>
        <v>290.77221842065489</v>
      </c>
      <c r="S194" s="62">
        <f ca="1">AVERAGE(OFFSET($R$3,0,0,'Données projet'!$E$9+1,1))-AVERAGE(OFFSET($H$3,0,0,'Données projet'!$E$9+1,1))</f>
        <v>347.22603428907496</v>
      </c>
      <c r="T194" s="62">
        <f t="shared" si="142"/>
        <v>258.98427374339872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3.6100906171332455E-21</v>
      </c>
      <c r="AC194" s="24">
        <f t="shared" si="163"/>
        <v>3.6100906171332455E-21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387.18736830550665</v>
      </c>
      <c r="AO194" s="62">
        <f t="shared" si="144"/>
        <v>312.32487363394125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7.9941011263413533E-2</v>
      </c>
      <c r="AW194" s="23">
        <f>EXP(-LN(2)/2)*AW193+(1-EXP(-LN(2)/2))/(LN(2)/2)*AQ194*AT194*VLOOKUP('Données projet'!$B$10,Paramètres!$A$1:$I$89,3,0)*0.475*44/12</f>
        <v>9.1890052832946039E-24</v>
      </c>
      <c r="AX194" s="23">
        <f t="shared" si="166"/>
        <v>7.9941011263413533E-2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-5.7639226724859328E-14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343.31521637281833</v>
      </c>
      <c r="BJ194" s="62">
        <f t="shared" si="146"/>
        <v>179.67327892360623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69.30151411472292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2.6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9.5333333333333332</v>
      </c>
      <c r="H195" s="70">
        <f t="shared" si="110"/>
        <v>193.74666666666667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1.5961632016114892E-13</v>
      </c>
      <c r="P195" s="14">
        <f t="shared" si="141"/>
        <v>2.2708641912150958E-12</v>
      </c>
      <c r="Q195" s="22">
        <f t="shared" si="162"/>
        <v>4.2330868906469593E-12</v>
      </c>
      <c r="R195" s="62">
        <f t="shared" ref="R195:R203" si="191">Q195+(I195+J195)*44/12</f>
        <v>290.81664803859474</v>
      </c>
      <c r="S195" s="62">
        <f ca="1">AVERAGE(OFFSET($R$3,0,0,'Données projet'!$E$9+1,1))-AVERAGE(OFFSET($H$3,0,0,'Données projet'!$E$9+1,1))</f>
        <v>347.22603428907496</v>
      </c>
      <c r="T195" s="62">
        <f t="shared" si="142"/>
        <v>258.98427374339872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2.5527195560728462E-21</v>
      </c>
      <c r="AC195" s="24">
        <f t="shared" si="163"/>
        <v>2.5527195560728462E-21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387.18736830550665</v>
      </c>
      <c r="AO195" s="62">
        <f t="shared" si="144"/>
        <v>312.32487363394125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7.7755020106500414E-2</v>
      </c>
      <c r="AW195" s="23">
        <f>EXP(-LN(2)/2)*AW194+(1-EXP(-LN(2)/2))/(LN(2)/2)*AQ195*AT195*VLOOKUP('Données projet'!$B$10,Paramètres!$A$1:$I$89,3,0)*0.475*44/12</f>
        <v>6.4976079481766274E-24</v>
      </c>
      <c r="AX195" s="23">
        <f t="shared" si="166"/>
        <v>7.7755020106500414E-2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-5.7639226724859328E-14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343.31521637281833</v>
      </c>
      <c r="BJ195" s="62">
        <f t="shared" si="146"/>
        <v>179.67327892360623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69.313631283251965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2.6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9.5333333333333332</v>
      </c>
      <c r="H196" s="70">
        <f t="shared" ref="H196:H203" si="192">(B196+E196+F196)*44/12+(C196+D196)*0.475*44/12</f>
        <v>193.74666666666667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1.5961632016114892E-13</v>
      </c>
      <c r="P196" s="14">
        <f t="shared" si="141"/>
        <v>2.2708641912150958E-12</v>
      </c>
      <c r="Q196" s="22">
        <f t="shared" si="162"/>
        <v>4.2330868906469593E-12</v>
      </c>
      <c r="R196" s="62">
        <f t="shared" si="191"/>
        <v>290.86030690199317</v>
      </c>
      <c r="S196" s="62">
        <f ca="1">AVERAGE(OFFSET($R$3,0,0,'Données projet'!$E$9+1,1))-AVERAGE(OFFSET($H$3,0,0,'Données projet'!$E$9+1,1))</f>
        <v>347.22603428907496</v>
      </c>
      <c r="T196" s="62">
        <f t="shared" si="142"/>
        <v>258.98427374339872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1.8050453085666228E-21</v>
      </c>
      <c r="AC196" s="24">
        <f t="shared" si="163"/>
        <v>1.8050453085666228E-21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387.18736830550665</v>
      </c>
      <c r="AO196" s="62">
        <f t="shared" si="144"/>
        <v>312.32487363394125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7.5628804992729365E-2</v>
      </c>
      <c r="AW196" s="23">
        <f>EXP(-LN(2)/2)*AW195+(1-EXP(-LN(2)/2))/(LN(2)/2)*AQ196*AT196*VLOOKUP('Données projet'!$B$10,Paramètres!$A$1:$I$89,3,0)*0.475*44/12</f>
        <v>4.5945026416473027E-24</v>
      </c>
      <c r="AX196" s="23">
        <f t="shared" si="166"/>
        <v>7.5628804992729365E-2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-5.7639226724859328E-14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343.31521637281833</v>
      </c>
      <c r="BJ196" s="62">
        <f t="shared" si="146"/>
        <v>179.67327892360623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69.325538245996981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2.6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9.5333333333333332</v>
      </c>
      <c r="H197" s="70">
        <f t="shared" si="192"/>
        <v>193.74666666666667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1.5961632016114892E-13</v>
      </c>
      <c r="P197" s="14">
        <f t="shared" ref="P197:P203" si="203">EXP(-1.0587+0.8836*LN(O197)+0.284)</f>
        <v>2.2708641912150958E-12</v>
      </c>
      <c r="Q197" s="22">
        <f t="shared" si="162"/>
        <v>4.2330868906469593E-12</v>
      </c>
      <c r="R197" s="62">
        <f t="shared" si="191"/>
        <v>290.90320838171812</v>
      </c>
      <c r="S197" s="62">
        <f ca="1">AVERAGE(OFFSET($R$3,0,0,'Données projet'!$E$9+1,1))-AVERAGE(OFFSET($H$3,0,0,'Données projet'!$E$9+1,1))</f>
        <v>347.22603428907496</v>
      </c>
      <c r="T197" s="62">
        <f t="shared" ref="T197:T203" si="204">$T$3</f>
        <v>258.98427374339872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1.2763597780364231E-21</v>
      </c>
      <c r="AC197" s="24">
        <f t="shared" si="163"/>
        <v>1.2763597780364231E-21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387.18736830550665</v>
      </c>
      <c r="AO197" s="62">
        <f t="shared" ref="AO197:AO203" si="205">$AO$3</f>
        <v>312.32487363394125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7.3560731343057184E-2</v>
      </c>
      <c r="AW197" s="23">
        <f>EXP(-LN(2)/2)*AW196+(1-EXP(-LN(2)/2))/(LN(2)/2)*AQ197*AT197*VLOOKUP('Données projet'!$B$10,Paramètres!$A$1:$I$89,3,0)*0.475*44/12</f>
        <v>3.2488039740883141E-24</v>
      </c>
      <c r="AX197" s="23">
        <f t="shared" si="166"/>
        <v>7.3560731343057184E-2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-5.7639226724859328E-14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343.31521637281833</v>
      </c>
      <c r="BJ197" s="62">
        <f t="shared" ref="BJ197:BJ203" si="206">$BJ$3</f>
        <v>179.67327892360623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69.337238649558344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2.6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9.5333333333333332</v>
      </c>
      <c r="H198" s="70">
        <f t="shared" si="192"/>
        <v>193.74666666666667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1.5961632016114892E-13</v>
      </c>
      <c r="P198" s="14">
        <f t="shared" si="203"/>
        <v>2.2708641912150958E-12</v>
      </c>
      <c r="Q198" s="22">
        <f t="shared" si="162"/>
        <v>4.2330868906469593E-12</v>
      </c>
      <c r="R198" s="62">
        <f t="shared" si="191"/>
        <v>290.94536561668326</v>
      </c>
      <c r="S198" s="62">
        <f ca="1">AVERAGE(OFFSET($R$3,0,0,'Données projet'!$E$9+1,1))-AVERAGE(OFFSET($H$3,0,0,'Données projet'!$E$9+1,1))</f>
        <v>347.22603428907496</v>
      </c>
      <c r="T198" s="62">
        <f t="shared" si="204"/>
        <v>258.98427374339872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9.0252265428331138E-22</v>
      </c>
      <c r="AC198" s="24">
        <f t="shared" si="163"/>
        <v>9.0252265428331138E-22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387.18736830550665</v>
      </c>
      <c r="AO198" s="62">
        <f t="shared" si="205"/>
        <v>312.32487363394125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7.1549209276090556E-2</v>
      </c>
      <c r="AW198" s="23">
        <f>EXP(-LN(2)/2)*AW197+(1-EXP(-LN(2)/2))/(LN(2)/2)*AQ198*AT198*VLOOKUP('Données projet'!$B$10,Paramètres!$A$1:$I$89,3,0)*0.475*44/12</f>
        <v>2.2972513208236517E-24</v>
      </c>
      <c r="AX198" s="23">
        <f t="shared" si="166"/>
        <v>7.1549209276090556E-2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-5.7639226724859328E-14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343.31521637281833</v>
      </c>
      <c r="BJ198" s="62">
        <f t="shared" si="206"/>
        <v>179.67327892360623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69.348736077276101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2.6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9.5333333333333332</v>
      </c>
      <c r="H199" s="70">
        <f t="shared" si="192"/>
        <v>193.74666666666667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1.5961632016114892E-13</v>
      </c>
      <c r="P199" s="14">
        <f t="shared" si="203"/>
        <v>2.2708641912150958E-12</v>
      </c>
      <c r="Q199" s="22">
        <f t="shared" si="162"/>
        <v>4.2330868906469593E-12</v>
      </c>
      <c r="R199" s="62">
        <f t="shared" si="191"/>
        <v>290.98679151787115</v>
      </c>
      <c r="S199" s="62">
        <f ca="1">AVERAGE(OFFSET($R$3,0,0,'Données projet'!$E$9+1,1))-AVERAGE(OFFSET($H$3,0,0,'Données projet'!$E$9+1,1))</f>
        <v>347.22603428907496</v>
      </c>
      <c r="T199" s="62">
        <f t="shared" si="204"/>
        <v>258.98427374339872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6.3817988901821154E-22</v>
      </c>
      <c r="AC199" s="24">
        <f t="shared" si="163"/>
        <v>6.3817988901821154E-22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387.18736830550665</v>
      </c>
      <c r="AO199" s="62">
        <f t="shared" si="205"/>
        <v>312.32487363394125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6.9592692385826466E-2</v>
      </c>
      <c r="AW199" s="23">
        <f>EXP(-LN(2)/2)*AW198+(1-EXP(-LN(2)/2))/(LN(2)/2)*AQ199*AT199*VLOOKUP('Données projet'!$B$10,Paramètres!$A$1:$I$89,3,0)*0.475*44/12</f>
        <v>1.6244019870441572E-24</v>
      </c>
      <c r="AX199" s="23">
        <f t="shared" si="166"/>
        <v>6.9592692385826466E-2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-5.7639226724859328E-14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343.31521637281833</v>
      </c>
      <c r="BJ199" s="62">
        <f t="shared" si="206"/>
        <v>179.67327892360623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69.360034050327357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2.6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9.5333333333333332</v>
      </c>
      <c r="H200" s="70">
        <f t="shared" si="192"/>
        <v>193.74666666666667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1.5961632016114892E-13</v>
      </c>
      <c r="P200" s="14">
        <f t="shared" si="203"/>
        <v>2.2708641912150958E-12</v>
      </c>
      <c r="Q200" s="22">
        <f t="shared" si="162"/>
        <v>4.2330868906469593E-12</v>
      </c>
      <c r="R200" s="62">
        <f t="shared" si="191"/>
        <v>291.02749877228797</v>
      </c>
      <c r="S200" s="62">
        <f ca="1">AVERAGE(OFFSET($R$3,0,0,'Données projet'!$E$9+1,1))-AVERAGE(OFFSET($H$3,0,0,'Données projet'!$E$9+1,1))</f>
        <v>347.22603428907496</v>
      </c>
      <c r="T200" s="62">
        <f t="shared" si="204"/>
        <v>258.98427374339872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4.5126132714165569E-22</v>
      </c>
      <c r="AC200" s="24">
        <f t="shared" si="163"/>
        <v>4.5126132714165569E-22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387.18736830550665</v>
      </c>
      <c r="AO200" s="62">
        <f t="shared" si="205"/>
        <v>312.32487363394125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6.7689676552815409E-2</v>
      </c>
      <c r="AW200" s="23">
        <f>EXP(-LN(2)/2)*AW199+(1-EXP(-LN(2)/2))/(LN(2)/2)*AQ200*AT200*VLOOKUP('Données projet'!$B$10,Paramètres!$A$1:$I$89,3,0)*0.475*44/12</f>
        <v>1.148625660411826E-24</v>
      </c>
      <c r="AX200" s="23">
        <f t="shared" si="166"/>
        <v>6.7689676552815409E-2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-5.7639226724859328E-14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343.31521637281833</v>
      </c>
      <c r="BJ200" s="62">
        <f t="shared" si="206"/>
        <v>179.67327892360623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69.371136028804656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2.6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9.5333333333333332</v>
      </c>
      <c r="H201" s="70">
        <f t="shared" si="192"/>
        <v>193.74666666666667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1.5961632016114892E-13</v>
      </c>
      <c r="P201" s="14">
        <f t="shared" si="203"/>
        <v>2.2708641912150958E-12</v>
      </c>
      <c r="Q201" s="22">
        <f t="shared" si="162"/>
        <v>4.2330868906469593E-12</v>
      </c>
      <c r="R201" s="62">
        <f t="shared" si="191"/>
        <v>291.06749984684836</v>
      </c>
      <c r="S201" s="62">
        <f ca="1">AVERAGE(OFFSET($R$3,0,0,'Données projet'!$E$9+1,1))-AVERAGE(OFFSET($H$3,0,0,'Données projet'!$E$9+1,1))</f>
        <v>347.22603428907496</v>
      </c>
      <c r="T201" s="62">
        <f t="shared" si="204"/>
        <v>258.98427374339872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3.1908994450910577E-22</v>
      </c>
      <c r="AC201" s="24">
        <f t="shared" si="163"/>
        <v>3.1908994450910577E-22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387.18736830550665</v>
      </c>
      <c r="AO201" s="62">
        <f t="shared" si="205"/>
        <v>312.32487363394125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6.5838698787833286E-2</v>
      </c>
      <c r="AW201" s="23">
        <f>EXP(-LN(2)/2)*AW200+(1-EXP(-LN(2)/2))/(LN(2)/2)*AQ201*AT201*VLOOKUP('Données projet'!$B$10,Paramètres!$A$1:$I$89,3,0)*0.475*44/12</f>
        <v>8.122009935220788E-25</v>
      </c>
      <c r="AX201" s="23">
        <f t="shared" si="166"/>
        <v>6.5838698787833286E-2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-5.7639226724859328E-14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343.31521637281833</v>
      </c>
      <c r="BJ201" s="62">
        <f t="shared" si="206"/>
        <v>179.67327892360623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69.382045412775682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2.6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9.5333333333333332</v>
      </c>
      <c r="H202" s="70">
        <f t="shared" si="192"/>
        <v>193.74666666666667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1.5961632016114892E-13</v>
      </c>
      <c r="P202" s="14">
        <f t="shared" si="203"/>
        <v>2.2708641912150958E-12</v>
      </c>
      <c r="Q202" s="22">
        <f t="shared" si="162"/>
        <v>4.2330868906469593E-12</v>
      </c>
      <c r="R202" s="62">
        <f t="shared" si="191"/>
        <v>291.10680699219421</v>
      </c>
      <c r="S202" s="62">
        <f ca="1">AVERAGE(OFFSET($R$3,0,0,'Données projet'!$E$9+1,1))-AVERAGE(OFFSET($H$3,0,0,'Données projet'!$E$9+1,1))</f>
        <v>347.22603428907496</v>
      </c>
      <c r="T202" s="62">
        <f t="shared" si="204"/>
        <v>258.98427374339872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2.2563066357082784E-22</v>
      </c>
      <c r="AC202" s="24">
        <f t="shared" si="163"/>
        <v>2.2563066357082784E-22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387.18736830550665</v>
      </c>
      <c r="AO202" s="62">
        <f t="shared" si="205"/>
        <v>312.32487363394125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6.4038336107173285E-2</v>
      </c>
      <c r="AW202" s="23">
        <f>EXP(-LN(2)/2)*AW201+(1-EXP(-LN(2)/2))/(LN(2)/2)*AQ202*AT202*VLOOKUP('Données projet'!$B$10,Paramètres!$A$1:$I$89,3,0)*0.475*44/12</f>
        <v>5.7431283020591311E-25</v>
      </c>
      <c r="AX202" s="23">
        <f t="shared" si="166"/>
        <v>6.4038336107173285E-2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-5.7639226724859328E-14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343.31521637281833</v>
      </c>
      <c r="BJ202" s="62">
        <f t="shared" si="206"/>
        <v>179.67327892360623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69.392765543324543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2.6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50.24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9.5333333333333332</v>
      </c>
      <c r="H203" s="70">
        <f t="shared" si="192"/>
        <v>193.74666666666667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1.5961632016114892E-13</v>
      </c>
      <c r="P203" s="14">
        <f t="shared" si="203"/>
        <v>2.2708641912150958E-12</v>
      </c>
      <c r="Q203" s="22">
        <f t="shared" si="162"/>
        <v>4.2330868906469593E-12</v>
      </c>
      <c r="R203" s="62">
        <f t="shared" si="191"/>
        <v>291.14543224644586</v>
      </c>
      <c r="S203" s="62">
        <f ca="1">AVERAGE(OFFSET($R$3,0,0,'Données projet'!$E$9+1,1))-AVERAGE(OFFSET($H$3,0,0,'Données projet'!$E$9+1,1))</f>
        <v>347.22603428907496</v>
      </c>
      <c r="T203" s="62">
        <f t="shared" si="204"/>
        <v>258.98427374339872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1.5954497225455289E-22</v>
      </c>
      <c r="AC203" s="24">
        <f t="shared" si="163"/>
        <v>1.5954497225455289E-22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387.18736830550665</v>
      </c>
      <c r="AO203" s="62">
        <f t="shared" si="205"/>
        <v>312.32487363394125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6.22872044386929E-2</v>
      </c>
      <c r="AW203" s="23">
        <f>EXP(-LN(2)/2)*AW202+(1-EXP(-LN(2)/2))/(LN(2)/2)*AQ203*AT203*VLOOKUP('Données projet'!$B$10,Paramètres!$A$1:$I$89,3,0)*0.475*44/12</f>
        <v>4.0610049676103944E-25</v>
      </c>
      <c r="AX203" s="23">
        <f t="shared" si="166"/>
        <v>6.22872044386929E-2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-5.7639226724859328E-14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343.31521637281833</v>
      </c>
      <c r="BJ203" s="62">
        <f t="shared" si="206"/>
        <v>179.67327892360623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69.403299703574987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1.1921598380198544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1.1457367676485573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20" sqref="J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0.99407699999999999</v>
      </c>
      <c r="C6" s="156">
        <f ca="1">IF(OR('Données projet'!B9="",'Données projet'!C9="",'Données projet'!C9=0%),0,Calculateur!S3)</f>
        <v>347.22603428907496</v>
      </c>
      <c r="D6" s="156">
        <f>IF(OR('Données projet'!B9="",'Données projet'!C9="",'Données projet'!C9=0%),0,Calculateur!T3)</f>
        <v>258.98427374339872</v>
      </c>
      <c r="E6" s="156">
        <f ca="1">MIN(C6,D6)</f>
        <v>258.98427374339872</v>
      </c>
      <c r="F6" s="156">
        <f ca="1">E6*B6</f>
        <v>257.45030989001657</v>
      </c>
      <c r="G6" s="156">
        <f ca="1">F6*(100%-'Données projet'!$C$24)*(100%-'Données projet'!$C$25)*(100%-'Données projet'!$C$26)*(100%-'Données projet'!$C$27)</f>
        <v>231.70527890101491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231.70527890101491</v>
      </c>
      <c r="M6" s="25">
        <f ca="1">L6/B6</f>
        <v>233.08584636905886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0.489645</v>
      </c>
      <c r="C7" s="156">
        <f ca="1">IF(OR('Données projet'!B10="",'Données projet'!C10="",'Données projet'!C10=0%),0,Calculateur!AN3)</f>
        <v>387.18736830550665</v>
      </c>
      <c r="D7" s="156">
        <f>IF(OR('Données projet'!B10="",'Données projet'!C10="",'Données projet'!C10=0%),0,Calculateur!AO3)</f>
        <v>312.32487363394125</v>
      </c>
      <c r="E7" s="156">
        <f t="shared" ref="E7:E15" ca="1" si="0">MIN(C7,D7)</f>
        <v>312.32487363394125</v>
      </c>
      <c r="F7" s="156">
        <f t="shared" ref="F7:F15" ca="1" si="1">E7*B7</f>
        <v>152.92831275049116</v>
      </c>
      <c r="G7" s="156">
        <f ca="1">F7*(100%-'Données projet'!$C$24)*(100%-'Données projet'!$C$25)*(100%-'Données projet'!$C$26)*(100%-'Données projet'!$C$27)</f>
        <v>137.63548147544205</v>
      </c>
      <c r="H7" s="164">
        <f>IF(OR('Données projet'!B10="",'Données projet'!C10="",'Données projet'!C10=0%),0,AVERAGE(Calculateur!$AX$3:$AX$33)*B7)</f>
        <v>1.3928526843567737</v>
      </c>
      <c r="I7" s="158">
        <f>H7*(100%-'Données projet'!$C$24)*(100%-'Données projet'!$C$25)*(100%-'Données projet'!$C$26)*(100%-'Données projet'!$C$27)</f>
        <v>1.2535674159210963</v>
      </c>
      <c r="J7" s="159">
        <f>IF(OR('Données projet'!B10="",'Données projet'!C10="",'Données projet'!C10=0%),0,SUM(Calculateur!$AQ$3:$AQ$33)*VLOOKUP('Données projet'!$B$10,Paramètres!$A$1:$I$89,9,0)*B7)</f>
        <v>14.10667245</v>
      </c>
      <c r="K7" s="160">
        <f>J7*(100%-'Données projet'!$C$24)*(100%-'Données projet'!$C$25)*(100%-'Données projet'!$C$26)*(100%-'Données projet'!$C$27)</f>
        <v>12.696005205000001</v>
      </c>
      <c r="L7" s="161">
        <f t="shared" ref="L7:L15" ca="1" si="2">G7+I7+K7</f>
        <v>151.58505409636314</v>
      </c>
      <c r="M7" s="25">
        <f ca="1">L7/B7</f>
        <v>309.58154192601404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1.30572</v>
      </c>
      <c r="C8" s="156">
        <f ca="1">IF(OR('Données projet'!B11="",'Données projet'!C11="",'Données projet'!C11=0%),0,Calculateur!BI3)</f>
        <v>343.31521637281833</v>
      </c>
      <c r="D8" s="156">
        <f>IF(OR('Données projet'!B11="",'Données projet'!C11="",'Données projet'!C11=0%),0,Calculateur!BJ3)</f>
        <v>179.67327892360623</v>
      </c>
      <c r="E8" s="156">
        <f t="shared" ca="1" si="0"/>
        <v>179.67327892360623</v>
      </c>
      <c r="F8" s="156">
        <f t="shared" ca="1" si="1"/>
        <v>234.60299375613113</v>
      </c>
      <c r="G8" s="156">
        <f ca="1">F8*(100%-'Données projet'!$C$24)*(100%-'Données projet'!$C$25)*(100%-'Données projet'!$C$26)*(100%-'Données projet'!$C$27)</f>
        <v>211.14269438051801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211.14269438051801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644.98161639663886</v>
      </c>
      <c r="G16" s="175">
        <f t="shared" ca="1" si="3"/>
        <v>580.48345475697499</v>
      </c>
      <c r="H16" s="176">
        <f t="shared" si="3"/>
        <v>1.3928526843567737</v>
      </c>
      <c r="I16" s="176">
        <f t="shared" si="3"/>
        <v>1.2535674159210963</v>
      </c>
      <c r="J16" s="177">
        <f t="shared" si="3"/>
        <v>14.10667245</v>
      </c>
      <c r="K16" s="177">
        <f t="shared" si="3"/>
        <v>12.696005205000001</v>
      </c>
      <c r="L16" s="178">
        <f t="shared" ca="1" si="3"/>
        <v>594.43302737789611</v>
      </c>
      <c r="M16" s="25">
        <f ca="1">L16/6.42</f>
        <v>92.590814233317147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90" zoomScaleNormal="90" workbookViewId="0">
      <selection activeCell="L24" sqref="L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1484.8125905134245</v>
      </c>
      <c r="U10" s="190">
        <f>'Données projet'!D9</f>
        <v>0.99407699999999999</v>
      </c>
      <c r="V10" s="189">
        <f>U10*T10</f>
        <v>1476.0180455398136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1929.6855002815696</v>
      </c>
      <c r="U11" s="190">
        <f>'Données projet'!D10</f>
        <v>0.489645</v>
      </c>
      <c r="V11" s="189">
        <f t="shared" ref="V11" si="0">U11*T11</f>
        <v>944.86085678536915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372.2305674265192</v>
      </c>
      <c r="U12" s="190">
        <f>'Données projet'!D11</f>
        <v>1.30572</v>
      </c>
      <c r="V12" s="189">
        <f t="shared" ref="V12:V19" si="1">U12*T12</f>
        <v>486.02889650015464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13244/2.79</f>
        <v>4746.9534050179209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2524/2.76</f>
        <v>914.49275362318849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1674/2.76</f>
        <v>606.52173913043487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f>502/2.76</f>
        <v>181.8840579710145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-14772.933255200984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182</v>
      </c>
      <c r="C25" s="206">
        <v>15</v>
      </c>
      <c r="D25" s="194">
        <f t="shared" si="2"/>
        <v>2730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-14772.933255200984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100</v>
      </c>
      <c r="C27" s="206">
        <v>18</v>
      </c>
      <c r="D27" s="194">
        <f t="shared" si="2"/>
        <v>1800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79</v>
      </c>
      <c r="C29" s="206">
        <v>20</v>
      </c>
      <c r="D29" s="194">
        <f t="shared" si="2"/>
        <v>1580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57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</v>
      </c>
      <c r="C31" s="206">
        <v>25</v>
      </c>
      <c r="D31" s="194">
        <f t="shared" si="2"/>
        <v>1975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64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71</v>
      </c>
      <c r="B33" s="193">
        <f>'Données projet'!D46</f>
        <v>91</v>
      </c>
      <c r="C33" s="206">
        <v>25</v>
      </c>
      <c r="D33" s="194">
        <f t="shared" si="2"/>
        <v>2275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79</v>
      </c>
      <c r="B35" s="193">
        <f>'Données projet'!D48</f>
        <v>88</v>
      </c>
      <c r="C35" s="206">
        <v>30</v>
      </c>
      <c r="D35" s="194">
        <f t="shared" si="2"/>
        <v>2640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87</v>
      </c>
      <c r="B37" s="193">
        <f>'Données projet'!D50</f>
        <v>89</v>
      </c>
      <c r="C37" s="206">
        <v>35</v>
      </c>
      <c r="D37" s="194">
        <f t="shared" si="2"/>
        <v>3115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88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94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95</v>
      </c>
      <c r="B40" s="193">
        <f>'Données projet'!D53</f>
        <v>269</v>
      </c>
      <c r="C40" s="206">
        <v>40</v>
      </c>
      <c r="D40" s="194">
        <f t="shared" si="2"/>
        <v>10760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96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105</v>
      </c>
      <c r="B42" s="193">
        <f>'Données projet'!D55</f>
        <v>357</v>
      </c>
      <c r="C42" s="206">
        <v>50</v>
      </c>
      <c r="D42" s="194">
        <f t="shared" si="2"/>
        <v>17850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92">
        <v>12</v>
      </c>
      <c r="D54" s="191">
        <f>B54*C54</f>
        <v>192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92">
        <v>12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92">
        <v>15</v>
      </c>
      <c r="D56" s="191">
        <f t="shared" si="4"/>
        <v>510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92">
        <v>17</v>
      </c>
      <c r="D57" s="191">
        <f t="shared" si="4"/>
        <v>697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92">
        <v>17</v>
      </c>
      <c r="D58" s="191">
        <f t="shared" si="4"/>
        <v>697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92">
        <v>17</v>
      </c>
      <c r="D59" s="191">
        <f t="shared" si="4"/>
        <v>901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92">
        <v>20</v>
      </c>
      <c r="D60" s="191">
        <f t="shared" si="4"/>
        <v>1060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92">
        <v>25</v>
      </c>
      <c r="D61" s="191">
        <f t="shared" si="4"/>
        <v>1950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92">
        <v>30</v>
      </c>
      <c r="D62" s="191">
        <f t="shared" si="4"/>
        <v>1950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92">
        <v>35</v>
      </c>
      <c r="D63" s="191">
        <f t="shared" si="4"/>
        <v>1295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92">
        <v>60</v>
      </c>
      <c r="D64" s="191">
        <f t="shared" si="4"/>
        <v>33300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92">
        <v>10</v>
      </c>
      <c r="D87" s="191">
        <f t="shared" si="6"/>
        <v>130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92">
        <v>10</v>
      </c>
      <c r="D88" s="191">
        <f t="shared" si="6"/>
        <v>140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92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92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92">
        <v>15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92">
        <v>15</v>
      </c>
      <c r="D92" s="191">
        <f t="shared" si="6"/>
        <v>210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92">
        <v>15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92">
        <v>20</v>
      </c>
      <c r="D94" s="191">
        <f t="shared" si="6"/>
        <v>280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92">
        <v>20</v>
      </c>
      <c r="D95" s="191">
        <f t="shared" si="6"/>
        <v>280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92">
        <v>20</v>
      </c>
      <c r="D96" s="191">
        <f t="shared" si="6"/>
        <v>280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92">
        <v>20</v>
      </c>
      <c r="D97" s="191">
        <f t="shared" si="6"/>
        <v>280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92">
        <v>20</v>
      </c>
      <c r="D98" s="191">
        <f t="shared" si="6"/>
        <v>280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92">
        <v>30</v>
      </c>
      <c r="D99" s="191">
        <f t="shared" si="6"/>
        <v>420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92">
        <v>30</v>
      </c>
      <c r="D100" s="191">
        <f t="shared" si="6"/>
        <v>390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92">
        <v>40</v>
      </c>
      <c r="D101" s="191">
        <f t="shared" si="6"/>
        <v>520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92">
        <v>50</v>
      </c>
      <c r="D102" s="191">
        <f t="shared" si="6"/>
        <v>650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92">
        <v>70</v>
      </c>
      <c r="D103" s="191">
        <f t="shared" si="6"/>
        <v>910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222</v>
      </c>
      <c r="C104" s="292">
        <v>150</v>
      </c>
      <c r="D104" s="191">
        <f t="shared" si="6"/>
        <v>33300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2025-01-15T14:02:28Z</dcterms:modified>
</cp:coreProperties>
</file>