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Lias d'Armagnac (32) - LAGUBEAU Jean\Doc fin\"/>
    </mc:Choice>
  </mc:AlternateContent>
  <xr:revisionPtr revIDLastSave="0" documentId="13_ncr:1_{C6F9625A-B7ED-4A08-99F6-85CBF414C795}" xr6:coauthVersionLast="36" xr6:coauthVersionMax="36" xr10:uidLastSave="{00000000-0000-0000-0000-000000000000}"/>
  <bookViews>
    <workbookView xWindow="0" yWindow="0" windowWidth="21570" windowHeight="9330" tabRatio="866" activeTab="1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  <sheet name="vérification" sheetId="8" state="hidden" r:id="rId8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8" l="1"/>
  <c r="K9" i="8"/>
  <c r="J9" i="8"/>
  <c r="I9" i="8"/>
  <c r="H9" i="8"/>
  <c r="G9" i="8"/>
  <c r="F9" i="8"/>
  <c r="E9" i="8"/>
  <c r="M7" i="8"/>
  <c r="M6" i="8"/>
  <c r="C3" i="8" l="1"/>
  <c r="L3" i="8"/>
  <c r="K3" i="8"/>
  <c r="J3" i="8"/>
  <c r="I3" i="8"/>
  <c r="H3" i="8"/>
  <c r="G3" i="8"/>
  <c r="F3" i="8"/>
  <c r="E3" i="8"/>
  <c r="D3" i="8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4" i="8" s="1"/>
  <c r="D11" i="1"/>
  <c r="E4" i="8" s="1"/>
  <c r="C4" i="8" l="1"/>
  <c r="I37" i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F4" i="8" s="1"/>
  <c r="D13" i="1"/>
  <c r="G4" i="8" s="1"/>
  <c r="D14" i="1"/>
  <c r="D15" i="1"/>
  <c r="D16" i="1"/>
  <c r="D17" i="1"/>
  <c r="D18" i="1"/>
  <c r="L4" i="8" s="1"/>
  <c r="U18" i="6" l="1"/>
  <c r="V18" i="6" s="1"/>
  <c r="K4" i="8"/>
  <c r="U17" i="6"/>
  <c r="V17" i="6" s="1"/>
  <c r="J4" i="8"/>
  <c r="U16" i="6"/>
  <c r="V16" i="6" s="1"/>
  <c r="I4" i="8"/>
  <c r="U15" i="6"/>
  <c r="V15" i="6" s="1"/>
  <c r="H4" i="8"/>
  <c r="M4" i="8"/>
  <c r="P66" i="6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2" i="2" a="1"/>
  <c r="BC32" i="2" s="1"/>
  <c r="BC84" i="2" a="1"/>
  <c r="BC84" i="2" s="1"/>
  <c r="BC31" i="2" a="1"/>
  <c r="BC31" i="2" s="1"/>
  <c r="BC143" i="2" a="1"/>
  <c r="BC143" i="2" s="1"/>
  <c r="BC7" i="2" a="1"/>
  <c r="BC7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17" i="2" l="1" a="1"/>
  <c r="BC117" i="2" s="1"/>
  <c r="BC151" i="2" a="1"/>
  <c r="BC151" i="2" s="1"/>
  <c r="BC65" i="2" a="1"/>
  <c r="BC65" i="2" s="1"/>
  <c r="BC114" i="2" a="1"/>
  <c r="BC114" i="2" s="1"/>
  <c r="BC185" i="2" a="1"/>
  <c r="BC185" i="2" s="1"/>
  <c r="BC164" i="2" a="1"/>
  <c r="BC164" i="2" s="1"/>
  <c r="BC82" i="2" a="1"/>
  <c r="BC82" i="2" s="1"/>
  <c r="BC192" i="2" a="1"/>
  <c r="BC192" i="2" s="1"/>
  <c r="BC47" i="2" a="1"/>
  <c r="BC47" i="2" s="1"/>
  <c r="BC55" i="2" a="1"/>
  <c r="BC55" i="2" s="1"/>
  <c r="BC130" i="2" a="1"/>
  <c r="BC130" i="2" s="1"/>
  <c r="BC58" i="2" a="1"/>
  <c r="BC58" i="2" s="1"/>
  <c r="AH90" i="2" a="1"/>
  <c r="AH90" i="2" s="1"/>
  <c r="AH62" i="2" a="1"/>
  <c r="AH62" i="2" s="1"/>
  <c r="BC126" i="2" a="1"/>
  <c r="BC126" i="2" s="1"/>
  <c r="BC68" i="2" a="1"/>
  <c r="BC68" i="2" s="1"/>
  <c r="BC34" i="2" a="1"/>
  <c r="BC34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D9" i="8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95" i="2" l="1"/>
  <c r="BI52" i="2"/>
  <c r="BI117" i="2"/>
  <c r="BI47" i="2"/>
  <c r="BI129" i="2"/>
  <c r="BI79" i="2"/>
  <c r="BI116" i="2"/>
  <c r="BI66" i="2"/>
  <c r="BI103" i="2"/>
  <c r="BI166" i="2"/>
  <c r="BI174" i="2"/>
  <c r="BI39" i="2"/>
  <c r="BI107" i="2"/>
  <c r="BI8" i="2"/>
  <c r="BI146" i="2"/>
  <c r="BI161" i="2"/>
  <c r="BI7" i="2"/>
  <c r="BI53" i="2"/>
  <c r="BI26" i="2"/>
  <c r="BI27" i="2"/>
  <c r="BI104" i="2"/>
  <c r="BI151" i="2"/>
  <c r="BI17" i="2"/>
  <c r="BI40" i="2"/>
  <c r="BI134" i="2"/>
  <c r="BI185" i="2"/>
  <c r="BI180" i="2"/>
  <c r="BI168" i="2"/>
  <c r="BI87" i="2"/>
  <c r="BI114" i="2"/>
  <c r="BI75" i="2"/>
  <c r="BI13" i="2"/>
  <c r="BI177" i="2"/>
  <c r="BI65" i="2"/>
  <c r="BI135" i="2"/>
  <c r="BI19" i="2"/>
  <c r="BI70" i="2"/>
  <c r="BI41" i="2"/>
  <c r="BI120" i="2"/>
  <c r="BI31" i="2"/>
  <c r="BI83" i="2"/>
  <c r="BI145" i="2"/>
  <c r="BI51" i="2"/>
  <c r="BI14" i="2"/>
  <c r="BI63" i="2"/>
  <c r="BI186" i="2"/>
  <c r="BI62" i="2"/>
  <c r="BI123" i="2"/>
  <c r="BI3" i="2"/>
  <c r="C8" i="4" s="1"/>
  <c r="E8" i="4" s="1"/>
  <c r="F8" i="4" s="1"/>
  <c r="G8" i="4" s="1"/>
  <c r="L8" i="4" s="1"/>
  <c r="BI37" i="2"/>
  <c r="BI100" i="2"/>
  <c r="BI163" i="2"/>
  <c r="BI60" i="2"/>
  <c r="BI121" i="2"/>
  <c r="BI85" i="2"/>
  <c r="BI24" i="2"/>
  <c r="BI183" i="2"/>
  <c r="BI88" i="2"/>
  <c r="BI156" i="2"/>
  <c r="BI169" i="2"/>
  <c r="BI76" i="2"/>
  <c r="BI6" i="2"/>
  <c r="BI101" i="2"/>
  <c r="BI138" i="2"/>
  <c r="BI201" i="2"/>
  <c r="BI131" i="2"/>
  <c r="BI157" i="2"/>
  <c r="BI20" i="2"/>
  <c r="BI58" i="2"/>
  <c r="BI23" i="2"/>
  <c r="BI126" i="2"/>
  <c r="BI172" i="2"/>
  <c r="BI68" i="2"/>
  <c r="BI109" i="2"/>
  <c r="BI12" i="2"/>
  <c r="BI32" i="2"/>
  <c r="BI55" i="2"/>
  <c r="BI71" i="2"/>
  <c r="BI142" i="2"/>
  <c r="BI44" i="2"/>
  <c r="BI61" i="2"/>
  <c r="BI69" i="2"/>
  <c r="BI90" i="2"/>
  <c r="BI22" i="2"/>
  <c r="BI45" i="2"/>
  <c r="BI132" i="2"/>
  <c r="BI159" i="2"/>
  <c r="BI59" i="2"/>
  <c r="BI48" i="2"/>
  <c r="BI67" i="2"/>
  <c r="BI33" i="2"/>
  <c r="BI182" i="2"/>
  <c r="BI200" i="2"/>
  <c r="BI46" i="2"/>
  <c r="BI141" i="2"/>
  <c r="BI130" i="2"/>
  <c r="BI196" i="2"/>
  <c r="BI113" i="2"/>
  <c r="BI49" i="2"/>
  <c r="BI122" i="2"/>
  <c r="BI34" i="2"/>
  <c r="BI77" i="2"/>
  <c r="BI93" i="2"/>
  <c r="BI140" i="2"/>
  <c r="BI36" i="2"/>
  <c r="BI192" i="2"/>
  <c r="BI38" i="2"/>
  <c r="BI194" i="2"/>
  <c r="BI50" i="2"/>
  <c r="BI158" i="2"/>
  <c r="BI127" i="2"/>
  <c r="BI28" i="2"/>
  <c r="BI184" i="2"/>
  <c r="BI128" i="2"/>
  <c r="BI80" i="2"/>
  <c r="BI119" i="2"/>
  <c r="BI165" i="2"/>
  <c r="BI91" i="2"/>
  <c r="BI154" i="2"/>
  <c r="BI74" i="2"/>
  <c r="BI111" i="2"/>
  <c r="BI115" i="2"/>
  <c r="BI96" i="2"/>
  <c r="BI199" i="2"/>
  <c r="BI136" i="2"/>
  <c r="BI72" i="2"/>
  <c r="BI9" i="2"/>
  <c r="BI82" i="2"/>
  <c r="BI195" i="2"/>
  <c r="BI84" i="2"/>
  <c r="BI108" i="2"/>
  <c r="BI153" i="2"/>
  <c r="BI30" i="2"/>
  <c r="BI16" i="2"/>
  <c r="BI11" i="2"/>
  <c r="BI193" i="2"/>
  <c r="BI118" i="2"/>
  <c r="BI102" i="2"/>
  <c r="BI178" i="2"/>
  <c r="BI170" i="2"/>
  <c r="BI81" i="2"/>
  <c r="BI190" i="2"/>
  <c r="BI147" i="2"/>
  <c r="BI10" i="2"/>
  <c r="BI148" i="2"/>
  <c r="BI149" i="2"/>
  <c r="BI89" i="2"/>
  <c r="BI137" i="2"/>
  <c r="BI164" i="2"/>
  <c r="BI99" i="2"/>
  <c r="BI203" i="2"/>
  <c r="BI94" i="2"/>
  <c r="BI97" i="2"/>
  <c r="BI197" i="2"/>
  <c r="BI110" i="2"/>
  <c r="BI143" i="2"/>
  <c r="BI139" i="2"/>
  <c r="BI42" i="2"/>
  <c r="BI181" i="2"/>
  <c r="BI124" i="2"/>
  <c r="BI105" i="2"/>
  <c r="BI112" i="2"/>
  <c r="BI18" i="2"/>
  <c r="BI35" i="2"/>
  <c r="BI162" i="2"/>
  <c r="BI175" i="2"/>
  <c r="BI21" i="2"/>
  <c r="BI179" i="2"/>
  <c r="BI15" i="2"/>
  <c r="BI29" i="2"/>
  <c r="BI98" i="2"/>
  <c r="BI191" i="2"/>
  <c r="BI25" i="2"/>
  <c r="BI73" i="2"/>
  <c r="BI54" i="2"/>
  <c r="BI4" i="2"/>
  <c r="BI125" i="2"/>
  <c r="BI106" i="2"/>
  <c r="BI152" i="2"/>
  <c r="BI171" i="2"/>
  <c r="BI144" i="2"/>
  <c r="BI160" i="2"/>
  <c r="BI155" i="2"/>
  <c r="BI202" i="2"/>
  <c r="BI56" i="2"/>
  <c r="BI150" i="2"/>
  <c r="BI5" i="2"/>
  <c r="BI64" i="2"/>
  <c r="BI43" i="2"/>
  <c r="BI187" i="2"/>
  <c r="BI198" i="2"/>
  <c r="BI176" i="2"/>
  <c r="BI133" i="2"/>
  <c r="BI92" i="2"/>
  <c r="BI78" i="2"/>
  <c r="BI86" i="2"/>
  <c r="BI188" i="2"/>
  <c r="BI173" i="2"/>
  <c r="BI189" i="2"/>
  <c r="BI57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C9" i="8" s="1"/>
  <c r="F16" i="4"/>
  <c r="M9" i="8" l="1"/>
  <c r="BS161" i="2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<sst xmlns="http://schemas.openxmlformats.org/spreadsheetml/2006/main" count="1181" uniqueCount="332">
  <si>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</si>
  <si>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</si>
  <si>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</si>
  <si>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</si>
  <si>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</si>
  <si>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</si>
  <si>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</si>
  <si>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</si>
  <si>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</si>
  <si>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</si>
  <si>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</si>
  <si>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</si>
  <si>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</si>
  <si>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</si>
  <si>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</si>
  <si>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</si>
  <si>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</si>
  <si>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</si>
  <si>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</si>
  <si>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</si>
  <si>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</si>
  <si>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</si>
  <si>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</si>
  <si>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</si>
  <si>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</si>
  <si>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</si>
  <si>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</si>
  <si>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</si>
  <si>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</si>
  <si>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</si>
  <si>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</si>
  <si>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</si>
  <si>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</si>
  <si>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</si>
  <si>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</si>
  <si>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</si>
  <si>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</si>
  <si>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</si>
  <si>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</si>
  <si>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</si>
  <si>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</si>
  <si>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</si>
  <si>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</si>
  <si>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</si>
  <si>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</si>
  <si>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</si>
  <si>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</si>
  <si>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</si>
  <si>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</si>
  <si>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</si>
  <si>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</si>
  <si>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</si>
  <si>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</si>
  <si>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</si>
  <si>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</si>
  <si>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</si>
  <si>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</si>
  <si>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</si>
  <si>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</si>
  <si>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</si>
  <si>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</si>
  <si>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</si>
  <si>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</si>
  <si>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</si>
  <si>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</si>
  <si>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</si>
  <si>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</si>
  <si>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</si>
  <si>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</si>
  <si>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</si>
  <si>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</si>
  <si>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</si>
  <si>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</si>
  <si>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</si>
  <si>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</si>
  <si>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</si>
  <si>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</si>
  <si>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</si>
  <si>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</si>
  <si>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</si>
  <si>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</si>
  <si>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</si>
  <si>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</si>
  <si>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</si>
  <si>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</si>
  <si>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</si>
  <si>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</si>
  <si>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</si>
  <si>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</si>
  <si>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</si>
  <si>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</si>
  <si>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</si>
  <si>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</si>
  <si>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</si>
  <si>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</si>
  <si>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</si>
  <si>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</si>
  <si>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</si>
  <si>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</si>
  <si>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</si>
  <si>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</si>
  <si>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</si>
  <si>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</si>
  <si>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</si>
  <si>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</si>
  <si>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</si>
  <si>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</si>
  <si>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</si>
  <si>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</si>
  <si>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</si>
  <si>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</si>
  <si>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</si>
  <si>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</si>
  <si>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</si>
  <si>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</si>
  <si>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</si>
  <si>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</si>
  <si>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</si>
  <si>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</si>
  <si>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</si>
  <si>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</si>
  <si>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</si>
  <si>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</si>
  <si>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</si>
  <si>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</si>
  <si>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</si>
  <si>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</si>
  <si>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</si>
  <si>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</si>
  <si>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</si>
  <si>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</si>
  <si>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</si>
  <si>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</si>
  <si>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</si>
  <si>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</si>
  <si>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</si>
  <si>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</si>
  <si>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</si>
  <si>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</si>
  <si>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</si>
  <si>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</si>
  <si>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</si>
  <si>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</si>
  <si>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</si>
  <si>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</si>
  <si>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</si>
  <si>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</si>
  <si>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</si>
  <si>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</si>
  <si>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</si>
  <si>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</si>
  <si>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</si>
  <si>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</si>
  <si>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</si>
  <si>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</si>
  <si>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</si>
  <si>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</si>
  <si>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</si>
  <si>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</si>
  <si>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</si>
  <si>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</si>
  <si>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</si>
  <si>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</si>
  <si>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</si>
  <si>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</si>
  <si>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</si>
  <si>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</si>
  <si>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</si>
  <si>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</si>
  <si>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</si>
  <si>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</si>
  <si>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</si>
  <si>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</si>
  <si>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</si>
  <si>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</si>
  <si>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</si>
  <si>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</si>
  <si>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</si>
  <si>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</si>
  <si>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</si>
  <si>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</si>
  <si>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</si>
  <si>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</si>
  <si>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</si>
  <si>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</si>
  <si>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</si>
  <si>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</si>
  <si>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</si>
  <si>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</si>
  <si>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</si>
  <si>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</si>
  <si>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</si>
  <si>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</si>
  <si>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</si>
  <si>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</si>
  <si>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</si>
  <si>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</si>
  <si>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</si>
  <si>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</si>
  <si>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</si>
  <si>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</si>
  <si>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</si>
  <si>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</si>
  <si>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</si>
  <si>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</si>
  <si>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</si>
  <si>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</si>
  <si>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</si>
  <si>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</si>
  <si>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</si>
  <si>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</si>
  <si>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</si>
  <si>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</si>
  <si>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</si>
  <si>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</si>
  <si>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</si>
  <si>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</si>
  <si>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</si>
  <si>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</si>
  <si>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</si>
  <si>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</si>
  <si>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</si>
  <si>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</si>
  <si>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</si>
  <si>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</si>
  <si>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</si>
  <si>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</si>
  <si>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</si>
  <si>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</si>
  <si>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</si>
  <si>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</si>
  <si>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</si>
  <si>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</si>
  <si>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</si>
  <si>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</si>
  <si>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</si>
  <si>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</si>
  <si>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</si>
  <si>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</si>
  <si>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</si>
  <si>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</si>
  <si>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</si>
  <si>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</si>
  <si>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</si>
  <si>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</si>
  <si>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</si>
  <si>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</si>
  <si>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</si>
  <si>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</si>
  <si>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</si>
  <si>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</si>
  <si>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</si>
  <si>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</si>
  <si>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</si>
  <si>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</si>
  <si>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</si>
  <si>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</si>
  <si>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</si>
  <si>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</si>
  <si>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</si>
  <si>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</si>
  <si>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</si>
  <si>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</si>
  <si>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</si>
  <si>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</si>
  <si>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</si>
  <si>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</si>
  <si>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</si>
  <si>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</si>
  <si>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</si>
  <si>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</si>
  <si>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</si>
  <si>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</si>
  <si>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</si>
  <si>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</si>
  <si>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</si>
  <si>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</si>
  <si>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</si>
  <si>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</si>
  <si>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</si>
  <si>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</si>
  <si>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</si>
  <si>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</si>
  <si>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</si>
  <si>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</si>
  <si>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</si>
  <si>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</si>
  <si>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</si>
  <si>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</si>
  <si>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</si>
  <si>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</si>
  <si>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</si>
  <si>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</si>
  <si>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</si>
  <si>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</si>
  <si>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</si>
  <si>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</si>
  <si>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</si>
  <si>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</si>
  <si>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</si>
  <si>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</si>
  <si>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</si>
  <si>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</si>
  <si>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</si>
  <si>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</si>
  <si>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</si>
  <si>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</si>
  <si>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</si>
  <si>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</si>
  <si>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</si>
  <si>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</si>
  <si>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</si>
  <si>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</si>
  <si>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</si>
  <si>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</si>
  <si>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</si>
  <si>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</si>
  <si>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</si>
  <si>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</si>
  <si>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</si>
  <si>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</si>
  <si>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</si>
  <si>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</si>
  <si>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</si>
  <si>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Répartition de essences</t>
  </si>
  <si>
    <t>Essences prévues</t>
  </si>
  <si>
    <t>Surfaces doc 8</t>
  </si>
  <si>
    <t>Essence planté</t>
  </si>
  <si>
    <t>Total</t>
  </si>
  <si>
    <t>Nombre de plants</t>
  </si>
  <si>
    <t>Densité essence objectif</t>
  </si>
  <si>
    <t>écart 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</si>
</sst>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0&quot; plants/ha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sz val="11"/>
      <color rgb="FFFF0000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0" fillId="21" borderId="1" xfId="3" applyFont="1" applyFill="1" applyBorder="1" applyAlignment="1">
      <alignment horizontal="center" vertical="center"/>
    </xf>
    <xf numFmtId="0" fontId="10" fillId="21" borderId="1" xfId="0" applyFont="1" applyFill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43" fontId="10" fillId="21" borderId="4" xfId="3" applyFont="1" applyFill="1" applyBorder="1" applyAlignment="1">
      <alignment horizontal="center" vertical="center"/>
    </xf>
    <xf numFmtId="0" fontId="10" fillId="21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21" borderId="54" xfId="0" applyFont="1" applyFill="1" applyBorder="1" applyAlignment="1">
      <alignment horizontal="center" vertical="center"/>
    </xf>
    <xf numFmtId="2" fontId="10" fillId="21" borderId="46" xfId="0" applyNumberFormat="1" applyFont="1" applyFill="1" applyBorder="1" applyAlignment="1">
      <alignment horizontal="center" vertical="center"/>
    </xf>
    <xf numFmtId="2" fontId="0" fillId="5" borderId="1" xfId="0" applyNumberFormat="1" applyFill="1" applyBorder="1" applyAlignment="1">
      <alignment horizontal="center" vertical="center"/>
    </xf>
    <xf numFmtId="2" fontId="0" fillId="5" borderId="18" xfId="0" applyNumberFormat="1" applyFill="1" applyBorder="1" applyAlignment="1">
      <alignment horizontal="center" vertical="center"/>
    </xf>
    <xf numFmtId="0" fontId="0" fillId="22" borderId="0" xfId="0" applyFill="1"/>
    <xf numFmtId="2" fontId="0" fillId="22" borderId="0" xfId="0" applyNumberFormat="1" applyFill="1"/>
    <xf numFmtId="2" fontId="11" fillId="5" borderId="55" xfId="0" applyNumberFormat="1" applyFont="1" applyFill="1" applyBorder="1" applyAlignment="1">
      <alignment horizontal="center" vertical="center"/>
    </xf>
    <xf numFmtId="1" fontId="10" fillId="23" borderId="55" xfId="0" applyNumberFormat="1" applyFont="1" applyFill="1" applyBorder="1" applyAlignment="1">
      <alignment horizontal="center" vertical="center"/>
    </xf>
    <xf numFmtId="2" fontId="10" fillId="23" borderId="55" xfId="0" applyNumberFormat="1" applyFont="1" applyFill="1" applyBorder="1" applyAlignment="1">
      <alignment horizontal="center" vertical="center"/>
    </xf>
    <xf numFmtId="0" fontId="10" fillId="21" borderId="56" xfId="0" applyFont="1" applyFill="1" applyBorder="1" applyAlignment="1">
      <alignment horizontal="center" vertical="center"/>
    </xf>
    <xf numFmtId="0" fontId="10" fillId="21" borderId="55" xfId="0" applyFont="1" applyFill="1" applyBorder="1" applyAlignment="1">
      <alignment horizontal="center" vertical="center"/>
    </xf>
    <xf numFmtId="0" fontId="10" fillId="21" borderId="57" xfId="0" applyFont="1" applyFill="1" applyBorder="1" applyAlignment="1">
      <alignment horizontal="center" vertical="center"/>
    </xf>
    <xf numFmtId="43" fontId="32" fillId="5" borderId="1" xfId="3" applyFont="1" applyFill="1" applyBorder="1" applyAlignment="1">
      <alignment horizontal="center" vertical="center"/>
    </xf>
    <xf numFmtId="43" fontId="32" fillId="5" borderId="55" xfId="3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22" fillId="0" borderId="42" xfId="0" applyFont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</cellXfs>
  <cellStyles count="4">
    <cellStyle name="Lien hypertexte" xfId="2" builtinId="8"/>
    <cellStyle name="Milliers" xfId="3" builtinId="3"/>
    <cellStyle name="Normal" xfId="0" builtinId="0"/>
    <cellStyle name="Pourcentage" xfId="1" builtinId="5"/>
  </cellStyles>
  <dxfs count="1">
    <dxf>
      <font>
        <color theme="4" tint="-0.24994659260841701"/>
      </font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vérification!$B$6</c:f>
              <c:strCache>
                <c:ptCount val="1"/>
                <c:pt idx="0">
                  <c:v>Nombre de plants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8B1-4490-BA8A-FFBB67B6943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8B1-4490-BA8A-FFBB67B6943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8B1-4490-BA8A-FFBB67B6943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8B1-4490-BA8A-FFBB67B6943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8B1-4490-BA8A-FFBB67B6943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8B1-4490-BA8A-FFBB67B6943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8B1-4490-BA8A-FFBB67B6943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8B1-4490-BA8A-FFBB67B6943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8B1-4490-BA8A-FFBB67B6943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8B1-4490-BA8A-FFBB67B69430}"/>
              </c:ext>
            </c:extLst>
          </c:dPt>
          <c:cat>
            <c:numRef>
              <c:f>vérification!$C$5:$L$5</c:f>
              <c:numCache>
                <c:formatCode>General</c:formatCode>
                <c:ptCount val="10"/>
              </c:numCache>
            </c:numRef>
          </c:cat>
          <c:val>
            <c:numRef>
              <c:f>vérification!$C$6:$L$6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A5E7-4173-BF31-C2A9A3407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1.8258930491935279</c:v>
                </c:pt>
                <c:pt idx="2">
                  <c:v>2.4977385242212216</c:v>
                </c:pt>
                <c:pt idx="3">
                  <c:v>3.4178523305120589</c:v>
                </c:pt>
                <c:pt idx="4">
                  <c:v>4.6783466399974385</c:v>
                </c:pt>
                <c:pt idx="5">
                  <c:v>6.4056369575739565</c:v>
                </c:pt>
                <c:pt idx="6">
                  <c:v>8.7732611778088216</c:v>
                </c:pt>
                <c:pt idx="7">
                  <c:v>12.019504300297685</c:v>
                </c:pt>
                <c:pt idx="8">
                  <c:v>16.471635585304739</c:v>
                </c:pt>
                <c:pt idx="9">
                  <c:v>22.579246009800439</c:v>
                </c:pt>
                <c:pt idx="10">
                  <c:v>30.960112307522653</c:v>
                </c:pt>
                <c:pt idx="11">
                  <c:v>42.463307089525856</c:v>
                </c:pt>
                <c:pt idx="12">
                  <c:v>58.256056955759391</c:v>
                </c:pt>
                <c:pt idx="13">
                  <c:v>79.943307551234682</c:v>
                </c:pt>
                <c:pt idx="14">
                  <c:v>109.73234203049547</c:v>
                </c:pt>
                <c:pt idx="15">
                  <c:v>150.65947039878452</c:v>
                </c:pt>
                <c:pt idx="16">
                  <c:v>206.90224889168337</c:v>
                </c:pt>
                <c:pt idx="17">
                  <c:v>284.20957336368934</c:v>
                </c:pt>
                <c:pt idx="18">
                  <c:v>390.49424676672487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1.8184526960384002</c:v>
                </c:pt>
                <c:pt idx="2">
                  <c:v>2.4920417790028995</c:v>
                </c:pt>
                <c:pt idx="3">
                  <c:v>3.4162125513753252</c:v>
                </c:pt>
                <c:pt idx="4">
                  <c:v>4.6845595543810949</c:v>
                </c:pt>
                <c:pt idx="5">
                  <c:v>6.4257669064276266</c:v>
                </c:pt>
                <c:pt idx="6">
                  <c:v>8.8168093607116571</c:v>
                </c:pt>
                <c:pt idx="7">
                  <c:v>12.101135533850124</c:v>
                </c:pt>
                <c:pt idx="8">
                  <c:v>16.613719065214905</c:v>
                </c:pt>
                <c:pt idx="9">
                  <c:v>22.815579106371914</c:v>
                </c:pt>
                <c:pt idx="10">
                  <c:v>31.341359406631593</c:v>
                </c:pt>
                <c:pt idx="11">
                  <c:v>43.06491912874165</c:v>
                </c:pt>
                <c:pt idx="12">
                  <c:v>59.189771807435285</c:v>
                </c:pt>
                <c:pt idx="13">
                  <c:v>81.373809760195016</c:v>
                </c:pt>
                <c:pt idx="14">
                  <c:v>111.90134375280623</c:v>
                </c:pt>
                <c:pt idx="15">
                  <c:v>153.92045057408788</c:v>
                </c:pt>
                <c:pt idx="16">
                  <c:v>211.77047806632274</c:v>
                </c:pt>
                <c:pt idx="17">
                  <c:v>291.43403222279113</c:v>
                </c:pt>
                <c:pt idx="18">
                  <c:v>401.16086562228833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495300</xdr:colOff>
      <xdr:row>14</xdr:row>
      <xdr:rowOff>71437</xdr:rowOff>
    </xdr:from>
    <xdr:to>
      <xdr:col>8</xdr:col>
      <xdr:colOff>609600</xdr:colOff>
      <xdr:row>28</xdr:row>
      <xdr:rowOff>147637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7950EFA-E2B6-4DC4-9579-18E197079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312" t="s">
        <v>291</v>
      </c>
      <c r="C12" s="312"/>
      <c r="D12" s="312"/>
      <c r="E12" s="312"/>
      <c r="F12" s="312"/>
      <c r="G12" s="312"/>
      <c r="H12" s="312"/>
      <c r="I12" s="312"/>
      <c r="J12" s="312"/>
      <c r="K12" s="312"/>
      <c r="L12" s="312"/>
      <c r="M12" s="312"/>
    </row>
    <row r="13" spans="2:13" ht="15" customHeight="1" x14ac:dyDescent="0.25">
      <c r="B13" s="312"/>
      <c r="C13" s="312"/>
      <c r="D13" s="312"/>
      <c r="E13" s="312"/>
      <c r="F13" s="312"/>
      <c r="G13" s="312"/>
      <c r="H13" s="312"/>
      <c r="I13" s="312"/>
      <c r="J13" s="312"/>
      <c r="K13" s="312"/>
      <c r="L13" s="312"/>
      <c r="M13" s="312"/>
    </row>
    <row r="14" spans="2:13" ht="15" customHeight="1" x14ac:dyDescent="0.25">
      <c r="B14" s="312"/>
      <c r="C14" s="312"/>
      <c r="D14" s="312"/>
      <c r="E14" s="312"/>
      <c r="F14" s="312"/>
      <c r="G14" s="312"/>
      <c r="H14" s="312"/>
      <c r="I14" s="312"/>
      <c r="J14" s="312"/>
      <c r="K14" s="312"/>
      <c r="L14" s="312"/>
      <c r="M14" s="312"/>
    </row>
    <row r="15" spans="2:13" ht="18.75" customHeight="1" x14ac:dyDescent="0.25">
      <c r="B15" s="312"/>
      <c r="C15" s="312"/>
      <c r="D15" s="312"/>
      <c r="E15" s="312"/>
      <c r="F15" s="312"/>
      <c r="G15" s="312"/>
      <c r="H15" s="312"/>
      <c r="I15" s="312"/>
      <c r="J15" s="312"/>
      <c r="K15" s="312"/>
      <c r="L15" s="312"/>
      <c r="M15" s="312"/>
    </row>
    <row r="16" spans="2:13" ht="18.75" customHeight="1" x14ac:dyDescent="0.25">
      <c r="B16" s="312"/>
      <c r="C16" s="312"/>
      <c r="D16" s="312"/>
      <c r="E16" s="312"/>
      <c r="F16" s="312"/>
      <c r="G16" s="312"/>
      <c r="H16" s="312"/>
      <c r="I16" s="312"/>
      <c r="J16" s="312"/>
      <c r="K16" s="312"/>
      <c r="L16" s="312"/>
      <c r="M16" s="312"/>
    </row>
    <row r="18" spans="2:13" ht="12" customHeight="1" x14ac:dyDescent="0.25">
      <c r="B18" s="312" t="s">
        <v>292</v>
      </c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</row>
    <row r="19" spans="2:13" ht="12" customHeight="1" x14ac:dyDescent="0.25">
      <c r="B19" s="312"/>
      <c r="C19" s="312"/>
      <c r="D19" s="312"/>
      <c r="E19" s="312"/>
      <c r="F19" s="312"/>
      <c r="G19" s="312"/>
      <c r="H19" s="312"/>
      <c r="I19" s="312"/>
      <c r="J19" s="312"/>
      <c r="K19" s="312"/>
      <c r="L19" s="312"/>
      <c r="M19" s="312"/>
    </row>
    <row r="20" spans="2:13" ht="12" customHeight="1" x14ac:dyDescent="0.25">
      <c r="B20" s="312"/>
      <c r="C20" s="312"/>
      <c r="D20" s="312"/>
      <c r="E20" s="312"/>
      <c r="F20" s="312"/>
      <c r="G20" s="312"/>
      <c r="H20" s="312"/>
      <c r="I20" s="312"/>
      <c r="J20" s="312"/>
      <c r="K20" s="312"/>
      <c r="L20" s="312"/>
      <c r="M20" s="312"/>
    </row>
    <row r="21" spans="2:13" ht="12" customHeight="1" x14ac:dyDescent="0.25">
      <c r="B21" s="312"/>
      <c r="C21" s="312"/>
      <c r="D21" s="312"/>
      <c r="E21" s="312"/>
      <c r="F21" s="312"/>
      <c r="G21" s="312"/>
      <c r="H21" s="312"/>
      <c r="I21" s="312"/>
      <c r="J21" s="312"/>
      <c r="K21" s="312"/>
      <c r="L21" s="312"/>
      <c r="M21" s="312"/>
    </row>
    <row r="22" spans="2:13" ht="12" customHeight="1" x14ac:dyDescent="0.25">
      <c r="B22" s="312"/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</row>
    <row r="23" spans="2:13" ht="12" customHeight="1" x14ac:dyDescent="0.25">
      <c r="B23" s="312"/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</row>
    <row r="24" spans="2:13" ht="12" customHeight="1" x14ac:dyDescent="0.25">
      <c r="B24" s="312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</row>
    <row r="25" spans="2:13" ht="12" customHeight="1" x14ac:dyDescent="0.25"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2:13" ht="12" customHeight="1" x14ac:dyDescent="0.25">
      <c r="B26" s="312"/>
      <c r="C26" s="312"/>
      <c r="D26" s="312"/>
      <c r="E26" s="312"/>
      <c r="F26" s="312"/>
      <c r="G26" s="312"/>
      <c r="H26" s="312"/>
      <c r="I26" s="312"/>
      <c r="J26" s="312"/>
      <c r="K26" s="312"/>
      <c r="L26" s="312"/>
      <c r="M26" s="312"/>
    </row>
    <row r="27" spans="2:13" ht="12" customHeight="1" x14ac:dyDescent="0.25">
      <c r="B27" s="312"/>
      <c r="C27" s="312"/>
      <c r="D27" s="312"/>
      <c r="E27" s="312"/>
      <c r="F27" s="312"/>
      <c r="G27" s="312"/>
      <c r="H27" s="312"/>
      <c r="I27" s="312"/>
      <c r="J27" s="312"/>
      <c r="K27" s="312"/>
      <c r="L27" s="312"/>
      <c r="M27" s="312"/>
    </row>
    <row r="28" spans="2:13" ht="12" customHeight="1" x14ac:dyDescent="0.25">
      <c r="B28" s="312"/>
      <c r="C28" s="312"/>
      <c r="D28" s="312"/>
      <c r="E28" s="312"/>
      <c r="F28" s="312"/>
      <c r="G28" s="312"/>
      <c r="H28" s="312"/>
      <c r="I28" s="312"/>
      <c r="J28" s="312"/>
      <c r="K28" s="312"/>
      <c r="L28" s="312"/>
      <c r="M28" s="312"/>
    </row>
    <row r="29" spans="2:13" ht="12" customHeight="1" x14ac:dyDescent="0.25">
      <c r="B29" s="312"/>
      <c r="C29" s="312"/>
      <c r="D29" s="312"/>
      <c r="E29" s="312"/>
      <c r="F29" s="312"/>
      <c r="G29" s="312"/>
      <c r="H29" s="312"/>
      <c r="I29" s="312"/>
      <c r="J29" s="312"/>
      <c r="K29" s="312"/>
      <c r="L29" s="312"/>
      <c r="M29" s="312"/>
    </row>
    <row r="30" spans="2:13" ht="12" customHeight="1" x14ac:dyDescent="0.25">
      <c r="B30" s="312"/>
      <c r="C30" s="312"/>
      <c r="D30" s="312"/>
      <c r="E30" s="312"/>
      <c r="F30" s="312"/>
      <c r="G30" s="312"/>
      <c r="H30" s="312"/>
      <c r="I30" s="312"/>
      <c r="J30" s="312"/>
      <c r="K30" s="312"/>
      <c r="L30" s="312"/>
      <c r="M30" s="312"/>
    </row>
    <row r="31" spans="2:13" ht="12" customHeight="1" x14ac:dyDescent="0.25">
      <c r="B31" s="312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G23" sqref="G2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317" t="s">
        <v>190</v>
      </c>
      <c r="D1" s="317"/>
      <c r="E1" s="31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18" t="s">
        <v>192</v>
      </c>
      <c r="C3" s="319"/>
      <c r="D3" s="319"/>
      <c r="E3" s="319"/>
      <c r="F3" s="32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24" t="s">
        <v>231</v>
      </c>
      <c r="B5" s="324"/>
      <c r="C5" s="26">
        <v>12.9</v>
      </c>
      <c r="D5" s="325" t="s">
        <v>229</v>
      </c>
      <c r="E5" s="32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22" t="s">
        <v>226</v>
      </c>
      <c r="B7" s="32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0.77500000000000002</v>
      </c>
      <c r="D9" s="36">
        <f t="shared" ref="D9:D18" si="0">C9*$C$5</f>
        <v>9.9975000000000005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127</v>
      </c>
      <c r="C10" s="35">
        <v>3.7999999999999999E-2</v>
      </c>
      <c r="D10" s="36">
        <f t="shared" si="0"/>
        <v>0.49020000000000002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112</v>
      </c>
      <c r="C11" s="35">
        <v>0.186</v>
      </c>
      <c r="D11" s="36">
        <f t="shared" si="0"/>
        <v>2.3994</v>
      </c>
      <c r="E11" s="37">
        <v>18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0.99900000000000011</v>
      </c>
      <c r="D19" s="41">
        <f>SUM(D9:D18)</f>
        <v>12.8871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21" t="s">
        <v>232</v>
      </c>
      <c r="B22" s="32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23" t="s">
        <v>227</v>
      </c>
      <c r="B30" s="32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313" t="s">
        <v>186</v>
      </c>
      <c r="D34" s="313"/>
      <c r="E34" s="314" t="s">
        <v>187</v>
      </c>
      <c r="F34" s="315"/>
      <c r="G34" s="315"/>
      <c r="H34" s="31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I-45/51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313" t="s">
        <v>186</v>
      </c>
      <c r="D60" s="313"/>
      <c r="E60" s="314" t="s">
        <v>187</v>
      </c>
      <c r="F60" s="315"/>
      <c r="G60" s="315"/>
      <c r="H60" s="31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350</v>
      </c>
      <c r="C62" s="63">
        <v>1</v>
      </c>
      <c r="D62" s="63">
        <v>350</v>
      </c>
      <c r="E62" s="54">
        <v>0.77</v>
      </c>
      <c r="F62" s="54">
        <v>0.21</v>
      </c>
      <c r="G62" s="54"/>
      <c r="H62" s="54"/>
      <c r="I62" s="56">
        <f>IFERROR(B62/A62,"")</f>
        <v>19.444444444444443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Koster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313" t="s">
        <v>186</v>
      </c>
      <c r="D86" s="313"/>
      <c r="E86" s="314" t="s">
        <v>187</v>
      </c>
      <c r="F86" s="315"/>
      <c r="G86" s="315"/>
      <c r="H86" s="31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18</v>
      </c>
      <c r="B88" s="63">
        <v>362</v>
      </c>
      <c r="C88" s="63">
        <v>1</v>
      </c>
      <c r="D88" s="63">
        <v>362</v>
      </c>
      <c r="E88" s="54">
        <v>0.77</v>
      </c>
      <c r="F88" s="54">
        <v>0.21</v>
      </c>
      <c r="G88" s="54"/>
      <c r="H88" s="93"/>
      <c r="I88" s="56">
        <f>IFERROR(B88/A88,"")</f>
        <v>20.111111111111111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313" t="s">
        <v>186</v>
      </c>
      <c r="D112" s="313"/>
      <c r="E112" s="314" t="s">
        <v>187</v>
      </c>
      <c r="F112" s="315"/>
      <c r="G112" s="315"/>
      <c r="H112" s="31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313" t="s">
        <v>186</v>
      </c>
      <c r="D138" s="313"/>
      <c r="E138" s="314" t="s">
        <v>187</v>
      </c>
      <c r="F138" s="315"/>
      <c r="G138" s="315"/>
      <c r="H138" s="31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313" t="s">
        <v>186</v>
      </c>
      <c r="D164" s="313"/>
      <c r="E164" s="314" t="s">
        <v>187</v>
      </c>
      <c r="F164" s="315"/>
      <c r="G164" s="315"/>
      <c r="H164" s="31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313" t="s">
        <v>186</v>
      </c>
      <c r="D190" s="313"/>
      <c r="E190" s="314" t="s">
        <v>187</v>
      </c>
      <c r="F190" s="315"/>
      <c r="G190" s="315"/>
      <c r="H190" s="31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313" t="s">
        <v>186</v>
      </c>
      <c r="D216" s="313"/>
      <c r="E216" s="314" t="s">
        <v>187</v>
      </c>
      <c r="F216" s="315"/>
      <c r="G216" s="315"/>
      <c r="H216" s="31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313" t="s">
        <v>186</v>
      </c>
      <c r="D242" s="313"/>
      <c r="E242" s="314" t="s">
        <v>187</v>
      </c>
      <c r="F242" s="315"/>
      <c r="G242" s="315"/>
      <c r="H242" s="31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313" t="s">
        <v>186</v>
      </c>
      <c r="D268" s="313"/>
      <c r="E268" s="314" t="s">
        <v>187</v>
      </c>
      <c r="F268" s="315"/>
      <c r="G268" s="315"/>
      <c r="H268" s="31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30" t="s">
        <v>176</v>
      </c>
      <c r="C1" s="331"/>
      <c r="D1" s="331"/>
      <c r="E1" s="331"/>
      <c r="F1" s="331"/>
      <c r="G1" s="331"/>
      <c r="H1" s="332"/>
      <c r="I1" s="327" t="str">
        <f>IF('Données projet'!$B$9="","",'Données projet'!$B$9)</f>
        <v>Pin maritime</v>
      </c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9"/>
      <c r="AD1" s="328" t="str">
        <f>IF('Données projet'!$B$10="","",'Données projet'!$B$10)</f>
        <v>Peuplier I-45/51</v>
      </c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329"/>
      <c r="AY1" s="327" t="str">
        <f>IF('Données projet'!$B$11="","",'Données projet'!$B$11)</f>
        <v>Peuplier Koster</v>
      </c>
      <c r="AZ1" s="328"/>
      <c r="BA1" s="328"/>
      <c r="BB1" s="328"/>
      <c r="BC1" s="328"/>
      <c r="BD1" s="328"/>
      <c r="BE1" s="328"/>
      <c r="BF1" s="328"/>
      <c r="BG1" s="328"/>
      <c r="BH1" s="328"/>
      <c r="BI1" s="328"/>
      <c r="BJ1" s="328"/>
      <c r="BK1" s="328"/>
      <c r="BL1" s="328"/>
      <c r="BM1" s="328"/>
      <c r="BN1" s="328"/>
      <c r="BO1" s="328"/>
      <c r="BP1" s="328"/>
      <c r="BQ1" s="328"/>
      <c r="BR1" s="328"/>
      <c r="BS1" s="329"/>
      <c r="BT1" s="327" t="str">
        <f>IF('Données projet'!$B$12="","",'Données projet'!$B$12)</f>
        <v/>
      </c>
      <c r="BU1" s="328"/>
      <c r="BV1" s="328"/>
      <c r="BW1" s="328"/>
      <c r="BX1" s="328"/>
      <c r="BY1" s="328"/>
      <c r="BZ1" s="328"/>
      <c r="CA1" s="328"/>
      <c r="CB1" s="328"/>
      <c r="CC1" s="328"/>
      <c r="CD1" s="328"/>
      <c r="CE1" s="328"/>
      <c r="CF1" s="328"/>
      <c r="CG1" s="328"/>
      <c r="CH1" s="328"/>
      <c r="CI1" s="328"/>
      <c r="CJ1" s="328"/>
      <c r="CK1" s="328"/>
      <c r="CL1" s="328"/>
      <c r="CM1" s="328"/>
      <c r="CN1" s="329"/>
      <c r="CO1" s="327" t="str">
        <f>IF('Données projet'!$B$13="","",'Données projet'!$B$13)</f>
        <v/>
      </c>
      <c r="CP1" s="328"/>
      <c r="CQ1" s="328"/>
      <c r="CR1" s="328"/>
      <c r="CS1" s="328"/>
      <c r="CT1" s="328"/>
      <c r="CU1" s="328"/>
      <c r="CV1" s="328"/>
      <c r="CW1" s="328"/>
      <c r="CX1" s="328"/>
      <c r="CY1" s="328"/>
      <c r="CZ1" s="328"/>
      <c r="DA1" s="328"/>
      <c r="DB1" s="328"/>
      <c r="DC1" s="328"/>
      <c r="DD1" s="328"/>
      <c r="DE1" s="328"/>
      <c r="DF1" s="328"/>
      <c r="DG1" s="328"/>
      <c r="DH1" s="328"/>
      <c r="DI1" s="329"/>
      <c r="DJ1" s="327" t="str">
        <f>IF('Données projet'!$B$14="","",'Données projet'!$B$14)</f>
        <v/>
      </c>
      <c r="DK1" s="328"/>
      <c r="DL1" s="328"/>
      <c r="DM1" s="328"/>
      <c r="DN1" s="328"/>
      <c r="DO1" s="328"/>
      <c r="DP1" s="328"/>
      <c r="DQ1" s="328"/>
      <c r="DR1" s="328"/>
      <c r="DS1" s="328"/>
      <c r="DT1" s="328"/>
      <c r="DU1" s="328"/>
      <c r="DV1" s="328"/>
      <c r="DW1" s="328"/>
      <c r="DX1" s="328"/>
      <c r="DY1" s="328"/>
      <c r="DZ1" s="328"/>
      <c r="EA1" s="328"/>
      <c r="EB1" s="328"/>
      <c r="EC1" s="328"/>
      <c r="ED1" s="329"/>
      <c r="EE1" s="327" t="str">
        <f>IF('Données projet'!$B$15="","",'Données projet'!$B$15)</f>
        <v/>
      </c>
      <c r="EF1" s="328"/>
      <c r="EG1" s="328"/>
      <c r="EH1" s="328"/>
      <c r="EI1" s="328"/>
      <c r="EJ1" s="328"/>
      <c r="EK1" s="328"/>
      <c r="EL1" s="328"/>
      <c r="EM1" s="328"/>
      <c r="EN1" s="328"/>
      <c r="EO1" s="328"/>
      <c r="EP1" s="328"/>
      <c r="EQ1" s="328"/>
      <c r="ER1" s="328"/>
      <c r="ES1" s="328"/>
      <c r="ET1" s="328"/>
      <c r="EU1" s="328"/>
      <c r="EV1" s="328"/>
      <c r="EW1" s="328"/>
      <c r="EX1" s="328"/>
      <c r="EY1" s="329"/>
      <c r="EZ1" s="327" t="str">
        <f>IF('Données projet'!$B$16="","",'Données projet'!$B$16)</f>
        <v/>
      </c>
      <c r="FA1" s="328"/>
      <c r="FB1" s="328"/>
      <c r="FC1" s="328"/>
      <c r="FD1" s="328"/>
      <c r="FE1" s="328"/>
      <c r="FF1" s="328"/>
      <c r="FG1" s="328"/>
      <c r="FH1" s="328"/>
      <c r="FI1" s="328"/>
      <c r="FJ1" s="328"/>
      <c r="FK1" s="328"/>
      <c r="FL1" s="328"/>
      <c r="FM1" s="328"/>
      <c r="FN1" s="328"/>
      <c r="FO1" s="328"/>
      <c r="FP1" s="328"/>
      <c r="FQ1" s="328"/>
      <c r="FR1" s="328"/>
      <c r="FS1" s="328"/>
      <c r="FT1" s="329"/>
      <c r="FU1" s="327" t="str">
        <f>IF('Données projet'!$B$17="","",'Données projet'!$B$17)</f>
        <v/>
      </c>
      <c r="FV1" s="328"/>
      <c r="FW1" s="328"/>
      <c r="FX1" s="328"/>
      <c r="FY1" s="328"/>
      <c r="FZ1" s="328"/>
      <c r="GA1" s="328"/>
      <c r="GB1" s="328"/>
      <c r="GC1" s="328"/>
      <c r="GD1" s="328"/>
      <c r="GE1" s="328"/>
      <c r="GF1" s="328"/>
      <c r="GG1" s="328"/>
      <c r="GH1" s="328"/>
      <c r="GI1" s="328"/>
      <c r="GJ1" s="328"/>
      <c r="GK1" s="328"/>
      <c r="GL1" s="328"/>
      <c r="GM1" s="328"/>
      <c r="GN1" s="328"/>
      <c r="GO1" s="329"/>
      <c r="GP1" s="327" t="str">
        <f>IF('Données projet'!$B$18="","",'Données projet'!$B$18)</f>
        <v/>
      </c>
      <c r="GQ1" s="328"/>
      <c r="GR1" s="328"/>
      <c r="GS1" s="328"/>
      <c r="GT1" s="328"/>
      <c r="GU1" s="328"/>
      <c r="GV1" s="328"/>
      <c r="GW1" s="328"/>
      <c r="GX1" s="328"/>
      <c r="GY1" s="328"/>
      <c r="GZ1" s="328"/>
      <c r="HA1" s="328"/>
      <c r="HB1" s="328"/>
      <c r="HC1" s="328"/>
      <c r="HD1" s="328"/>
      <c r="HE1" s="328"/>
      <c r="HF1" s="328"/>
      <c r="HG1" s="328"/>
      <c r="HH1" s="328"/>
      <c r="HI1" s="328"/>
      <c r="HJ1" s="32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212.90262675152454</v>
      </c>
      <c r="T3" s="62">
        <f>IF('Données projet'!E9&gt;30,$R$33-$H$33,LOOKUP('Données projet'!$E$9,$A$3:$A$203,R3:R203)-LOOKUP('Données projet'!$E$9,$A$3:$A$203,$H$3:$H$203))</f>
        <v>366.51899340890498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81.048073180639847</v>
      </c>
      <c r="AO3" s="62">
        <f>IF('Données projet'!E10&gt;30,$AM$33-$H$33,LOOKUP('Données projet'!$E$10,$A$3:$A$203,AM3:AM203)-LOOKUP('Données projet'!$E$10,$A$3:$A$203,$H$3:$H$203))</f>
        <v>418.93026662539467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82.73499565245794</v>
      </c>
      <c r="BJ3" s="62">
        <f>IF('Données projet'!E11&gt;30,$BH$33-$H$33,LOOKUP('Données projet'!$E$11,$A$3:$A$203,BH3:BH203)-LOOKUP('Données projet'!$E$11,$A$3:$A$203,$H$3:$H$203))</f>
        <v>429.59688548095812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169.94758826188439</v>
      </c>
      <c r="S4" s="62">
        <f ca="1">AVERAGE(OFFSET($R$3,0,0,'Données projet'!$E$9+1,1))-AVERAGE(OFFSET($H$3,0,0,'Données projet'!$E$9+1,1))</f>
        <v>212.90262675152454</v>
      </c>
      <c r="T4" s="62">
        <f>$T$3</f>
        <v>366.51899340890498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19.444444444444443</v>
      </c>
      <c r="AI4" s="14">
        <f>IF('Données projet'!$A$62&gt;35,AI3+AH4-AQ3,IF(A4&lt;'Données projet'!$A$62,$AF$205^A4,IF(A4='Données projet'!$A$62,'Données projet'!$B$62,AI3+AH4-AQ3)))</f>
        <v>1.3846407653603228</v>
      </c>
      <c r="AJ4" s="14">
        <f>AI4*VLOOKUP('Données projet'!$B$10,Paramètres!$A$1:$I$89,3,0)*VLOOKUP('Données projet'!$B$10,Paramètres!$A$1:$I$89,5,0)</f>
        <v>0.70849298681957007</v>
      </c>
      <c r="AK4" s="14">
        <f>EXP(-1.0587+0.8836*LN(AJ4)+0.284)</f>
        <v>0.33986665865039822</v>
      </c>
      <c r="AL4" s="22">
        <f t="shared" ref="AL4:AL67" si="4">(AJ4+AK4)*0.475*44/12</f>
        <v>1.8258930491935279</v>
      </c>
      <c r="AM4" s="62">
        <f t="shared" ref="AM4:AM67" si="5">AL4+(AD4+AE4)*44/12</f>
        <v>169.63832700211736</v>
      </c>
      <c r="AN4" s="62">
        <f ca="1">AVERAGE(OFFSET($AM$3,0,0,'Données projet'!$E$10+1,1))-AVERAGE(OFFSET($H$3,0,0,'Données projet'!$E$10+1,1))</f>
        <v>81.048073180639847</v>
      </c>
      <c r="AO4" s="62">
        <f>$AO$3</f>
        <v>418.93026662539467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20.111111111111111</v>
      </c>
      <c r="BD4" s="13">
        <f>IF('Données projet'!$A$88&gt;35,BD3+BC4-BL3,IF(A4&lt;'Données projet'!$A$88,$BA$205^A4,IF(A4='Données projet'!$A$88,'Données projet'!$B$88,BD3+BC4-BL3)))</f>
        <v>1.3872364009933253</v>
      </c>
      <c r="BE4" s="14">
        <f>BD4*VLOOKUP('Données projet'!$B$11,Paramètres!$A$1:$I$89,3,0)*VLOOKUP('Données projet'!$B$11,Paramètres!$A$1:$I$89,5,0)</f>
        <v>0.70549294408916563</v>
      </c>
      <c r="BF4" s="14">
        <f>EXP(-1.0587+0.8836*LN(BE4)+0.284)</f>
        <v>0.33859472827738007</v>
      </c>
      <c r="BG4" s="22">
        <f t="shared" ref="BG4:BG67" si="7">(BE4+BF4)*0.475*44/12</f>
        <v>1.8184526960384002</v>
      </c>
      <c r="BH4" s="62">
        <f t="shared" ref="BH4:BH67" si="8">BG4+(AY4+AZ4)*44/12</f>
        <v>169.63088664896225</v>
      </c>
      <c r="BI4" s="62">
        <f ca="1">AVERAGE(OFFSET($BH$3,0,0,'Données projet'!$E$11+1,1))-AVERAGE(OFFSET($H$3,0,0,'Données projet'!$E$11+1,1))</f>
        <v>82.73499565245794</v>
      </c>
      <c r="BJ4" s="62">
        <f>$BJ$3</f>
        <v>429.59688548095812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173.53737787624462</v>
      </c>
      <c r="S5" s="62">
        <f ca="1">AVERAGE(OFFSET($R$3,0,0,'Données projet'!$E$9+1,1))-AVERAGE(OFFSET($H$3,0,0,'Données projet'!$E$9+1,1))</f>
        <v>212.90262675152454</v>
      </c>
      <c r="T5" s="62">
        <f t="shared" ref="T5:T68" si="34">$T$3</f>
        <v>366.51899340890498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19.444444444444443</v>
      </c>
      <c r="AI5" s="14">
        <f>IF('Données projet'!$A$62&gt;35,AI4+AH5-AQ4,IF(A5&lt;'Données projet'!$A$62,$AF$205^A5,IF(A5='Données projet'!$A$62,'Données projet'!$B$62,AI4+AH5-AQ4)))</f>
        <v>1.9172300490976204</v>
      </c>
      <c r="AJ5" s="14">
        <f>AI5*VLOOKUP('Données projet'!$B$10,Paramètres!$A$1:$I$89,3,0)*VLOOKUP('Données projet'!$B$10,Paramètres!$A$1:$I$89,5,0)</f>
        <v>0.98100827152227044</v>
      </c>
      <c r="AK5" s="14">
        <f t="shared" ref="AK5:AK68" si="35">EXP(-1.0587+0.8836*LN(AJ5)+0.284)</f>
        <v>0.45309997204972308</v>
      </c>
      <c r="AL5" s="22">
        <f t="shared" si="4"/>
        <v>2.4977385242212216</v>
      </c>
      <c r="AM5" s="62">
        <f t="shared" si="5"/>
        <v>173.09501981172207</v>
      </c>
      <c r="AN5" s="62">
        <f ca="1">AVERAGE(OFFSET($AM$3,0,0,'Données projet'!$E$10+1,1))-AVERAGE(OFFSET($H$3,0,0,'Données projet'!$E$10+1,1))</f>
        <v>81.048073180639847</v>
      </c>
      <c r="AO5" s="62">
        <f t="shared" ref="AO5:AO68" si="36">$AO$3</f>
        <v>418.93026662539467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20.111111111111111</v>
      </c>
      <c r="BD5" s="13">
        <f>IF('Données projet'!$A$88&gt;35,BD4+BC5-BL4,IF(A5&lt;'Données projet'!$A$88,$BA$205^A5,IF(A5='Données projet'!$A$88,'Données projet'!$B$88,BD4+BC5-BL4)))</f>
        <v>1.9244248322409141</v>
      </c>
      <c r="BE5" s="14">
        <f>BD5*VLOOKUP('Données projet'!$B$11,Paramètres!$A$1:$I$89,3,0)*VLOOKUP('Données projet'!$B$11,Paramètres!$A$1:$I$89,5,0)</f>
        <v>0.97868549268443927</v>
      </c>
      <c r="BF5" s="14">
        <f t="shared" ref="BF5:BF68" si="37">EXP(-1.0587+0.8836*LN(BE5)+0.284)</f>
        <v>0.45215189238899611</v>
      </c>
      <c r="BG5" s="22">
        <f t="shared" si="7"/>
        <v>2.4920417790028995</v>
      </c>
      <c r="BH5" s="62">
        <f t="shared" si="8"/>
        <v>173.08932306650374</v>
      </c>
      <c r="BI5" s="62">
        <f ca="1">AVERAGE(OFFSET($BH$3,0,0,'Données projet'!$E$11+1,1))-AVERAGE(OFFSET($H$3,0,0,'Données projet'!$E$11+1,1))</f>
        <v>82.73499565245794</v>
      </c>
      <c r="BJ5" s="62">
        <f t="shared" ref="BJ5:BJ68" si="38">$BJ$3</f>
        <v>429.59688548095812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177.40481678610803</v>
      </c>
      <c r="S6" s="62">
        <f ca="1">AVERAGE(OFFSET($R$3,0,0,'Données projet'!$E$9+1,1))-AVERAGE(OFFSET($H$3,0,0,'Données projet'!$E$9+1,1))</f>
        <v>212.90262675152454</v>
      </c>
      <c r="T6" s="62">
        <f t="shared" si="34"/>
        <v>366.51899340890498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19.444444444444443</v>
      </c>
      <c r="AI6" s="14">
        <f>IF('Données projet'!$A$62&gt;35,AI5+AH6-AQ5,IF(A6&lt;'Données projet'!$A$62,$AF$205^A6,IF(A6='Données projet'!$A$62,'Données projet'!$B$62,AI5+AH6-AQ5)))</f>
        <v>2.6546748825543385</v>
      </c>
      <c r="AJ6" s="14">
        <f>AI6*VLOOKUP('Données projet'!$B$10,Paramètres!$A$1:$I$89,3,0)*VLOOKUP('Données projet'!$B$10,Paramètres!$A$1:$I$89,5,0)</f>
        <v>1.358344043905404</v>
      </c>
      <c r="AK6" s="14">
        <f t="shared" si="35"/>
        <v>0.60405920806324243</v>
      </c>
      <c r="AL6" s="22">
        <f t="shared" si="4"/>
        <v>3.4178523305120589</v>
      </c>
      <c r="AM6" s="62">
        <f t="shared" si="5"/>
        <v>176.77287290039695</v>
      </c>
      <c r="AN6" s="62">
        <f ca="1">AVERAGE(OFFSET($AM$3,0,0,'Données projet'!$E$10+1,1))-AVERAGE(OFFSET($H$3,0,0,'Données projet'!$E$10+1,1))</f>
        <v>81.048073180639847</v>
      </c>
      <c r="AO6" s="62">
        <f t="shared" si="36"/>
        <v>418.93026662539467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20.111111111111111</v>
      </c>
      <c r="BD6" s="13">
        <f>IF('Données projet'!$A$88&gt;35,BD5+BC6-BL5,IF(A6&lt;'Données projet'!$A$88,$BA$205^A6,IF(A6='Données projet'!$A$88,'Données projet'!$B$88,BD5+BC6-BL5)))</f>
        <v>2.6696321782600694</v>
      </c>
      <c r="BE6" s="14">
        <f>BD6*VLOOKUP('Données projet'!$B$11,Paramètres!$A$1:$I$89,3,0)*VLOOKUP('Données projet'!$B$11,Paramètres!$A$1:$I$89,5,0)</f>
        <v>1.357668140575941</v>
      </c>
      <c r="BF6" s="14">
        <f t="shared" si="37"/>
        <v>0.60379361140989163</v>
      </c>
      <c r="BG6" s="22">
        <f t="shared" si="7"/>
        <v>3.4162125513753252</v>
      </c>
      <c r="BH6" s="62">
        <f t="shared" si="8"/>
        <v>176.77123312126022</v>
      </c>
      <c r="BI6" s="62">
        <f ca="1">AVERAGE(OFFSET($BH$3,0,0,'Données projet'!$E$11+1,1))-AVERAGE(OFFSET($H$3,0,0,'Données projet'!$E$11+1,1))</f>
        <v>82.73499565245794</v>
      </c>
      <c r="BJ6" s="62">
        <f t="shared" si="38"/>
        <v>429.59688548095812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181.66622136619378</v>
      </c>
      <c r="S7" s="62">
        <f ca="1">AVERAGE(OFFSET($R$3,0,0,'Données projet'!$E$9+1,1))-AVERAGE(OFFSET($H$3,0,0,'Données projet'!$E$9+1,1))</f>
        <v>212.90262675152454</v>
      </c>
      <c r="T7" s="62">
        <f t="shared" si="34"/>
        <v>366.51899340890498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19.444444444444443</v>
      </c>
      <c r="AI7" s="14">
        <f>IF('Données projet'!$A$62&gt;35,AI6+AH7-AQ6,IF(A7&lt;'Données projet'!$A$62,$AF$205^A7,IF(A7='Données projet'!$A$62,'Données projet'!$B$62,AI6+AH7-AQ6)))</f>
        <v>3.6757710611628638</v>
      </c>
      <c r="AJ7" s="14">
        <f>AI7*VLOOKUP('Données projet'!$B$10,Paramètres!$A$1:$I$89,3,0)*VLOOKUP('Données projet'!$B$10,Paramètres!$A$1:$I$89,5,0)</f>
        <v>1.8808185365758143</v>
      </c>
      <c r="AK7" s="14">
        <f t="shared" si="35"/>
        <v>0.8053135055279782</v>
      </c>
      <c r="AL7" s="22">
        <f t="shared" si="4"/>
        <v>4.6783466399974385</v>
      </c>
      <c r="AM7" s="62">
        <f t="shared" si="5"/>
        <v>180.76446870417439</v>
      </c>
      <c r="AN7" s="62">
        <f ca="1">AVERAGE(OFFSET($AM$3,0,0,'Données projet'!$E$10+1,1))-AVERAGE(OFFSET($H$3,0,0,'Données projet'!$E$10+1,1))</f>
        <v>81.048073180639847</v>
      </c>
      <c r="AO7" s="62">
        <f t="shared" si="36"/>
        <v>418.93026662539467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20.111111111111111</v>
      </c>
      <c r="BD7" s="13">
        <f>IF('Données projet'!$A$88&gt;35,BD6+BC7-BL6,IF(A7&lt;'Données projet'!$A$88,$BA$205^A7,IF(A7='Données projet'!$A$88,'Données projet'!$B$88,BD6+BC7-BL6)))</f>
        <v>3.7034109349454702</v>
      </c>
      <c r="BE7" s="14">
        <f>BD7*VLOOKUP('Données projet'!$B$11,Paramètres!$A$1:$I$89,3,0)*VLOOKUP('Données projet'!$B$11,Paramètres!$A$1:$I$89,5,0)</f>
        <v>1.8834066650758683</v>
      </c>
      <c r="BF7" s="14">
        <f t="shared" si="37"/>
        <v>0.80629260059748797</v>
      </c>
      <c r="BG7" s="22">
        <f t="shared" si="7"/>
        <v>4.6845595543810949</v>
      </c>
      <c r="BH7" s="62">
        <f t="shared" si="8"/>
        <v>180.77068161855803</v>
      </c>
      <c r="BI7" s="62">
        <f ca="1">AVERAGE(OFFSET($BH$3,0,0,'Données projet'!$E$11+1,1))-AVERAGE(OFFSET($H$3,0,0,'Données projet'!$E$11+1,1))</f>
        <v>82.73499565245794</v>
      </c>
      <c r="BJ7" s="62">
        <f t="shared" si="38"/>
        <v>429.59688548095812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186.48210008172705</v>
      </c>
      <c r="S8" s="62">
        <f ca="1">AVERAGE(OFFSET($R$3,0,0,'Données projet'!$E$9+1,1))-AVERAGE(OFFSET($H$3,0,0,'Données projet'!$E$9+1,1))</f>
        <v>212.90262675152454</v>
      </c>
      <c r="T8" s="62">
        <f t="shared" si="34"/>
        <v>366.51899340890498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19.444444444444443</v>
      </c>
      <c r="AI8" s="14">
        <f>IF('Données projet'!$A$62&gt;35,AI7+AH8-AQ7,IF(A8&lt;'Données projet'!$A$62,$AF$205^A8,IF(A8='Données projet'!$A$62,'Données projet'!$B$62,AI7+AH8-AQ7)))</f>
        <v>5.0896224554178735</v>
      </c>
      <c r="AJ8" s="14">
        <f>AI8*VLOOKUP('Données projet'!$B$10,Paramètres!$A$1:$I$89,3,0)*VLOOKUP('Données projet'!$B$10,Paramètres!$A$1:$I$89,5,0)</f>
        <v>2.6042580179882178</v>
      </c>
      <c r="AK8" s="14">
        <f t="shared" si="35"/>
        <v>1.0736196610016131</v>
      </c>
      <c r="AL8" s="22">
        <f t="shared" si="4"/>
        <v>6.4056369575739565</v>
      </c>
      <c r="AM8" s="62">
        <f t="shared" si="5"/>
        <v>185.19668483402131</v>
      </c>
      <c r="AN8" s="62">
        <f ca="1">AVERAGE(OFFSET($AM$3,0,0,'Données projet'!$E$10+1,1))-AVERAGE(OFFSET($H$3,0,0,'Données projet'!$E$10+1,1))</f>
        <v>81.048073180639847</v>
      </c>
      <c r="AO8" s="62">
        <f t="shared" si="36"/>
        <v>418.93026662539467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20.111111111111111</v>
      </c>
      <c r="BD8" s="13">
        <f>IF('Données projet'!$A$88&gt;35,BD7+BC8-BL7,IF(A8&lt;'Données projet'!$A$88,$BA$205^A8,IF(A8='Données projet'!$A$88,'Données projet'!$B$88,BD7+BC8-BL7)))</f>
        <v>5.1375064567930799</v>
      </c>
      <c r="BE8" s="14">
        <f>BD8*VLOOKUP('Données projet'!$B$11,Paramètres!$A$1:$I$89,3,0)*VLOOKUP('Données projet'!$B$11,Paramètres!$A$1:$I$89,5,0)</f>
        <v>2.6127302836666892</v>
      </c>
      <c r="BF8" s="14">
        <f t="shared" si="37"/>
        <v>1.0767052606936711</v>
      </c>
      <c r="BG8" s="22">
        <f t="shared" si="7"/>
        <v>6.4257669064276266</v>
      </c>
      <c r="BH8" s="62">
        <f t="shared" si="8"/>
        <v>185.21681478287499</v>
      </c>
      <c r="BI8" s="62">
        <f ca="1">AVERAGE(OFFSET($BH$3,0,0,'Données projet'!$E$11+1,1))-AVERAGE(OFFSET($H$3,0,0,'Données projet'!$E$11+1,1))</f>
        <v>82.73499565245794</v>
      </c>
      <c r="BJ8" s="62">
        <f t="shared" si="38"/>
        <v>429.59688548095812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192.07407593457071</v>
      </c>
      <c r="S9" s="62">
        <f ca="1">AVERAGE(OFFSET($R$3,0,0,'Données projet'!$E$9+1,1))-AVERAGE(OFFSET($H$3,0,0,'Données projet'!$E$9+1,1))</f>
        <v>212.90262675152454</v>
      </c>
      <c r="T9" s="62">
        <f t="shared" si="34"/>
        <v>366.51899340890498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19.444444444444443</v>
      </c>
      <c r="AI9" s="14">
        <f>IF('Données projet'!$A$62&gt;35,AI8+AH9-AQ8,IF(A9&lt;'Données projet'!$A$62,$AF$205^A9,IF(A9='Données projet'!$A$62,'Données projet'!$B$62,AI8+AH9-AQ8)))</f>
        <v>7.0472987320648892</v>
      </c>
      <c r="AJ9" s="14">
        <f>AI9*VLOOKUP('Données projet'!$B$10,Paramètres!$A$1:$I$89,3,0)*VLOOKUP('Données projet'!$B$10,Paramètres!$A$1:$I$89,5,0)</f>
        <v>3.6059618152229627</v>
      </c>
      <c r="AK9" s="14">
        <f t="shared" si="35"/>
        <v>1.4313173299304276</v>
      </c>
      <c r="AL9" s="22">
        <f t="shared" si="4"/>
        <v>8.7732611778088216</v>
      </c>
      <c r="AM9" s="62">
        <f t="shared" si="5"/>
        <v>190.24351327406779</v>
      </c>
      <c r="AN9" s="62">
        <f ca="1">AVERAGE(OFFSET($AM$3,0,0,'Données projet'!$E$10+1,1))-AVERAGE(OFFSET($H$3,0,0,'Données projet'!$E$10+1,1))</f>
        <v>81.048073180639847</v>
      </c>
      <c r="AO9" s="62">
        <f t="shared" si="36"/>
        <v>418.93026662539467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20.111111111111111</v>
      </c>
      <c r="BD9" s="13">
        <f>IF('Données projet'!$A$88&gt;35,BD8+BC9-BL8,IF(A9&lt;'Données projet'!$A$88,$BA$205^A9,IF(A9='Données projet'!$A$88,'Données projet'!$B$88,BD8+BC9-BL8)))</f>
        <v>7.1269359672016037</v>
      </c>
      <c r="BE9" s="14">
        <f>BD9*VLOOKUP('Données projet'!$B$11,Paramètres!$A$1:$I$89,3,0)*VLOOKUP('Données projet'!$B$11,Paramètres!$A$1:$I$89,5,0)</f>
        <v>3.6244745554800475</v>
      </c>
      <c r="BF9" s="14">
        <f t="shared" si="37"/>
        <v>1.4378083310529608</v>
      </c>
      <c r="BG9" s="22">
        <f t="shared" si="7"/>
        <v>8.8168093607116571</v>
      </c>
      <c r="BH9" s="62">
        <f t="shared" si="8"/>
        <v>190.28706145697063</v>
      </c>
      <c r="BI9" s="62">
        <f ca="1">AVERAGE(OFFSET($BH$3,0,0,'Données projet'!$E$11+1,1))-AVERAGE(OFFSET($H$3,0,0,'Données projet'!$E$11+1,1))</f>
        <v>82.73499565245794</v>
      </c>
      <c r="BJ9" s="62">
        <f t="shared" si="38"/>
        <v>429.59688548095812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198.7483081318363</v>
      </c>
      <c r="S10" s="62">
        <f ca="1">AVERAGE(OFFSET($R$3,0,0,'Données projet'!$E$9+1,1))-AVERAGE(OFFSET($H$3,0,0,'Données projet'!$E$9+1,1))</f>
        <v>212.90262675152454</v>
      </c>
      <c r="T10" s="62">
        <f t="shared" si="34"/>
        <v>366.51899340890498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19.444444444444443</v>
      </c>
      <c r="AI10" s="14">
        <f>IF('Données projet'!$A$62&gt;35,AI9+AH10-AQ9,IF(A10&lt;'Données projet'!$A$62,$AF$205^A10,IF(A10='Données projet'!$A$62,'Données projet'!$B$62,AI9+AH10-AQ9)))</f>
        <v>9.7579771100891612</v>
      </c>
      <c r="AJ10" s="14">
        <f>AI10*VLOOKUP('Données projet'!$B$10,Paramètres!$A$1:$I$89,3,0)*VLOOKUP('Données projet'!$B$10,Paramètres!$A$1:$I$89,5,0)</f>
        <v>4.9929617276904228</v>
      </c>
      <c r="AK10" s="14">
        <f t="shared" si="35"/>
        <v>1.9081890667388697</v>
      </c>
      <c r="AL10" s="22">
        <f t="shared" si="4"/>
        <v>12.019504300297685</v>
      </c>
      <c r="AM10" s="62">
        <f t="shared" si="5"/>
        <v>196.14368523603392</v>
      </c>
      <c r="AN10" s="62">
        <f ca="1">AVERAGE(OFFSET($AM$3,0,0,'Données projet'!$E$10+1,1))-AVERAGE(OFFSET($H$3,0,0,'Données projet'!$E$10+1,1))</f>
        <v>81.048073180639847</v>
      </c>
      <c r="AO10" s="62">
        <f t="shared" si="36"/>
        <v>418.93026662539467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20.111111111111111</v>
      </c>
      <c r="BD10" s="13">
        <f>IF('Données projet'!$A$88&gt;35,BD9+BC10-BL9,IF(A10&lt;'Données projet'!$A$88,$BA$205^A10,IF(A10='Données projet'!$A$88,'Données projet'!$B$88,BD9+BC10-BL9)))</f>
        <v>9.8867450012506364</v>
      </c>
      <c r="BE10" s="14">
        <f>BD10*VLOOKUP('Données projet'!$B$11,Paramètres!$A$1:$I$89,3,0)*VLOOKUP('Données projet'!$B$11,Paramètres!$A$1:$I$89,5,0)</f>
        <v>5.0280030378360241</v>
      </c>
      <c r="BF10" s="14">
        <f t="shared" si="37"/>
        <v>1.9200173643745744</v>
      </c>
      <c r="BG10" s="22">
        <f t="shared" si="7"/>
        <v>12.101135533850124</v>
      </c>
      <c r="BH10" s="62">
        <f t="shared" si="8"/>
        <v>196.22531646958635</v>
      </c>
      <c r="BI10" s="62">
        <f ca="1">AVERAGE(OFFSET($BH$3,0,0,'Données projet'!$E$11+1,1))-AVERAGE(OFFSET($H$3,0,0,'Données projet'!$E$11+1,1))</f>
        <v>82.73499565245794</v>
      </c>
      <c r="BJ10" s="62">
        <f t="shared" si="38"/>
        <v>429.59688548095812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206.9279162550859</v>
      </c>
      <c r="S11" s="62">
        <f ca="1">AVERAGE(OFFSET($R$3,0,0,'Données projet'!$E$9+1,1))-AVERAGE(OFFSET($H$3,0,0,'Données projet'!$E$9+1,1))</f>
        <v>212.90262675152454</v>
      </c>
      <c r="T11" s="62">
        <f t="shared" si="34"/>
        <v>366.51899340890498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19.444444444444443</v>
      </c>
      <c r="AI11" s="14">
        <f>IF('Données projet'!$A$62&gt;35,AI10+AH11-AQ10,IF(A11&lt;'Données projet'!$A$62,$AF$205^A11,IF(A11='Données projet'!$A$62,'Données projet'!$B$62,AI10+AH11-AQ10)))</f>
        <v>13.511292894082366</v>
      </c>
      <c r="AJ11" s="14">
        <f>AI11*VLOOKUP('Données projet'!$B$10,Paramètres!$A$1:$I$89,3,0)*VLOOKUP('Données projet'!$B$10,Paramètres!$A$1:$I$89,5,0)</f>
        <v>6.9134583480440659</v>
      </c>
      <c r="AK11" s="14">
        <f t="shared" si="35"/>
        <v>2.5439400741404734</v>
      </c>
      <c r="AL11" s="22">
        <f t="shared" si="4"/>
        <v>16.471635585304739</v>
      </c>
      <c r="AM11" s="62">
        <f t="shared" si="5"/>
        <v>203.22490845152529</v>
      </c>
      <c r="AN11" s="62">
        <f ca="1">AVERAGE(OFFSET($AM$3,0,0,'Données projet'!$E$10+1,1))-AVERAGE(OFFSET($H$3,0,0,'Données projet'!$E$10+1,1))</f>
        <v>81.048073180639847</v>
      </c>
      <c r="AO11" s="62">
        <f t="shared" si="36"/>
        <v>418.93026662539467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20.111111111111111</v>
      </c>
      <c r="BD11" s="13">
        <f>IF('Données projet'!$A$88&gt;35,BD10+BC11-BL10,IF(A11&lt;'Données projet'!$A$88,$BA$205^A11,IF(A11='Données projet'!$A$88,'Données projet'!$B$88,BD10+BC11-BL10)))</f>
        <v>13.715252553073682</v>
      </c>
      <c r="BE11" s="14">
        <f>BD11*VLOOKUP('Données projet'!$B$11,Paramètres!$A$1:$I$89,3,0)*VLOOKUP('Données projet'!$B$11,Paramètres!$A$1:$I$89,5,0)</f>
        <v>6.975028838391153</v>
      </c>
      <c r="BF11" s="14">
        <f t="shared" si="37"/>
        <v>2.563948615320756</v>
      </c>
      <c r="BG11" s="22">
        <f t="shared" si="7"/>
        <v>16.613719065214905</v>
      </c>
      <c r="BH11" s="62">
        <f t="shared" si="8"/>
        <v>203.36699193143545</v>
      </c>
      <c r="BI11" s="62">
        <f ca="1">AVERAGE(OFFSET($BH$3,0,0,'Données projet'!$E$11+1,1))-AVERAGE(OFFSET($H$3,0,0,'Données projet'!$E$11+1,1))</f>
        <v>82.73499565245794</v>
      </c>
      <c r="BJ11" s="62">
        <f t="shared" si="38"/>
        <v>429.59688548095812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217.19787689250523</v>
      </c>
      <c r="S12" s="62">
        <f ca="1">AVERAGE(OFFSET($R$3,0,0,'Données projet'!$E$9+1,1))-AVERAGE(OFFSET($H$3,0,0,'Données projet'!$E$9+1,1))</f>
        <v>212.90262675152454</v>
      </c>
      <c r="T12" s="62">
        <f t="shared" si="34"/>
        <v>366.51899340890498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19.444444444444443</v>
      </c>
      <c r="AI12" s="14">
        <f>IF('Données projet'!$A$62&gt;35,AI11+AH12-AQ11,IF(A12&lt;'Données projet'!$A$62,$AF$205^A12,IF(A12='Données projet'!$A$62,'Données projet'!$B$62,AI11+AH12-AQ11)))</f>
        <v>18.708286933869697</v>
      </c>
      <c r="AJ12" s="14">
        <f>AI12*VLOOKUP('Données projet'!$B$10,Paramètres!$A$1:$I$89,3,0)*VLOOKUP('Données projet'!$B$10,Paramètres!$A$1:$I$89,5,0)</f>
        <v>9.5726562583224482</v>
      </c>
      <c r="AK12" s="14">
        <f t="shared" si="35"/>
        <v>3.3915041300797175</v>
      </c>
      <c r="AL12" s="22">
        <f t="shared" si="4"/>
        <v>22.579246009800439</v>
      </c>
      <c r="AM12" s="62">
        <f t="shared" si="5"/>
        <v>211.93720476235652</v>
      </c>
      <c r="AN12" s="62">
        <f ca="1">AVERAGE(OFFSET($AM$3,0,0,'Données projet'!$E$10+1,1))-AVERAGE(OFFSET($H$3,0,0,'Données projet'!$E$10+1,1))</f>
        <v>81.048073180639847</v>
      </c>
      <c r="AO12" s="62">
        <f t="shared" si="36"/>
        <v>418.93026662539467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20.111111111111111</v>
      </c>
      <c r="BD12" s="13">
        <f>IF('Données projet'!$A$88&gt;35,BD11+BC12-BL11,IF(A12&lt;'Données projet'!$A$88,$BA$205^A12,IF(A12='Données projet'!$A$88,'Données projet'!$B$88,BD11+BC12-BL11)))</f>
        <v>19.026297590440453</v>
      </c>
      <c r="BE12" s="14">
        <f>BD12*VLOOKUP('Données projet'!$B$11,Paramètres!$A$1:$I$89,3,0)*VLOOKUP('Données projet'!$B$11,Paramètres!$A$1:$I$89,5,0)</f>
        <v>9.6760139025943968</v>
      </c>
      <c r="BF12" s="14">
        <f t="shared" si="37"/>
        <v>3.4238401297722532</v>
      </c>
      <c r="BG12" s="22">
        <f t="shared" si="7"/>
        <v>22.815579106371914</v>
      </c>
      <c r="BH12" s="62">
        <f t="shared" si="8"/>
        <v>212.173537858928</v>
      </c>
      <c r="BI12" s="62">
        <f ca="1">AVERAGE(OFFSET($BH$3,0,0,'Données projet'!$E$11+1,1))-AVERAGE(OFFSET($H$3,0,0,'Données projet'!$E$11+1,1))</f>
        <v>82.73499565245794</v>
      </c>
      <c r="BJ12" s="62">
        <f t="shared" si="38"/>
        <v>429.59688548095812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230.36720355723625</v>
      </c>
      <c r="S13" s="62">
        <f ca="1">AVERAGE(OFFSET($R$3,0,0,'Données projet'!$E$9+1,1))-AVERAGE(OFFSET($H$3,0,0,'Données projet'!$E$9+1,1))</f>
        <v>212.90262675152454</v>
      </c>
      <c r="T13" s="62">
        <f t="shared" si="34"/>
        <v>366.51899340890498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19.444444444444443</v>
      </c>
      <c r="AI13" s="14">
        <f>IF('Données projet'!$A$62&gt;35,AI12+AH13-AQ12,IF(A13&lt;'Données projet'!$A$62,$AF$205^A13,IF(A13='Données projet'!$A$62,'Données projet'!$B$62,AI12+AH13-AQ12)))</f>
        <v>25.904256738693864</v>
      </c>
      <c r="AJ13" s="14">
        <f>AI13*VLOOKUP('Données projet'!$B$10,Paramètres!$A$1:$I$89,3,0)*VLOOKUP('Données projet'!$B$10,Paramètres!$A$1:$I$89,5,0)</f>
        <v>13.254690088054875</v>
      </c>
      <c r="AK13" s="14">
        <f t="shared" si="35"/>
        <v>4.5214509497571731</v>
      </c>
      <c r="AL13" s="22">
        <f t="shared" si="4"/>
        <v>30.960112307522653</v>
      </c>
      <c r="AM13" s="62">
        <f t="shared" si="5"/>
        <v>222.89877429256754</v>
      </c>
      <c r="AN13" s="62">
        <f ca="1">AVERAGE(OFFSET($AM$3,0,0,'Données projet'!$E$10+1,1))-AVERAGE(OFFSET($H$3,0,0,'Données projet'!$E$10+1,1))</f>
        <v>81.048073180639847</v>
      </c>
      <c r="AO13" s="62">
        <f t="shared" si="36"/>
        <v>418.93026662539467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20.111111111111111</v>
      </c>
      <c r="BD13" s="13">
        <f>IF('Données projet'!$A$88&gt;35,BD12+BC13-BL12,IF(A13&lt;'Données projet'!$A$88,$BA$205^A13,IF(A13='Données projet'!$A$88,'Données projet'!$B$88,BD12+BC13-BL12)))</f>
        <v>26.39397259359059</v>
      </c>
      <c r="BE13" s="14">
        <f>BD13*VLOOKUP('Données projet'!$B$11,Paramètres!$A$1:$I$89,3,0)*VLOOKUP('Données projet'!$B$11,Paramètres!$A$1:$I$89,5,0)</f>
        <v>13.422918702196432</v>
      </c>
      <c r="BF13" s="14">
        <f t="shared" si="37"/>
        <v>4.572120191563334</v>
      </c>
      <c r="BG13" s="22">
        <f t="shared" si="7"/>
        <v>31.341359406631593</v>
      </c>
      <c r="BH13" s="62">
        <f t="shared" si="8"/>
        <v>223.28002139167648</v>
      </c>
      <c r="BI13" s="62">
        <f ca="1">AVERAGE(OFFSET($BH$3,0,0,'Données projet'!$E$11+1,1))-AVERAGE(OFFSET($H$3,0,0,'Données projet'!$E$11+1,1))</f>
        <v>82.73499565245794</v>
      </c>
      <c r="BJ13" s="62">
        <f t="shared" si="38"/>
        <v>429.59688548095812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247.55508089002811</v>
      </c>
      <c r="S14" s="62">
        <f ca="1">AVERAGE(OFFSET($R$3,0,0,'Données projet'!$E$9+1,1))-AVERAGE(OFFSET($H$3,0,0,'Données projet'!$E$9+1,1))</f>
        <v>212.90262675152454</v>
      </c>
      <c r="T14" s="62">
        <f t="shared" si="34"/>
        <v>366.51899340890498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19.444444444444443</v>
      </c>
      <c r="AI14" s="14">
        <f>IF('Données projet'!$A$62&gt;35,AI13+AH14-AQ13,IF(A14&lt;'Données projet'!$A$62,$AF$205^A14,IF(A14='Données projet'!$A$62,'Données projet'!$B$62,AI13+AH14-AQ13)))</f>
        <v>35.868089876755377</v>
      </c>
      <c r="AJ14" s="14">
        <f>AI14*VLOOKUP('Données projet'!$B$10,Paramètres!$A$1:$I$89,3,0)*VLOOKUP('Données projet'!$B$10,Paramètres!$A$1:$I$89,5,0)</f>
        <v>18.35298422813819</v>
      </c>
      <c r="AK14" s="14">
        <f t="shared" si="35"/>
        <v>6.0278619476661319</v>
      </c>
      <c r="AL14" s="22">
        <f t="shared" si="4"/>
        <v>42.463307089525856</v>
      </c>
      <c r="AM14" s="62">
        <f t="shared" si="5"/>
        <v>236.95910569863997</v>
      </c>
      <c r="AN14" s="62">
        <f ca="1">AVERAGE(OFFSET($AM$3,0,0,'Données projet'!$E$10+1,1))-AVERAGE(OFFSET($H$3,0,0,'Données projet'!$E$10+1,1))</f>
        <v>81.048073180639847</v>
      </c>
      <c r="AO14" s="62">
        <f t="shared" si="36"/>
        <v>418.93026662539467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20.111111111111111</v>
      </c>
      <c r="BD14" s="13">
        <f>IF('Données projet'!$A$88&gt;35,BD13+BC14-BL13,IF(A14&lt;'Données projet'!$A$88,$BA$205^A14,IF(A14='Données projet'!$A$88,'Données projet'!$B$88,BD13+BC14-BL13)))</f>
        <v>36.614679548649072</v>
      </c>
      <c r="BE14" s="14">
        <f>BD14*VLOOKUP('Données projet'!$B$11,Paramètres!$A$1:$I$89,3,0)*VLOOKUP('Données projet'!$B$11,Paramètres!$A$1:$I$89,5,0)</f>
        <v>18.620761431260973</v>
      </c>
      <c r="BF14" s="14">
        <f t="shared" si="37"/>
        <v>6.1055079249543267</v>
      </c>
      <c r="BG14" s="22">
        <f t="shared" si="7"/>
        <v>43.06491912874165</v>
      </c>
      <c r="BH14" s="62">
        <f t="shared" si="8"/>
        <v>237.56071773785578</v>
      </c>
      <c r="BI14" s="62">
        <f ca="1">AVERAGE(OFFSET($BH$3,0,0,'Données projet'!$E$11+1,1))-AVERAGE(OFFSET($H$3,0,0,'Données projet'!$E$11+1,1))</f>
        <v>82.73499565245794</v>
      </c>
      <c r="BJ14" s="62">
        <f t="shared" si="38"/>
        <v>429.59688548095812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270.31020517344285</v>
      </c>
      <c r="S15" s="62">
        <f ca="1">AVERAGE(OFFSET($R$3,0,0,'Données projet'!$E$9+1,1))-AVERAGE(OFFSET($H$3,0,0,'Données projet'!$E$9+1,1))</f>
        <v>212.90262675152454</v>
      </c>
      <c r="T15" s="62">
        <f t="shared" si="34"/>
        <v>366.51899340890498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19.444444444444443</v>
      </c>
      <c r="AI15" s="14">
        <f>IF('Données projet'!$A$62&gt;35,AI14+AH15-AQ14,IF(A15&lt;'Données projet'!$A$62,$AF$205^A15,IF(A15='Données projet'!$A$62,'Données projet'!$B$62,AI14+AH15-AQ14)))</f>
        <v>49.664419418963398</v>
      </c>
      <c r="AJ15" s="14">
        <f>AI15*VLOOKUP('Données projet'!$B$10,Paramètres!$A$1:$I$89,3,0)*VLOOKUP('Données projet'!$B$10,Paramètres!$A$1:$I$89,5,0)</f>
        <v>25.412290128295194</v>
      </c>
      <c r="AK15" s="14">
        <f t="shared" si="35"/>
        <v>8.036163626207804</v>
      </c>
      <c r="AL15" s="22">
        <f t="shared" si="4"/>
        <v>58.256056955759391</v>
      </c>
      <c r="AM15" s="62">
        <f t="shared" si="5"/>
        <v>255.28583440849226</v>
      </c>
      <c r="AN15" s="62">
        <f ca="1">AVERAGE(OFFSET($AM$3,0,0,'Données projet'!$E$10+1,1))-AVERAGE(OFFSET($H$3,0,0,'Données projet'!$E$10+1,1))</f>
        <v>81.048073180639847</v>
      </c>
      <c r="AO15" s="62">
        <f t="shared" si="36"/>
        <v>418.93026662539467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20.111111111111111</v>
      </c>
      <c r="BD15" s="13">
        <f>IF('Données projet'!$A$88&gt;35,BD14+BC15-BL14,IF(A15&lt;'Données projet'!$A$88,$BA$205^A15,IF(A15='Données projet'!$A$88,'Données projet'!$B$88,BD14+BC15-BL14)))</f>
        <v>50.793216280591857</v>
      </c>
      <c r="BE15" s="14">
        <f>BD15*VLOOKUP('Données projet'!$B$11,Paramètres!$A$1:$I$89,3,0)*VLOOKUP('Données projet'!$B$11,Paramètres!$A$1:$I$89,5,0)</f>
        <v>25.831398071657798</v>
      </c>
      <c r="BF15" s="14">
        <f t="shared" si="37"/>
        <v>8.1531599039031306</v>
      </c>
      <c r="BG15" s="22">
        <f t="shared" si="7"/>
        <v>59.189771807435285</v>
      </c>
      <c r="BH15" s="62">
        <f t="shared" si="8"/>
        <v>256.21954926016815</v>
      </c>
      <c r="BI15" s="62">
        <f ca="1">AVERAGE(OFFSET($BH$3,0,0,'Données projet'!$E$11+1,1))-AVERAGE(OFFSET($H$3,0,0,'Données projet'!$E$11+1,1))</f>
        <v>82.73499565245794</v>
      </c>
      <c r="BJ15" s="62">
        <f t="shared" si="38"/>
        <v>429.59688548095812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300.77616496565503</v>
      </c>
      <c r="S16" s="62">
        <f ca="1">AVERAGE(OFFSET($R$3,0,0,'Données projet'!$E$9+1,1))-AVERAGE(OFFSET($H$3,0,0,'Données projet'!$E$9+1,1))</f>
        <v>212.90262675152454</v>
      </c>
      <c r="T16" s="62">
        <f t="shared" si="34"/>
        <v>366.51899340890498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19.444444444444443</v>
      </c>
      <c r="AI16" s="14">
        <f>IF('Données projet'!$A$62&gt;35,AI15+AH16-AQ15,IF(A16&lt;'Données projet'!$A$62,$AF$205^A16,IF(A16='Données projet'!$A$62,'Données projet'!$B$62,AI15+AH16-AQ15)))</f>
        <v>68.767379715449565</v>
      </c>
      <c r="AJ16" s="14">
        <f>AI16*VLOOKUP('Données projet'!$B$10,Paramètres!$A$1:$I$89,3,0)*VLOOKUP('Données projet'!$B$10,Paramètres!$A$1:$I$89,5,0)</f>
        <v>35.186892852801236</v>
      </c>
      <c r="AK16" s="14">
        <f t="shared" si="35"/>
        <v>10.713570812979448</v>
      </c>
      <c r="AL16" s="22">
        <f t="shared" si="4"/>
        <v>79.943307551234682</v>
      </c>
      <c r="AM16" s="62">
        <f t="shared" si="5"/>
        <v>279.48430780285349</v>
      </c>
      <c r="AN16" s="62">
        <f ca="1">AVERAGE(OFFSET($AM$3,0,0,'Données projet'!$E$10+1,1))-AVERAGE(OFFSET($H$3,0,0,'Données projet'!$E$10+1,1))</f>
        <v>81.048073180639847</v>
      </c>
      <c r="AO16" s="62">
        <f t="shared" si="36"/>
        <v>418.93026662539467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20.111111111111111</v>
      </c>
      <c r="BD16" s="13">
        <f>IF('Données projet'!$A$88&gt;35,BD15+BC16-BL15,IF(A16&lt;'Données projet'!$A$88,$BA$205^A16,IF(A16='Données projet'!$A$88,'Données projet'!$B$88,BD15+BC16-BL15)))</f>
        <v>70.462198547963823</v>
      </c>
      <c r="BE16" s="14">
        <f>BD16*VLOOKUP('Données projet'!$B$11,Paramètres!$A$1:$I$89,3,0)*VLOOKUP('Données projet'!$B$11,Paramètres!$A$1:$I$89,5,0)</f>
        <v>35.834255693552485</v>
      </c>
      <c r="BF16" s="14">
        <f t="shared" si="37"/>
        <v>10.887548953449437</v>
      </c>
      <c r="BG16" s="22">
        <f t="shared" si="7"/>
        <v>81.373809760195016</v>
      </c>
      <c r="BH16" s="62">
        <f t="shared" si="8"/>
        <v>280.91481001181381</v>
      </c>
      <c r="BI16" s="62">
        <f ca="1">AVERAGE(OFFSET($BH$3,0,0,'Données projet'!$E$11+1,1))-AVERAGE(OFFSET($H$3,0,0,'Données projet'!$E$11+1,1))</f>
        <v>82.73499565245794</v>
      </c>
      <c r="BJ16" s="62">
        <f t="shared" si="38"/>
        <v>429.59688548095812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306.11086648176422</v>
      </c>
      <c r="S17" s="62">
        <f ca="1">AVERAGE(OFFSET($R$3,0,0,'Données projet'!$E$9+1,1))-AVERAGE(OFFSET($H$3,0,0,'Données projet'!$E$9+1,1))</f>
        <v>212.90262675152454</v>
      </c>
      <c r="T17" s="62">
        <f t="shared" si="34"/>
        <v>366.51899340890498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19.444444444444443</v>
      </c>
      <c r="AI17" s="14">
        <f>IF('Données projet'!$A$62&gt;35,AI16+AH17-AQ16,IF(A17&lt;'Données projet'!$A$62,$AF$205^A17,IF(A17='Données projet'!$A$62,'Données projet'!$B$62,AI16+AH17-AQ16)))</f>
        <v>95.218117281024007</v>
      </c>
      <c r="AJ17" s="14">
        <f>AI17*VLOOKUP('Données projet'!$B$10,Paramètres!$A$1:$I$89,3,0)*VLOOKUP('Données projet'!$B$10,Paramètres!$A$1:$I$89,5,0)</f>
        <v>48.721206250354363</v>
      </c>
      <c r="AK17" s="14">
        <f t="shared" si="35"/>
        <v>14.283009269547339</v>
      </c>
      <c r="AL17" s="22">
        <f t="shared" si="4"/>
        <v>109.73234203049547</v>
      </c>
      <c r="AM17" s="62">
        <f t="shared" si="5"/>
        <v>311.76220380276868</v>
      </c>
      <c r="AN17" s="62">
        <f ca="1">AVERAGE(OFFSET($AM$3,0,0,'Données projet'!$E$10+1,1))-AVERAGE(OFFSET($H$3,0,0,'Données projet'!$E$10+1,1))</f>
        <v>81.048073180639847</v>
      </c>
      <c r="AO17" s="62">
        <f t="shared" si="36"/>
        <v>418.93026662539467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20.111111111111111</v>
      </c>
      <c r="BD17" s="13">
        <f>IF('Données projet'!$A$88&gt;35,BD16+BC17-BL16,IF(A17&lt;'Données projet'!$A$88,$BA$205^A17,IF(A17='Données projet'!$A$88,'Données projet'!$B$88,BD16+BC17-BL16)))</f>
        <v>97.747726719754453</v>
      </c>
      <c r="BE17" s="14">
        <f>BD17*VLOOKUP('Données projet'!$B$11,Paramètres!$A$1:$I$89,3,0)*VLOOKUP('Données projet'!$B$11,Paramètres!$A$1:$I$89,5,0)</f>
        <v>49.71058390059833</v>
      </c>
      <c r="BF17" s="14">
        <f t="shared" si="37"/>
        <v>14.538991459864581</v>
      </c>
      <c r="BG17" s="22">
        <f t="shared" si="7"/>
        <v>111.90134375280623</v>
      </c>
      <c r="BH17" s="62">
        <f t="shared" si="8"/>
        <v>313.93120552507941</v>
      </c>
      <c r="BI17" s="62">
        <f ca="1">AVERAGE(OFFSET($BH$3,0,0,'Données projet'!$E$11+1,1))-AVERAGE(OFFSET($H$3,0,0,'Données projet'!$E$11+1,1))</f>
        <v>82.73499565245794</v>
      </c>
      <c r="BJ17" s="62">
        <f t="shared" si="38"/>
        <v>429.59688548095812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331.062001208688</v>
      </c>
      <c r="S18" s="62">
        <f ca="1">AVERAGE(OFFSET($R$3,0,0,'Données projet'!$E$9+1,1))-AVERAGE(OFFSET($H$3,0,0,'Données projet'!$E$9+1,1))</f>
        <v>212.90262675152454</v>
      </c>
      <c r="T18" s="62">
        <f t="shared" si="34"/>
        <v>366.51899340890498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19.444444444444443</v>
      </c>
      <c r="AI18" s="14">
        <f>IF('Données projet'!$A$62&gt;35,AI17+AH18-AQ17,IF(A18&lt;'Données projet'!$A$62,$AF$205^A18,IF(A18='Données projet'!$A$62,'Données projet'!$B$62,AI17+AH18-AQ17)))</f>
        <v>131.84288678816608</v>
      </c>
      <c r="AJ18" s="14">
        <f>AI18*VLOOKUP('Données projet'!$B$10,Paramètres!$A$1:$I$89,3,0)*VLOOKUP('Données projet'!$B$10,Paramètres!$A$1:$I$89,5,0)</f>
        <v>67.461368311768837</v>
      </c>
      <c r="AK18" s="14">
        <f t="shared" si="35"/>
        <v>19.041676893274904</v>
      </c>
      <c r="AL18" s="22">
        <f t="shared" si="4"/>
        <v>150.65947039878452</v>
      </c>
      <c r="AM18" s="62">
        <f t="shared" si="5"/>
        <v>355.15622033166557</v>
      </c>
      <c r="AN18" s="62">
        <f ca="1">AVERAGE(OFFSET($AM$3,0,0,'Données projet'!$E$10+1,1))-AVERAGE(OFFSET($H$3,0,0,'Données projet'!$E$10+1,1))</f>
        <v>81.048073180639847</v>
      </c>
      <c r="AO18" s="62">
        <f t="shared" si="36"/>
        <v>418.93026662539467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20.111111111111111</v>
      </c>
      <c r="BD18" s="13">
        <f>IF('Données projet'!$A$88&gt;35,BD17+BC18-BL17,IF(A18&lt;'Données projet'!$A$88,$BA$205^A18,IF(A18='Données projet'!$A$88,'Données projet'!$B$88,BD17+BC18-BL17)))</f>
        <v>135.59920461999127</v>
      </c>
      <c r="BE18" s="14">
        <f>BD18*VLOOKUP('Données projet'!$B$11,Paramètres!$A$1:$I$89,3,0)*VLOOKUP('Données projet'!$B$11,Paramètres!$A$1:$I$89,5,0)</f>
        <v>68.960331501542768</v>
      </c>
      <c r="BF18" s="14">
        <f t="shared" si="37"/>
        <v>19.41504681850768</v>
      </c>
      <c r="BG18" s="22">
        <f t="shared" si="7"/>
        <v>153.92045057408788</v>
      </c>
      <c r="BH18" s="62">
        <f t="shared" si="8"/>
        <v>358.41720050696892</v>
      </c>
      <c r="BI18" s="62">
        <f ca="1">AVERAGE(OFFSET($BH$3,0,0,'Données projet'!$E$11+1,1))-AVERAGE(OFFSET($H$3,0,0,'Données projet'!$E$11+1,1))</f>
        <v>82.73499565245794</v>
      </c>
      <c r="BJ18" s="62">
        <f t="shared" si="38"/>
        <v>429.59688548095812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355.89446194696382</v>
      </c>
      <c r="S19" s="62">
        <f ca="1">AVERAGE(OFFSET($R$3,0,0,'Données projet'!$E$9+1,1))-AVERAGE(OFFSET($H$3,0,0,'Données projet'!$E$9+1,1))</f>
        <v>212.90262675152454</v>
      </c>
      <c r="T19" s="62">
        <f t="shared" si="34"/>
        <v>366.51899340890498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19.444444444444443</v>
      </c>
      <c r="AI19" s="14">
        <f>IF('Données projet'!$A$62&gt;35,AI18+AH19-AQ18,IF(A19&lt;'Données projet'!$A$62,$AF$205^A19,IF(A19='Données projet'!$A$62,'Données projet'!$B$62,AI18+AH19-AQ18)))</f>
        <v>182.55503566968065</v>
      </c>
      <c r="AJ19" s="14">
        <f>AI19*VLOOKUP('Données projet'!$B$10,Paramètres!$A$1:$I$89,3,0)*VLOOKUP('Données projet'!$B$10,Paramètres!$A$1:$I$89,5,0)</f>
        <v>93.409760651462193</v>
      </c>
      <c r="AK19" s="14">
        <f t="shared" si="35"/>
        <v>25.385788951418228</v>
      </c>
      <c r="AL19" s="22">
        <f t="shared" si="4"/>
        <v>206.90224889168337</v>
      </c>
      <c r="AM19" s="62">
        <f t="shared" si="5"/>
        <v>413.84429481379743</v>
      </c>
      <c r="AN19" s="62">
        <f ca="1">AVERAGE(OFFSET($AM$3,0,0,'Données projet'!$E$10+1,1))-AVERAGE(OFFSET($H$3,0,0,'Données projet'!$E$10+1,1))</f>
        <v>81.048073180639847</v>
      </c>
      <c r="AO19" s="62">
        <f t="shared" si="36"/>
        <v>418.93026662539467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20.111111111111111</v>
      </c>
      <c r="BD19" s="13">
        <f>IF('Données projet'!$A$88&gt;35,BD18+BC19-BL18,IF(A19&lt;'Données projet'!$A$88,$BA$205^A19,IF(A19='Données projet'!$A$88,'Données projet'!$B$88,BD18+BC19-BL18)))</f>
        <v>188.10815259459417</v>
      </c>
      <c r="BE19" s="14">
        <f>BD19*VLOOKUP('Données projet'!$B$11,Paramètres!$A$1:$I$89,3,0)*VLOOKUP('Données projet'!$B$11,Paramètres!$A$1:$I$89,5,0)</f>
        <v>95.664282083506819</v>
      </c>
      <c r="BF19" s="14">
        <f t="shared" si="37"/>
        <v>25.926423026343553</v>
      </c>
      <c r="BG19" s="22">
        <f t="shared" si="7"/>
        <v>211.77047806632274</v>
      </c>
      <c r="BH19" s="62">
        <f t="shared" si="8"/>
        <v>418.71252398843683</v>
      </c>
      <c r="BI19" s="62">
        <f ca="1">AVERAGE(OFFSET($BH$3,0,0,'Données projet'!$E$11+1,1))-AVERAGE(OFFSET($H$3,0,0,'Données projet'!$E$11+1,1))</f>
        <v>82.73499565245794</v>
      </c>
      <c r="BJ19" s="62">
        <f t="shared" si="38"/>
        <v>429.59688548095812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380.62530506110102</v>
      </c>
      <c r="S20" s="62">
        <f ca="1">AVERAGE(OFFSET($R$3,0,0,'Données projet'!$E$9+1,1))-AVERAGE(OFFSET($H$3,0,0,'Données projet'!$E$9+1,1))</f>
        <v>212.90262675152454</v>
      </c>
      <c r="T20" s="62">
        <f t="shared" si="34"/>
        <v>366.51899340890498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19.444444444444443</v>
      </c>
      <c r="AI20" s="14">
        <f>IF('Données projet'!$A$62&gt;35,AI19+AH20-AQ19,IF(A20&lt;'Données projet'!$A$62,$AF$205^A20,IF(A20='Données projet'!$A$62,'Données projet'!$B$62,AI19+AH20-AQ19)))</f>
        <v>252.77314431004763</v>
      </c>
      <c r="AJ20" s="14">
        <f>AI20*VLOOKUP('Données projet'!$B$10,Paramètres!$A$1:$I$89,3,0)*VLOOKUP('Données projet'!$B$10,Paramètres!$A$1:$I$89,5,0)</f>
        <v>129.33896248056519</v>
      </c>
      <c r="AK20" s="14">
        <f t="shared" si="35"/>
        <v>33.843567680404767</v>
      </c>
      <c r="AL20" s="22">
        <f t="shared" si="4"/>
        <v>284.20957336368934</v>
      </c>
      <c r="AM20" s="62">
        <f t="shared" si="5"/>
        <v>493.57569767956204</v>
      </c>
      <c r="AN20" s="62">
        <f ca="1">AVERAGE(OFFSET($AM$3,0,0,'Données projet'!$E$10+1,1))-AVERAGE(OFFSET($H$3,0,0,'Données projet'!$E$10+1,1))</f>
        <v>81.048073180639847</v>
      </c>
      <c r="AO20" s="62">
        <f t="shared" si="36"/>
        <v>418.93026662539467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20.111111111111111</v>
      </c>
      <c r="BD20" s="13">
        <f>IF('Données projet'!$A$88&gt;35,BD19+BC20-BL19,IF(A20&lt;'Données projet'!$A$88,$BA$205^A20,IF(A20='Données projet'!$A$88,'Données projet'!$B$88,BD19+BC20-BL19)))</f>
        <v>260.95047660282808</v>
      </c>
      <c r="BE20" s="14">
        <f>BD20*VLOOKUP('Données projet'!$B$11,Paramètres!$A$1:$I$89,3,0)*VLOOKUP('Données projet'!$B$11,Paramètres!$A$1:$I$89,5,0)</f>
        <v>132.70897438113425</v>
      </c>
      <c r="BF20" s="14">
        <f t="shared" si="37"/>
        <v>34.621570435779319</v>
      </c>
      <c r="BG20" s="22">
        <f t="shared" si="7"/>
        <v>291.43403222279113</v>
      </c>
      <c r="BH20" s="62">
        <f t="shared" si="8"/>
        <v>500.80015653866383</v>
      </c>
      <c r="BI20" s="62">
        <f ca="1">AVERAGE(OFFSET($BH$3,0,0,'Données projet'!$E$11+1,1))-AVERAGE(OFFSET($H$3,0,0,'Données projet'!$E$11+1,1))</f>
        <v>82.73499565245794</v>
      </c>
      <c r="BJ20" s="62">
        <f t="shared" si="38"/>
        <v>429.59688548095812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405.2668580005261</v>
      </c>
      <c r="S21" s="62">
        <f ca="1">AVERAGE(OFFSET($R$3,0,0,'Données projet'!$E$9+1,1))-AVERAGE(OFFSET($H$3,0,0,'Données projet'!$E$9+1,1))</f>
        <v>212.90262675152454</v>
      </c>
      <c r="T21" s="62">
        <f t="shared" si="34"/>
        <v>366.51899340890498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350</v>
      </c>
      <c r="AG21" s="13">
        <f>VLOOKUP(A21,'Données projet'!$A$61:$I$81,9,0)</f>
        <v>19.444444444444443</v>
      </c>
      <c r="AH21" s="13">
        <f t="array" ref="AH21">INDEX(AG:AG,MIN(IF(ISNUMBER(AG21:AG217),ROW(AG21:AG217),"")))</f>
        <v>19.444444444444443</v>
      </c>
      <c r="AI21" s="14">
        <f>IF('Données projet'!$A$62&gt;35,AI20+AH21-AQ20,IF(A21&lt;'Données projet'!$A$62,$AF$205^A21,IF(A21='Données projet'!$A$62,'Données projet'!$B$62,AI20+AH21-AQ20)))</f>
        <v>350</v>
      </c>
      <c r="AJ21" s="14">
        <f>AI21*VLOOKUP('Données projet'!$B$10,Paramètres!$A$1:$I$89,3,0)*VLOOKUP('Données projet'!$B$10,Paramètres!$A$1:$I$89,5,0)</f>
        <v>179.08800000000002</v>
      </c>
      <c r="AK21" s="14">
        <f t="shared" si="35"/>
        <v>45.119223023956835</v>
      </c>
      <c r="AL21" s="22">
        <f t="shared" si="4"/>
        <v>390.49424676672487</v>
      </c>
      <c r="AM21" s="62">
        <f t="shared" si="5"/>
        <v>602.26359995872804</v>
      </c>
      <c r="AN21" s="62">
        <f ca="1">AVERAGE(OFFSET($AM$3,0,0,'Données projet'!$E$10+1,1))-AVERAGE(OFFSET($H$3,0,0,'Données projet'!$E$10+1,1))</f>
        <v>81.048073180639847</v>
      </c>
      <c r="AO21" s="62">
        <f t="shared" si="36"/>
        <v>418.93026662539467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350</v>
      </c>
      <c r="AR21" s="17">
        <f>IF(ISNA(VLOOKUP(A21,'Données projet'!$A$61:$I$81,5,0)),0%,VLOOKUP(A21,'Données projet'!$A$61:$I$81,5,0)*VLOOKUP('Données projet'!$B$10,Paramètres!$A$1:$I$89,7,0))</f>
        <v>0.46199999999999997</v>
      </c>
      <c r="AS21" s="17">
        <f>IF(ISNA(VLOOKUP(A21,'Données projet'!$A$61:$I$81,6,0)),0%,VLOOKUP(A21,'Données projet'!$A$61:$I$81,6,0)*VLOOKUP('Données projet'!$B$10,Paramètres!$A$1:$I$89,7,0))</f>
        <v>0.126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91.465133450366224</v>
      </c>
      <c r="AV21" s="23">
        <f>EXP(-LN(2)/25)*AV20+(1-EXP(-LN(2)/25))/(LN(2)/25)*Calculateur!AQ21*Calculateur!AS21*VLOOKUP('Données projet'!$B$10,Paramètres!$A$1:$I$89,3,0)*0.475*44/12</f>
        <v>24.846818282461097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116.31195173282732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>
        <f>VLOOKUP(A21,'Données projet'!$A$87:$I$107,2,0)</f>
        <v>362</v>
      </c>
      <c r="BB21" s="13">
        <f>VLOOKUP(A21,'Données projet'!$A$87:$I$107,9,0)</f>
        <v>20.111111111111111</v>
      </c>
      <c r="BC21" s="13">
        <f t="array" ref="BC21">INDEX(BB:BB,MIN(IF(ISNUMBER(BB21:BB217),ROW(BB21:BB217),"")))</f>
        <v>20.111111111111111</v>
      </c>
      <c r="BD21" s="13">
        <f>IF('Données projet'!$A$88&gt;35,BD20+BC21-BL20,IF(A21&lt;'Données projet'!$A$88,$BA$205^A21,IF(A21='Données projet'!$A$88,'Données projet'!$B$88,BD20+BC21-BL20)))</f>
        <v>362</v>
      </c>
      <c r="BE21" s="14">
        <f>BD21*VLOOKUP('Données projet'!$B$11,Paramètres!$A$1:$I$89,3,0)*VLOOKUP('Données projet'!$B$11,Paramètres!$A$1:$I$89,5,0)</f>
        <v>184.09872000000001</v>
      </c>
      <c r="BF21" s="14">
        <f t="shared" si="37"/>
        <v>46.232877486481328</v>
      </c>
      <c r="BG21" s="22">
        <f t="shared" si="7"/>
        <v>401.16086562228833</v>
      </c>
      <c r="BH21" s="62">
        <f t="shared" si="8"/>
        <v>612.93021881429149</v>
      </c>
      <c r="BI21" s="62">
        <f ca="1">AVERAGE(OFFSET($BH$3,0,0,'Données projet'!$E$11+1,1))-AVERAGE(OFFSET($H$3,0,0,'Données projet'!$E$11+1,1))</f>
        <v>82.73499565245794</v>
      </c>
      <c r="BJ21" s="62">
        <f t="shared" si="38"/>
        <v>429.59688548095812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362</v>
      </c>
      <c r="BM21" s="17">
        <f>IF(ISNA(VLOOKUP(A21,'Données projet'!$A$87:$I$107,5,0)),0%,VLOOKUP(A21,'Données projet'!$A$87:$I$107,5,0)*VLOOKUP('Données projet'!$B$11,Paramètres!$A$1:$I$89,7,0))</f>
        <v>0.46199999999999997</v>
      </c>
      <c r="BN21" s="17">
        <f>IF(ISNA(VLOOKUP(A21,'Données projet'!$A$87:$I$107,6,0)),0%,VLOOKUP(A21,'Données projet'!$A$87:$I$107,6,0)*VLOOKUP('Données projet'!$B$11,Paramètres!$A$1:$I$89,7,0))</f>
        <v>0.126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94.024245023907795</v>
      </c>
      <c r="BQ21" s="23">
        <f>EXP(-LN(2)/25)*BQ20+(1-EXP(-LN(2)/25))/(LN(2)/25)*Calculateur!BL21*Calculateur!BN21*VLOOKUP('Données projet'!$B$11,Paramètres!$A$1:$I$89,3,0)*0.475*44/12</f>
        <v>25.542009748691623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119.56625477259942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429.82845947240821</v>
      </c>
      <c r="S22" s="62">
        <f ca="1">AVERAGE(OFFSET($R$3,0,0,'Données projet'!$E$9+1,1))-AVERAGE(OFFSET($H$3,0,0,'Données projet'!$E$9+1,1))</f>
        <v>212.90262675152454</v>
      </c>
      <c r="T22" s="62">
        <f t="shared" si="34"/>
        <v>366.51899340890498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81.048073180639847</v>
      </c>
      <c r="AO22" s="62">
        <f t="shared" si="36"/>
        <v>418.93026662539467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89.671557971627323</v>
      </c>
      <c r="AV22" s="23">
        <f>EXP(-LN(2)/25)*AV21+(1-EXP(-LN(2)/25))/(LN(2)/25)*Calculateur!AQ22*Calculateur!AS22*VLOOKUP('Données projet'!$B$10,Paramètres!$A$1:$I$89,3,0)*0.475*44/12</f>
        <v>24.167380729889814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113.83893870151714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>
        <f>BD22*VLOOKUP('Données projet'!$B$11,Paramètres!$A$1:$I$89,3,0)*VLOOKUP('Données projet'!$B$11,Paramètres!$A$1:$I$89,5,0)</f>
        <v>0</v>
      </c>
      <c r="BF22" s="14" t="e">
        <f t="shared" si="37"/>
        <v>#NUM!</v>
      </c>
      <c r="BG22" s="22" t="e">
        <f t="shared" si="7"/>
        <v>#NUM!</v>
      </c>
      <c r="BH22" s="62" t="e">
        <f t="shared" si="8"/>
        <v>#NUM!</v>
      </c>
      <c r="BI22" s="62">
        <f ca="1">AVERAGE(OFFSET($BH$3,0,0,'Données projet'!$E$11+1,1))-AVERAGE(OFFSET($H$3,0,0,'Données projet'!$E$11+1,1))</f>
        <v>82.73499565245794</v>
      </c>
      <c r="BJ22" s="62">
        <f t="shared" si="38"/>
        <v>429.59688548095812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92.18048692811567</v>
      </c>
      <c r="BQ22" s="23">
        <f>EXP(-LN(2)/25)*BQ21+(1-EXP(-LN(2)/25))/(LN(2)/25)*Calculateur!BL22*Calculateur!BN22*VLOOKUP('Données projet'!$B$11,Paramètres!$A$1:$I$89,3,0)*0.475*44/12</f>
        <v>24.843562148917734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117.0240490770334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401.8151253622475</v>
      </c>
      <c r="S23" s="62">
        <f ca="1">AVERAGE(OFFSET($R$3,0,0,'Données projet'!$E$9+1,1))-AVERAGE(OFFSET($H$3,0,0,'Données projet'!$E$9+1,1))</f>
        <v>212.90262675152454</v>
      </c>
      <c r="T23" s="62">
        <f t="shared" si="34"/>
        <v>366.51899340890498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81.048073180639847</v>
      </c>
      <c r="AO23" s="62">
        <f t="shared" si="36"/>
        <v>418.93026662539467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87.913153414053468</v>
      </c>
      <c r="AV23" s="23">
        <f>EXP(-LN(2)/25)*AV22+(1-EXP(-LN(2)/25))/(LN(2)/25)*Calculateur!AQ23*Calculateur!AS23*VLOOKUP('Données projet'!$B$10,Paramètres!$A$1:$I$89,3,0)*0.475*44/12</f>
        <v>23.50652243292366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111.41967584697713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>
        <f>BD23*VLOOKUP('Données projet'!$B$11,Paramètres!$A$1:$I$89,3,0)*VLOOKUP('Données projet'!$B$11,Paramètres!$A$1:$I$89,5,0)</f>
        <v>0</v>
      </c>
      <c r="BF23" s="14" t="e">
        <f t="shared" si="37"/>
        <v>#NUM!</v>
      </c>
      <c r="BG23" s="22" t="e">
        <f t="shared" si="7"/>
        <v>#NUM!</v>
      </c>
      <c r="BH23" s="62" t="e">
        <f t="shared" si="8"/>
        <v>#NUM!</v>
      </c>
      <c r="BI23" s="62">
        <f ca="1">AVERAGE(OFFSET($BH$3,0,0,'Données projet'!$E$11+1,1))-AVERAGE(OFFSET($H$3,0,0,'Données projet'!$E$11+1,1))</f>
        <v>82.73499565245794</v>
      </c>
      <c r="BJ23" s="62">
        <f t="shared" si="38"/>
        <v>429.59688548095812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90.372883804000637</v>
      </c>
      <c r="BQ23" s="23">
        <f>EXP(-LN(2)/25)*BQ22+(1-EXP(-LN(2)/25))/(LN(2)/25)*Calculateur!BL23*Calculateur!BN23*VLOOKUP('Données projet'!$B$11,Paramètres!$A$1:$I$89,3,0)*0.475*44/12</f>
        <v>24.164213635489425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114.53709743949005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425.49678251145406</v>
      </c>
      <c r="S24" s="62">
        <f ca="1">AVERAGE(OFFSET($R$3,0,0,'Données projet'!$E$9+1,1))-AVERAGE(OFFSET($H$3,0,0,'Données projet'!$E$9+1,1))</f>
        <v>212.90262675152454</v>
      </c>
      <c r="T24" s="62">
        <f t="shared" si="34"/>
        <v>366.51899340890498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81.048073180639847</v>
      </c>
      <c r="AO24" s="62">
        <f t="shared" si="36"/>
        <v>418.93026662539467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86.189230097332754</v>
      </c>
      <c r="AV24" s="23">
        <f>EXP(-LN(2)/25)*AV23+(1-EXP(-LN(2)/25))/(LN(2)/25)*Calculateur!AQ24*Calculateur!AS24*VLOOKUP('Données projet'!$B$10,Paramètres!$A$1:$I$89,3,0)*0.475*44/12</f>
        <v>22.863735340841071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109.05296543817383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82.73499565245794</v>
      </c>
      <c r="BJ24" s="62">
        <f t="shared" si="38"/>
        <v>429.59688548095812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88.600726674620461</v>
      </c>
      <c r="BQ24" s="23">
        <f>EXP(-LN(2)/25)*BQ23+(1-EXP(-LN(2)/25))/(LN(2)/25)*Calculateur!BL24*Calculateur!BN24*VLOOKUP('Données projet'!$B$11,Paramètres!$A$1:$I$89,3,0)*0.475*44/12</f>
        <v>23.503441942886198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112.10416861750666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449.10807333079902</v>
      </c>
      <c r="S25" s="62">
        <f ca="1">AVERAGE(OFFSET($R$3,0,0,'Données projet'!$E$9+1,1))-AVERAGE(OFFSET($H$3,0,0,'Données projet'!$E$9+1,1))</f>
        <v>212.90262675152454</v>
      </c>
      <c r="T25" s="62">
        <f t="shared" si="34"/>
        <v>366.51899340890498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81.048073180639847</v>
      </c>
      <c r="AO25" s="62">
        <f t="shared" si="36"/>
        <v>418.93026662539467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84.499111865363531</v>
      </c>
      <c r="AV25" s="23">
        <f>EXP(-LN(2)/25)*AV24+(1-EXP(-LN(2)/25))/(LN(2)/25)*Calculateur!AQ25*Calculateur!AS25*VLOOKUP('Données projet'!$B$10,Paramètres!$A$1:$I$89,3,0)*0.475*44/12</f>
        <v>22.238525295594187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106.73763716095772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82.73499565245794</v>
      </c>
      <c r="BJ25" s="62">
        <f t="shared" si="38"/>
        <v>429.59688548095812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86.86332046563831</v>
      </c>
      <c r="BQ25" s="23">
        <f>EXP(-LN(2)/25)*BQ24+(1-EXP(-LN(2)/25))/(LN(2)/25)*Calculateur!BL25*Calculateur!BN25*VLOOKUP('Données projet'!$B$11,Paramètres!$A$1:$I$89,3,0)*0.475*44/12</f>
        <v>22.86073908696568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109.72405955260399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472.65476050313146</v>
      </c>
      <c r="S26" s="62">
        <f ca="1">AVERAGE(OFFSET($R$3,0,0,'Données projet'!$E$9+1,1))-AVERAGE(OFFSET($H$3,0,0,'Données projet'!$E$9+1,1))</f>
        <v>212.90262675152454</v>
      </c>
      <c r="T26" s="62">
        <f t="shared" si="34"/>
        <v>366.51899340890498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81.048073180639847</v>
      </c>
      <c r="AO26" s="62">
        <f t="shared" si="36"/>
        <v>418.93026662539467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82.842135821052906</v>
      </c>
      <c r="AV26" s="23">
        <f>EXP(-LN(2)/25)*AV25+(1-EXP(-LN(2)/25))/(LN(2)/25)*Calculateur!AQ26*Calculateur!AS26*VLOOKUP('Données projet'!$B$10,Paramètres!$A$1:$I$89,3,0)*0.475*44/12</f>
        <v>21.630411651912944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104.47254747296586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82.73499565245794</v>
      </c>
      <c r="BJ26" s="62">
        <f t="shared" si="38"/>
        <v>429.59688548095812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85.15998373270115</v>
      </c>
      <c r="BQ26" s="23">
        <f>EXP(-LN(2)/25)*BQ25+(1-EXP(-LN(2)/25))/(LN(2)/25)*Calculateur!BL26*Calculateur!BN26*VLOOKUP('Données projet'!$B$11,Paramètres!$A$1:$I$89,3,0)*0.475*44/12</f>
        <v>22.235610974438583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107.39559470713974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496.14159938714988</v>
      </c>
      <c r="S27" s="62">
        <f ca="1">AVERAGE(OFFSET($R$3,0,0,'Données projet'!$E$9+1,1))-AVERAGE(OFFSET($H$3,0,0,'Données projet'!$E$9+1,1))</f>
        <v>212.90262675152454</v>
      </c>
      <c r="T27" s="62">
        <f t="shared" si="34"/>
        <v>366.51899340890498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81.048073180639847</v>
      </c>
      <c r="AO27" s="62">
        <f t="shared" si="36"/>
        <v>418.93026662539467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81.217652066315608</v>
      </c>
      <c r="AV27" s="23">
        <f>EXP(-LN(2)/25)*AV26+(1-EXP(-LN(2)/25))/(LN(2)/25)*Calculateur!AQ27*Calculateur!AS27*VLOOKUP('Données projet'!$B$10,Paramètres!$A$1:$I$89,3,0)*0.475*44/12</f>
        <v>21.038926907797471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102.25657897411308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82.73499565245794</v>
      </c>
      <c r="BJ27" s="62">
        <f t="shared" si="38"/>
        <v>429.59688548095812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83.490048394164063</v>
      </c>
      <c r="BQ27" s="23">
        <f>EXP(-LN(2)/25)*BQ26+(1-EXP(-LN(2)/25))/(LN(2)/25)*Calculateur!BL27*Calculateur!BN27*VLOOKUP('Données projet'!$B$11,Paramètres!$A$1:$I$89,3,0)*0.475*44/12</f>
        <v>21.627577023022599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105.11762541718666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519.57258874169929</v>
      </c>
      <c r="S28" s="62">
        <f ca="1">AVERAGE(OFFSET($R$3,0,0,'Données projet'!$E$9+1,1))-AVERAGE(OFFSET($H$3,0,0,'Données projet'!$E$9+1,1))</f>
        <v>212.90262675152454</v>
      </c>
      <c r="T28" s="62">
        <f t="shared" si="34"/>
        <v>366.51899340890498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81.048073180639847</v>
      </c>
      <c r="AO28" s="62">
        <f t="shared" si="36"/>
        <v>418.93026662539467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79.625023447171458</v>
      </c>
      <c r="AV28" s="23">
        <f>EXP(-LN(2)/25)*AV27+(1-EXP(-LN(2)/25))/(LN(2)/25)*Calculateur!AQ28*Calculateur!AS28*VLOOKUP('Données projet'!$B$10,Paramètres!$A$1:$I$89,3,0)*0.475*44/12</f>
        <v>20.463616345114669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100.08863979228613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82.73499565245794</v>
      </c>
      <c r="BJ28" s="62">
        <f t="shared" si="38"/>
        <v>429.59688548095812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81.852859469055716</v>
      </c>
      <c r="BQ28" s="23">
        <f>EXP(-LN(2)/25)*BQ27+(1-EXP(-LN(2)/25))/(LN(2)/25)*Calculateur!BL28*Calculateur!BN28*VLOOKUP('Données projet'!$B$11,Paramètres!$A$1:$I$89,3,0)*0.475*44/12</f>
        <v>21.036169791983202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102.88902926103891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470.19215731329916</v>
      </c>
      <c r="S29" s="62">
        <f ca="1">AVERAGE(OFFSET($R$3,0,0,'Données projet'!$E$9+1,1))-AVERAGE(OFFSET($H$3,0,0,'Données projet'!$E$9+1,1))</f>
        <v>212.90262675152454</v>
      </c>
      <c r="T29" s="62">
        <f t="shared" si="34"/>
        <v>366.51899340890498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81.048073180639847</v>
      </c>
      <c r="AO29" s="62">
        <f t="shared" si="36"/>
        <v>418.93026662539467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78.063625303841192</v>
      </c>
      <c r="AV29" s="23">
        <f>EXP(-LN(2)/25)*AV28+(1-EXP(-LN(2)/25))/(LN(2)/25)*Calculateur!AQ29*Calculateur!AS29*VLOOKUP('Données projet'!$B$10,Paramètres!$A$1:$I$89,3,0)*0.475*44/12</f>
        <v>19.904037680022697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97.967662983863889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82.73499565245794</v>
      </c>
      <c r="BJ29" s="62">
        <f t="shared" si="38"/>
        <v>429.59688548095812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80.247774820182087</v>
      </c>
      <c r="BQ29" s="23">
        <f>EXP(-LN(2)/25)*BQ28+(1-EXP(-LN(2)/25))/(LN(2)/25)*Calculateur!BL29*Calculateur!BN29*VLOOKUP('Données projet'!$B$11,Paramètres!$A$1:$I$89,3,0)*0.475*44/12</f>
        <v>20.46093462277733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100.70870944295942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490.17264650231931</v>
      </c>
      <c r="S30" s="62">
        <f ca="1">AVERAGE(OFFSET($R$3,0,0,'Données projet'!$E$9+1,1))-AVERAGE(OFFSET($H$3,0,0,'Données projet'!$E$9+1,1))</f>
        <v>212.90262675152454</v>
      </c>
      <c r="T30" s="62">
        <f t="shared" si="34"/>
        <v>366.51899340890498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81.048073180639847</v>
      </c>
      <c r="AO30" s="62">
        <f t="shared" si="36"/>
        <v>418.93026662539467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76.532845225742804</v>
      </c>
      <c r="AV30" s="23">
        <f>EXP(-LN(2)/25)*AV29+(1-EXP(-LN(2)/25))/(LN(2)/25)*Calculateur!AQ30*Calculateur!AS30*VLOOKUP('Données projet'!$B$10,Paramètres!$A$1:$I$89,3,0)*0.475*44/12</f>
        <v>19.359760722954626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95.892605948697422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82.73499565245794</v>
      </c>
      <c r="BJ30" s="62">
        <f t="shared" si="38"/>
        <v>429.59688548095812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78.674164902267904</v>
      </c>
      <c r="BQ30" s="23">
        <f>EXP(-LN(2)/25)*BQ29+(1-EXP(-LN(2)/25))/(LN(2)/25)*Calculateur!BL30*Calculateur!BN30*VLOOKUP('Données projet'!$B$11,Paramètres!$A$1:$I$89,3,0)*0.475*44/12</f>
        <v>19.901429289523698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98.575594191791595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510.1079946109337</v>
      </c>
      <c r="S31" s="62">
        <f ca="1">AVERAGE(OFFSET($R$3,0,0,'Données projet'!$E$9+1,1))-AVERAGE(OFFSET($H$3,0,0,'Données projet'!$E$9+1,1))</f>
        <v>212.90262675152454</v>
      </c>
      <c r="T31" s="62">
        <f t="shared" si="34"/>
        <v>366.51899340890498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81.048073180639847</v>
      </c>
      <c r="AO31" s="62">
        <f t="shared" si="36"/>
        <v>418.93026662539467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75.03208281129227</v>
      </c>
      <c r="AV31" s="23">
        <f>EXP(-LN(2)/25)*AV30+(1-EXP(-LN(2)/25))/(LN(2)/25)*Calculateur!AQ31*Calculateur!AS31*VLOOKUP('Données projet'!$B$10,Paramètres!$A$1:$I$89,3,0)*0.475*44/12</f>
        <v>18.830367047899863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93.862449859192139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82.73499565245794</v>
      </c>
      <c r="BJ31" s="62">
        <f t="shared" si="38"/>
        <v>429.59688548095812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77.131412515036743</v>
      </c>
      <c r="BQ31" s="23">
        <f>EXP(-LN(2)/25)*BQ30+(1-EXP(-LN(2)/25))/(LN(2)/25)*Calculateur!BL31*Calculateur!BN31*VLOOKUP('Données projet'!$B$11,Paramètres!$A$1:$I$89,3,0)*0.475*44/12</f>
        <v>19.357223659030993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96.488636174067736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530.00053400555623</v>
      </c>
      <c r="S32" s="62">
        <f ca="1">AVERAGE(OFFSET($R$3,0,0,'Données projet'!$E$9+1,1))-AVERAGE(OFFSET($H$3,0,0,'Données projet'!$E$9+1,1))</f>
        <v>212.90262675152454</v>
      </c>
      <c r="T32" s="62">
        <f t="shared" si="34"/>
        <v>366.51899340890498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81.048073180639847</v>
      </c>
      <c r="AO32" s="62">
        <f t="shared" si="36"/>
        <v>418.93026662539467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73.560749432414426</v>
      </c>
      <c r="AV32" s="23">
        <f>EXP(-LN(2)/25)*AV31+(1-EXP(-LN(2)/25))/(LN(2)/25)*Calculateur!AQ32*Calculateur!AS32*VLOOKUP('Données projet'!$B$10,Paramètres!$A$1:$I$89,3,0)*0.475*44/12</f>
        <v>18.315449670729077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91.876199103143506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82.73499565245794</v>
      </c>
      <c r="BJ32" s="62">
        <f t="shared" si="38"/>
        <v>429.59688548095812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75.618912561133143</v>
      </c>
      <c r="BQ32" s="23">
        <f>EXP(-LN(2)/25)*BQ31+(1-EXP(-LN(2)/25))/(LN(2)/25)*Calculateur!BL32*Calculateur!BN32*VLOOKUP('Données projet'!$B$11,Paramètres!$A$1:$I$89,3,0)*0.475*44/12</f>
        <v>18.82789936012264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94.446811921255787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549.85232674223835</v>
      </c>
      <c r="S33" s="62">
        <f ca="1">AVERAGE(OFFSET($R$3,0,0,'Données projet'!$E$9+1,1))-AVERAGE(OFFSET($H$3,0,0,'Données projet'!$E$9+1,1))</f>
        <v>212.90262675152454</v>
      </c>
      <c r="T33" s="62">
        <f t="shared" si="34"/>
        <v>366.51899340890498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81.048073180639847</v>
      </c>
      <c r="AO33" s="62">
        <f t="shared" si="36"/>
        <v>418.93026662539467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72.118268003671616</v>
      </c>
      <c r="AV33" s="23">
        <f>EXP(-LN(2)/25)*AV32+(1-EXP(-LN(2)/25))/(LN(2)/25)*Calculateur!AQ33*Calculateur!AS33*VLOOKUP('Données projet'!$B$10,Paramètres!$A$1:$I$89,3,0)*0.475*44/12</f>
        <v>17.814612736315354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89.93288073998697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82.73499565245794</v>
      </c>
      <c r="BJ33" s="62">
        <f t="shared" si="38"/>
        <v>429.59688548095812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74.136071808791712</v>
      </c>
      <c r="BQ33" s="23">
        <f>EXP(-LN(2)/25)*BQ32+(1-EXP(-LN(2)/25))/(LN(2)/25)*Calculateur!BL33*Calculateur!BN33*VLOOKUP('Données projet'!$B$11,Paramètres!$A$1:$I$89,3,0)*0.475*44/12</f>
        <v>18.313049462003889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92.449121270795601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566.94101890403579</v>
      </c>
      <c r="S34" s="62">
        <f ca="1">AVERAGE(OFFSET($R$3,0,0,'Données projet'!$E$9+1,1))-AVERAGE(OFFSET($H$3,0,0,'Données projet'!$E$9+1,1))</f>
        <v>212.90262675152454</v>
      </c>
      <c r="T34" s="62">
        <f t="shared" si="34"/>
        <v>366.51899340890498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81.048073180639847</v>
      </c>
      <c r="AO34" s="62">
        <f t="shared" si="36"/>
        <v>418.93026662539467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70.704072755919668</v>
      </c>
      <c r="AV34" s="23">
        <f>EXP(-LN(2)/25)*AV33+(1-EXP(-LN(2)/25))/(LN(2)/25)*Calculateur!AQ34*Calculateur!AS34*VLOOKUP('Données projet'!$B$10,Paramètres!$A$1:$I$89,3,0)*0.475*44/12</f>
        <v>17.327471214211041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88.031543970130713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82.73499565245794</v>
      </c>
      <c r="BJ34" s="62">
        <f t="shared" si="38"/>
        <v>429.59688548095812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72.682308659160157</v>
      </c>
      <c r="BQ34" s="23">
        <f>EXP(-LN(2)/25)*BQ33+(1-EXP(-LN(2)/25))/(LN(2)/25)*Calculateur!BL34*Calculateur!BN34*VLOOKUP('Données projet'!$B$11,Paramètres!$A$1:$I$89,3,0)*0.475*44/12</f>
        <v>17.812278161423976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90.494586820584132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583.99578169369306</v>
      </c>
      <c r="S35" s="62">
        <f ca="1">AVERAGE(OFFSET($R$3,0,0,'Données projet'!$E$9+1,1))-AVERAGE(OFFSET($H$3,0,0,'Données projet'!$E$9+1,1))</f>
        <v>212.90262675152454</v>
      </c>
      <c r="T35" s="62">
        <f t="shared" si="34"/>
        <v>366.51899340890498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81.048073180639847</v>
      </c>
      <c r="AO35" s="62">
        <f t="shared" si="36"/>
        <v>418.93026662539467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69.317609014402208</v>
      </c>
      <c r="AV35" s="23">
        <f>EXP(-LN(2)/25)*AV34+(1-EXP(-LN(2)/25))/(LN(2)/25)*Calculateur!AQ35*Calculateur!AS35*VLOOKUP('Données projet'!$B$10,Paramètres!$A$1:$I$89,3,0)*0.475*44/12</f>
        <v>16.853650602646333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86.171259617048548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82.73499565245794</v>
      </c>
      <c r="BJ35" s="62">
        <f t="shared" si="38"/>
        <v>429.59688548095812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71.257052918184897</v>
      </c>
      <c r="BQ35" s="23">
        <f>EXP(-LN(2)/25)*BQ34+(1-EXP(-LN(2)/25))/(LN(2)/25)*Calculateur!BL35*Calculateur!BN35*VLOOKUP('Données projet'!$B$11,Paramètres!$A$1:$I$89,3,0)*0.475*44/12</f>
        <v>17.325200478392841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88.582253396577741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601.01784277296713</v>
      </c>
      <c r="S36" s="62">
        <f ca="1">AVERAGE(OFFSET($R$3,0,0,'Données projet'!$E$9+1,1))-AVERAGE(OFFSET($H$3,0,0,'Données projet'!$E$9+1,1))</f>
        <v>212.90262675152454</v>
      </c>
      <c r="T36" s="62">
        <f t="shared" si="34"/>
        <v>366.51899340890498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81.048073180639847</v>
      </c>
      <c r="AO36" s="62">
        <f t="shared" si="36"/>
        <v>418.93026662539467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67.95833298119652</v>
      </c>
      <c r="AV36" s="23">
        <f>EXP(-LN(2)/25)*AV35+(1-EXP(-LN(2)/25))/(LN(2)/25)*Calculateur!AQ36*Calculateur!AS36*VLOOKUP('Données projet'!$B$10,Paramètres!$A$1:$I$89,3,0)*0.475*44/12</f>
        <v>16.392786640622003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84.351119621818526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82.73499565245794</v>
      </c>
      <c r="BJ36" s="62">
        <f t="shared" si="38"/>
        <v>429.59688548095812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69.859745572969999</v>
      </c>
      <c r="BQ36" s="23">
        <f>EXP(-LN(2)/25)*BQ35+(1-EXP(-LN(2)/25))/(LN(2)/25)*Calculateur!BL36*Calculateur!BN36*VLOOKUP('Données projet'!$B$11,Paramètres!$A$1:$I$89,3,0)*0.475*44/12</f>
        <v>16.851441960218491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86.711187533188493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618.00833322074936</v>
      </c>
      <c r="S37" s="62">
        <f ca="1">AVERAGE(OFFSET($R$3,0,0,'Données projet'!$E$9+1,1))-AVERAGE(OFFSET($H$3,0,0,'Données projet'!$E$9+1,1))</f>
        <v>212.90262675152454</v>
      </c>
      <c r="T37" s="62">
        <f t="shared" si="34"/>
        <v>366.51899340890498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81.048073180639847</v>
      </c>
      <c r="AO37" s="62">
        <f t="shared" si="36"/>
        <v>418.93026662539467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66.625711521925481</v>
      </c>
      <c r="AV37" s="23">
        <f>EXP(-LN(2)/25)*AV36+(1-EXP(-LN(2)/25))/(LN(2)/25)*Calculateur!AQ37*Calculateur!AS37*VLOOKUP('Données projet'!$B$10,Paramètres!$A$1:$I$89,3,0)*0.475*44/12</f>
        <v>15.944525027875011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82.570236549800498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82.73499565245794</v>
      </c>
      <c r="BJ37" s="62">
        <f t="shared" si="38"/>
        <v>429.59688548095812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68.48983857252145</v>
      </c>
      <c r="BQ37" s="23">
        <f>EXP(-LN(2)/25)*BQ36+(1-EXP(-LN(2)/25))/(LN(2)/25)*Calculateur!BL37*Calculateur!BN37*VLOOKUP('Données projet'!$B$11,Paramètres!$A$1:$I$89,3,0)*0.475*44/12</f>
        <v>16.390638393637499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84.880476966158952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634.96830014834575</v>
      </c>
      <c r="S38" s="62">
        <f ca="1">AVERAGE(OFFSET($R$3,0,0,'Données projet'!$E$9+1,1))-AVERAGE(OFFSET($H$3,0,0,'Données projet'!$E$9+1,1))</f>
        <v>212.90262675152454</v>
      </c>
      <c r="T38" s="62">
        <f t="shared" si="34"/>
        <v>366.51899340890498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81.048073180639847</v>
      </c>
      <c r="AO38" s="62">
        <f t="shared" si="36"/>
        <v>418.93026662539467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65.319221956651916</v>
      </c>
      <c r="AV38" s="23">
        <f>EXP(-LN(2)/25)*AV37+(1-EXP(-LN(2)/25))/(LN(2)/25)*Calculateur!AQ38*Calculateur!AS38*VLOOKUP('Données projet'!$B$10,Paramètres!$A$1:$I$89,3,0)*0.475*44/12</f>
        <v>15.50852115250164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80.827743109153559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82.73499565245794</v>
      </c>
      <c r="BJ38" s="62">
        <f t="shared" si="38"/>
        <v>429.59688548095812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67.146794612790927</v>
      </c>
      <c r="BQ38" s="23">
        <f>EXP(-LN(2)/25)*BQ37+(1-EXP(-LN(2)/25))/(LN(2)/25)*Calculateur!BL38*Calculateur!BN38*VLOOKUP('Données projet'!$B$11,Paramètres!$A$1:$I$89,3,0)*0.475*44/12</f>
        <v>15.94243552481727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83.089230137608197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651.89871714549997</v>
      </c>
      <c r="S39" s="62">
        <f ca="1">AVERAGE(OFFSET($R$3,0,0,'Données projet'!$E$9+1,1))-AVERAGE(OFFSET($H$3,0,0,'Données projet'!$E$9+1,1))</f>
        <v>212.90262675152454</v>
      </c>
      <c r="T39" s="62">
        <f t="shared" si="34"/>
        <v>366.51899340890498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81.048073180639847</v>
      </c>
      <c r="AO39" s="62">
        <f t="shared" si="36"/>
        <v>418.93026662539467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64.038351854873412</v>
      </c>
      <c r="AV39" s="23">
        <f>EXP(-LN(2)/25)*AV38+(1-EXP(-LN(2)/25))/(LN(2)/25)*Calculateur!AQ39*Calculateur!AS39*VLOOKUP('Données projet'!$B$10,Paramètres!$A$1:$I$89,3,0)*0.475*44/12</f>
        <v>15.084439826028801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79.12279168090221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82.73499565245794</v>
      </c>
      <c r="BJ39" s="62">
        <f t="shared" si="38"/>
        <v>429.59688548095812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65.830086925934793</v>
      </c>
      <c r="BQ39" s="23">
        <f>EXP(-LN(2)/25)*BQ38+(1-EXP(-LN(2)/25))/(LN(2)/25)*Calculateur!BL39*Calculateur!BN39*VLOOKUP('Données projet'!$B$11,Paramètres!$A$1:$I$89,3,0)*0.475*44/12</f>
        <v>15.506488787014895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81.336575712949696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668.80049300464702</v>
      </c>
      <c r="S40" s="62">
        <f ca="1">AVERAGE(OFFSET($R$3,0,0,'Données projet'!$E$9+1,1))-AVERAGE(OFFSET($H$3,0,0,'Données projet'!$E$9+1,1))</f>
        <v>212.90262675152454</v>
      </c>
      <c r="T40" s="62">
        <f t="shared" si="34"/>
        <v>366.51899340890498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81.048073180639847</v>
      </c>
      <c r="AO40" s="62">
        <f t="shared" si="36"/>
        <v>418.93026662539467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62.782598834537168</v>
      </c>
      <c r="AV40" s="23">
        <f>EXP(-LN(2)/25)*AV39+(1-EXP(-LN(2)/25))/(LN(2)/25)*Calculateur!AQ40*Calculateur!AS40*VLOOKUP('Données projet'!$B$10,Paramètres!$A$1:$I$89,3,0)*0.475*44/12</f>
        <v>14.671955025729829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77.454553860266998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82.73499565245794</v>
      </c>
      <c r="BJ40" s="62">
        <f t="shared" si="38"/>
        <v>429.59688548095812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64.539199073705518</v>
      </c>
      <c r="BQ40" s="23">
        <f>EXP(-LN(2)/25)*BQ39+(1-EXP(-LN(2)/25))/(LN(2)/25)*Calculateur!BL40*Calculateur!BN40*VLOOKUP('Données projet'!$B$11,Paramètres!$A$1:$I$89,3,0)*0.475*44/12</f>
        <v>15.082463035683167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79.62166210938868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685.67447906472125</v>
      </c>
      <c r="S41" s="62">
        <f ca="1">AVERAGE(OFFSET($R$3,0,0,'Données projet'!$E$9+1,1))-AVERAGE(OFFSET($H$3,0,0,'Données projet'!$E$9+1,1))</f>
        <v>212.90262675152454</v>
      </c>
      <c r="T41" s="62">
        <f t="shared" si="34"/>
        <v>366.51899340890498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81.048073180639847</v>
      </c>
      <c r="AO41" s="62">
        <f t="shared" si="36"/>
        <v>418.93026662539467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61.551470364996007</v>
      </c>
      <c r="AV41" s="23">
        <f>EXP(-LN(2)/25)*AV40+(1-EXP(-LN(2)/25))/(LN(2)/25)*Calculateur!AQ41*Calculateur!AS41*VLOOKUP('Données projet'!$B$10,Paramètres!$A$1:$I$89,3,0)*0.475*44/12</f>
        <v>14.270749643986665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75.822220008982669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82.73499565245794</v>
      </c>
      <c r="BJ41" s="62">
        <f t="shared" si="38"/>
        <v>429.59688548095812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63.273624744894612</v>
      </c>
      <c r="BQ41" s="23">
        <f>EXP(-LN(2)/25)*BQ40+(1-EXP(-LN(2)/25))/(LN(2)/25)*Calculateur!BL41*Calculateur!BN41*VLOOKUP('Données projet'!$B$11,Paramètres!$A$1:$I$89,3,0)*0.475*44/12</f>
        <v>14.670032290820151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77.943657035714764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247.00939709010819</v>
      </c>
      <c r="S42" s="62">
        <f ca="1">AVERAGE(OFFSET($R$3,0,0,'Données projet'!$E$9+1,1))-AVERAGE(OFFSET($H$3,0,0,'Données projet'!$E$9+1,1))</f>
        <v>212.90262675152454</v>
      </c>
      <c r="T42" s="62">
        <f t="shared" si="34"/>
        <v>366.51899340890498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81.048073180639847</v>
      </c>
      <c r="AO42" s="62">
        <f t="shared" si="36"/>
        <v>418.93026662539467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60.344483573828327</v>
      </c>
      <c r="AV42" s="23">
        <f>EXP(-LN(2)/25)*AV41+(1-EXP(-LN(2)/25))/(LN(2)/25)*Calculateur!AQ42*Calculateur!AS42*VLOOKUP('Données projet'!$B$10,Paramètres!$A$1:$I$89,3,0)*0.475*44/12</f>
        <v>13.880515244505743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74.224998818334072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82.73499565245794</v>
      </c>
      <c r="BJ42" s="62">
        <f t="shared" si="38"/>
        <v>429.59688548095812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62.032867556747568</v>
      </c>
      <c r="BQ42" s="23">
        <f>EXP(-LN(2)/25)*BQ41+(1-EXP(-LN(2)/25))/(LN(2)/25)*Calculateur!BL42*Calculateur!BN42*VLOOKUP('Données projet'!$B$11,Paramètres!$A$1:$I$89,3,0)*0.475*44/12</f>
        <v>14.268879486364204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76.301747043111774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247.81301381912189</v>
      </c>
      <c r="S43" s="62">
        <f ca="1">AVERAGE(OFFSET($R$3,0,0,'Données projet'!$E$9+1,1))-AVERAGE(OFFSET($H$3,0,0,'Données projet'!$E$9+1,1))</f>
        <v>212.90262675152454</v>
      </c>
      <c r="T43" s="62">
        <f t="shared" si="34"/>
        <v>366.51899340890498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81.048073180639847</v>
      </c>
      <c r="AO43" s="62">
        <f t="shared" si="36"/>
        <v>418.93026662539467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59.16116505744619</v>
      </c>
      <c r="AV43" s="23">
        <f>EXP(-LN(2)/25)*AV42+(1-EXP(-LN(2)/25))/(LN(2)/25)*Calculateur!AQ43*Calculateur!AS43*VLOOKUP('Données projet'!$B$10,Paramètres!$A$1:$I$89,3,0)*0.475*44/12</f>
        <v>13.500951825200161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72.662116882646359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82.73499565245794</v>
      </c>
      <c r="BJ43" s="62">
        <f t="shared" si="38"/>
        <v>429.59688548095812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60.816440860272934</v>
      </c>
      <c r="BQ43" s="23">
        <f>EXP(-LN(2)/25)*BQ42+(1-EXP(-LN(2)/25))/(LN(2)/25)*Calculateur!BL43*Calculateur!BN43*VLOOKUP('Données projet'!$B$11,Paramètres!$A$1:$I$89,3,0)*0.475*44/12</f>
        <v>13.878696226441814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74.695137086714752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248.60268959450505</v>
      </c>
      <c r="S44" s="62">
        <f ca="1">AVERAGE(OFFSET($R$3,0,0,'Données projet'!$E$9+1,1))-AVERAGE(OFFSET($H$3,0,0,'Données projet'!$E$9+1,1))</f>
        <v>212.90262675152454</v>
      </c>
      <c r="T44" s="62">
        <f t="shared" si="34"/>
        <v>366.51899340890498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81.048073180639847</v>
      </c>
      <c r="AO44" s="62">
        <f t="shared" si="36"/>
        <v>418.93026662539467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58.001050695417284</v>
      </c>
      <c r="AV44" s="23">
        <f>EXP(-LN(2)/25)*AV43+(1-EXP(-LN(2)/25))/(LN(2)/25)*Calculateur!AQ44*Calculateur!AS44*VLOOKUP('Données projet'!$B$10,Paramètres!$A$1:$I$89,3,0)*0.475*44/12</f>
        <v>13.131767587555863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71.132818282973147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82.73499565245794</v>
      </c>
      <c r="BJ44" s="62">
        <f t="shared" si="38"/>
        <v>429.59688548095812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59.623867549369145</v>
      </c>
      <c r="BQ44" s="23">
        <f>EXP(-LN(2)/25)*BQ43+(1-EXP(-LN(2)/25))/(LN(2)/25)*Calculateur!BL44*Calculateur!BN44*VLOOKUP('Données projet'!$B$11,Paramètres!$A$1:$I$89,3,0)*0.475*44/12</f>
        <v>13.499182548280849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73.123050097649994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249.37866626063581</v>
      </c>
      <c r="S45" s="62">
        <f ca="1">AVERAGE(OFFSET($R$3,0,0,'Données projet'!$E$9+1,1))-AVERAGE(OFFSET($H$3,0,0,'Données projet'!$E$9+1,1))</f>
        <v>212.90262675152454</v>
      </c>
      <c r="T45" s="62">
        <f t="shared" si="34"/>
        <v>366.51899340890498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81.048073180639847</v>
      </c>
      <c r="AO45" s="62">
        <f t="shared" si="36"/>
        <v>418.93026662539467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56.863685468427875</v>
      </c>
      <c r="AV45" s="23">
        <f>EXP(-LN(2)/25)*AV44+(1-EXP(-LN(2)/25))/(LN(2)/25)*Calculateur!AQ45*Calculateur!AS45*VLOOKUP('Données projet'!$B$10,Paramètres!$A$1:$I$89,3,0)*0.475*44/12</f>
        <v>12.772678712304504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69.636364180732386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82.73499565245794</v>
      </c>
      <c r="BJ45" s="62">
        <f t="shared" si="38"/>
        <v>429.59688548095812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58.454679873694282</v>
      </c>
      <c r="BQ45" s="23">
        <f>EXP(-LN(2)/25)*BQ44+(1-EXP(-LN(2)/25))/(LN(2)/25)*Calculateur!BL45*Calculateur!BN45*VLOOKUP('Données projet'!$B$11,Paramètres!$A$1:$I$89,3,0)*0.475*44/12</f>
        <v>13.130046691606951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71.584726565301239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250.14118146643312</v>
      </c>
      <c r="S46" s="62">
        <f ca="1">AVERAGE(OFFSET($R$3,0,0,'Données projet'!$E$9+1,1))-AVERAGE(OFFSET($H$3,0,0,'Données projet'!$E$9+1,1))</f>
        <v>212.90262675152454</v>
      </c>
      <c r="T46" s="62">
        <f t="shared" si="34"/>
        <v>366.51899340890498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81.048073180639847</v>
      </c>
      <c r="AO46" s="62">
        <f t="shared" si="36"/>
        <v>418.93026662539467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55.748623279815433</v>
      </c>
      <c r="AV46" s="23">
        <f>EXP(-LN(2)/25)*AV45+(1-EXP(-LN(2)/25))/(LN(2)/25)*Calculateur!AQ46*Calculateur!AS46*VLOOKUP('Données projet'!$B$10,Paramètres!$A$1:$I$89,3,0)*0.475*44/12</f>
        <v>12.423409141230556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68.172032421045984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82.73499565245794</v>
      </c>
      <c r="BJ46" s="62">
        <f t="shared" si="38"/>
        <v>429.59688548095812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57.308419255205337</v>
      </c>
      <c r="BQ46" s="23">
        <f>EXP(-LN(2)/25)*BQ45+(1-EXP(-LN(2)/25))/(LN(2)/25)*Calculateur!BL46*Calculateur!BN46*VLOOKUP('Données projet'!$B$11,Paramètres!$A$1:$I$89,3,0)*0.475*44/12</f>
        <v>12.771004874345813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70.079424129551143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250.89046873813851</v>
      </c>
      <c r="S47" s="62">
        <f ca="1">AVERAGE(OFFSET($R$3,0,0,'Données projet'!$E$9+1,1))-AVERAGE(OFFSET($H$3,0,0,'Données projet'!$E$9+1,1))</f>
        <v>212.90262675152454</v>
      </c>
      <c r="T47" s="62">
        <f t="shared" si="34"/>
        <v>366.51899340890498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81.048073180639847</v>
      </c>
      <c r="AO47" s="62">
        <f t="shared" si="36"/>
        <v>418.93026662539467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54.655426780600905</v>
      </c>
      <c r="AV47" s="23">
        <f>EXP(-LN(2)/25)*AV46+(1-EXP(-LN(2)/25))/(LN(2)/25)*Calculateur!AQ47*Calculateur!AS47*VLOOKUP('Données projet'!$B$10,Paramètres!$A$1:$I$89,3,0)*0.475*44/12</f>
        <v>12.083690364944914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66.739117145545819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82.73499565245794</v>
      </c>
      <c r="BJ47" s="62">
        <f t="shared" si="38"/>
        <v>429.59688548095812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56.184636108295017</v>
      </c>
      <c r="BQ47" s="23">
        <f>EXP(-LN(2)/25)*BQ46+(1-EXP(-LN(2)/25))/(LN(2)/25)*Calculateur!BL47*Calculateur!BN47*VLOOKUP('Données projet'!$B$11,Paramètres!$A$1:$I$89,3,0)*0.475*44/12</f>
        <v>12.421781074458869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68.606417182753887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251.62675755083521</v>
      </c>
      <c r="S48" s="62">
        <f ca="1">AVERAGE(OFFSET($R$3,0,0,'Données projet'!$E$9+1,1))-AVERAGE(OFFSET($H$3,0,0,'Données projet'!$E$9+1,1))</f>
        <v>212.90262675152454</v>
      </c>
      <c r="T48" s="62">
        <f t="shared" si="34"/>
        <v>366.51899340890498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81.048073180639847</v>
      </c>
      <c r="AO48" s="62">
        <f t="shared" si="36"/>
        <v>418.93026662539467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53.583667197951947</v>
      </c>
      <c r="AV48" s="23">
        <f>EXP(-LN(2)/25)*AV47+(1-EXP(-LN(2)/25))/(LN(2)/25)*Calculateur!AQ48*Calculateur!AS48*VLOOKUP('Données projet'!$B$10,Paramètres!$A$1:$I$89,3,0)*0.475*44/12</f>
        <v>11.753261216461837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65.336928414413791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82.73499565245794</v>
      </c>
      <c r="BJ48" s="62">
        <f t="shared" si="38"/>
        <v>429.59688548095812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55.082889663455568</v>
      </c>
      <c r="BQ48" s="23">
        <f>EXP(-LN(2)/25)*BQ47+(1-EXP(-LN(2)/25))/(LN(2)/25)*Calculateur!BL48*Calculateur!BN48*VLOOKUP('Données projet'!$B$11,Paramètres!$A$1:$I$89,3,0)*0.475*44/12</f>
        <v>12.082106817744714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67.164996481200276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252.35027339872673</v>
      </c>
      <c r="S49" s="62">
        <f ca="1">AVERAGE(OFFSET($R$3,0,0,'Données projet'!$E$9+1,1))-AVERAGE(OFFSET($H$3,0,0,'Données projet'!$E$9+1,1))</f>
        <v>212.90262675152454</v>
      </c>
      <c r="T49" s="62">
        <f t="shared" si="34"/>
        <v>366.51899340890498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81.048073180639847</v>
      </c>
      <c r="AO49" s="62">
        <f t="shared" si="36"/>
        <v>418.93026662539467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52.532924167009938</v>
      </c>
      <c r="AV49" s="23">
        <f>EXP(-LN(2)/25)*AV48+(1-EXP(-LN(2)/25))/(LN(2)/25)*Calculateur!AQ49*Calculateur!AS49*VLOOKUP('Données projet'!$B$10,Paramètres!$A$1:$I$89,3,0)*0.475*44/12</f>
        <v>11.431867670420543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63.964791837430482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82.73499565245794</v>
      </c>
      <c r="BJ49" s="62">
        <f t="shared" si="38"/>
        <v>429.59688548095812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54.002747794400449</v>
      </c>
      <c r="BQ49" s="23">
        <f>EXP(-LN(2)/25)*BQ48+(1-EXP(-LN(2)/25))/(LN(2)/25)*Calculateur!BL49*Calculateur!BN49*VLOOKUP('Données projet'!$B$11,Paramètres!$A$1:$I$89,3,0)*0.475*44/12</f>
        <v>11.751720971443101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65.754468765843555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253.06123786419647</v>
      </c>
      <c r="S50" s="62">
        <f ca="1">AVERAGE(OFFSET($R$3,0,0,'Données projet'!$E$9+1,1))-AVERAGE(OFFSET($H$3,0,0,'Données projet'!$E$9+1,1))</f>
        <v>212.90262675152454</v>
      </c>
      <c r="T50" s="62">
        <f t="shared" si="34"/>
        <v>366.51899340890498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81.048073180639847</v>
      </c>
      <c r="AO50" s="62">
        <f t="shared" si="36"/>
        <v>418.93026662539467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51.502785566014737</v>
      </c>
      <c r="AV50" s="23">
        <f>EXP(-LN(2)/25)*AV49+(1-EXP(-LN(2)/25))/(LN(2)/25)*Calculateur!AQ50*Calculateur!AS50*VLOOKUP('Données projet'!$B$10,Paramètres!$A$1:$I$89,3,0)*0.475*44/12</f>
        <v>11.1192626477971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62.622048213811837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82.73499565245794</v>
      </c>
      <c r="BJ50" s="62">
        <f t="shared" si="38"/>
        <v>429.59688548095812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52.943786848576011</v>
      </c>
      <c r="BQ50" s="23">
        <f>EXP(-LN(2)/25)*BQ49+(1-EXP(-LN(2)/25))/(LN(2)/25)*Calculateur!BL50*Calculateur!BN50*VLOOKUP('Données projet'!$B$11,Paramètres!$A$1:$I$89,3,0)*0.475*44/12</f>
        <v>11.430369543482842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64.37415639205885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253.75986868566878</v>
      </c>
      <c r="S51" s="62">
        <f ca="1">AVERAGE(OFFSET($R$3,0,0,'Données projet'!$E$9+1,1))-AVERAGE(OFFSET($H$3,0,0,'Données projet'!$E$9+1,1))</f>
        <v>212.90262675152454</v>
      </c>
      <c r="T51" s="62">
        <f t="shared" si="34"/>
        <v>366.51899340890498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81.048073180639847</v>
      </c>
      <c r="AO51" s="62">
        <f t="shared" si="36"/>
        <v>418.93026662539467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50.492847354662551</v>
      </c>
      <c r="AV51" s="23">
        <f>EXP(-LN(2)/25)*AV50+(1-EXP(-LN(2)/25))/(LN(2)/25)*Calculateur!AQ51*Calculateur!AS51*VLOOKUP('Données projet'!$B$10,Paramètres!$A$1:$I$89,3,0)*0.475*44/12</f>
        <v>10.815205825956479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61.308053180619027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82.73499565245794</v>
      </c>
      <c r="BJ51" s="62">
        <f t="shared" si="38"/>
        <v>429.59688548095812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51.90559148099679</v>
      </c>
      <c r="BQ51" s="23">
        <f>EXP(-LN(2)/25)*BQ50+(1-EXP(-LN(2)/25))/(LN(2)/25)*Calculateur!BL51*Calculateur!BN51*VLOOKUP('Données projet'!$B$11,Paramètres!$A$1:$I$89,3,0)*0.475*44/12</f>
        <v>11.117805487219293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63.023396968216083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254.44637982429305</v>
      </c>
      <c r="S52" s="62">
        <f ca="1">AVERAGE(OFFSET($R$3,0,0,'Données projet'!$E$9+1,1))-AVERAGE(OFFSET($H$3,0,0,'Données projet'!$E$9+1,1))</f>
        <v>212.90262675152454</v>
      </c>
      <c r="T52" s="62">
        <f t="shared" si="34"/>
        <v>366.51899340890498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81.048073180639847</v>
      </c>
      <c r="AO52" s="62">
        <f t="shared" si="36"/>
        <v>418.93026662539467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49.502713415633494</v>
      </c>
      <c r="AV52" s="23">
        <f>EXP(-LN(2)/25)*AV51+(1-EXP(-LN(2)/25))/(LN(2)/25)*Calculateur!AQ52*Calculateur!AS52*VLOOKUP('Données projet'!$B$10,Paramètres!$A$1:$I$89,3,0)*0.475*44/12</f>
        <v>10.519463453898743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60.022176869532238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82.73499565245794</v>
      </c>
      <c r="BJ52" s="62">
        <f t="shared" si="38"/>
        <v>429.59688548095812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50.887754491339152</v>
      </c>
      <c r="BQ52" s="23">
        <f>EXP(-LN(2)/25)*BQ51+(1-EXP(-LN(2)/25))/(LN(2)/25)*Calculateur!BL52*Calculateur!BN52*VLOOKUP('Données projet'!$B$11,Paramètres!$A$1:$I$89,3,0)*0.475*44/12</f>
        <v>10.813788511511301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61.701543002850457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255.12098152947118</v>
      </c>
      <c r="S53" s="62">
        <f ca="1">AVERAGE(OFFSET($R$3,0,0,'Données projet'!$E$9+1,1))-AVERAGE(OFFSET($H$3,0,0,'Données projet'!$E$9+1,1))</f>
        <v>212.90262675152454</v>
      </c>
      <c r="T53" s="62">
        <f t="shared" si="34"/>
        <v>366.51899340890498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81.048073180639847</v>
      </c>
      <c r="AO53" s="62">
        <f t="shared" si="36"/>
        <v>418.93026662539467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48.53199539922673</v>
      </c>
      <c r="AV53" s="23">
        <f>EXP(-LN(2)/25)*AV52+(1-EXP(-LN(2)/25))/(LN(2)/25)*Calculateur!AQ53*Calculateur!AS53*VLOOKUP('Données projet'!$B$10,Paramètres!$A$1:$I$89,3,0)*0.475*44/12</f>
        <v>10.231808172557342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58.763803571784074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82.73499565245794</v>
      </c>
      <c r="BJ53" s="62">
        <f t="shared" si="38"/>
        <v>429.59688548095812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49.889876664229433</v>
      </c>
      <c r="BQ53" s="23">
        <f>EXP(-LN(2)/25)*BQ52+(1-EXP(-LN(2)/25))/(LN(2)/25)*Calculateur!BL53*Calculateur!BN53*VLOOKUP('Données projet'!$B$11,Paramètres!$A$1:$I$89,3,0)*0.475*44/12</f>
        <v>10.518084895991603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60.40796156022104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255.78388040324791</v>
      </c>
      <c r="S54" s="62">
        <f ca="1">AVERAGE(OFFSET($R$3,0,0,'Données projet'!$E$9+1,1))-AVERAGE(OFFSET($H$3,0,0,'Données projet'!$E$9+1,1))</f>
        <v>212.90262675152454</v>
      </c>
      <c r="T54" s="62">
        <f t="shared" si="34"/>
        <v>366.51899340890498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81.048073180639847</v>
      </c>
      <c r="AO54" s="62">
        <f t="shared" si="36"/>
        <v>418.93026662539467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47.580312571042171</v>
      </c>
      <c r="AV54" s="23">
        <f>EXP(-LN(2)/25)*AV53+(1-EXP(-LN(2)/25))/(LN(2)/25)*Calculateur!AQ54*Calculateur!AS54*VLOOKUP('Données projet'!$B$10,Paramètres!$A$1:$I$89,3,0)*0.475*44/12</f>
        <v>9.9520188400113554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57.532331411053526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82.73499565245794</v>
      </c>
      <c r="BJ54" s="62">
        <f t="shared" si="38"/>
        <v>429.59688548095812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48.911566612663961</v>
      </c>
      <c r="BQ54" s="23">
        <f>EXP(-LN(2)/25)*BQ53+(1-EXP(-LN(2)/25))/(LN(2)/25)*Calculateur!BL54*Calculateur!BN54*VLOOKUP('Données projet'!$B$11,Paramètres!$A$1:$I$89,3,0)*0.475*44/12</f>
        <v>10.230467311388667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59.142033924052626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256.43527946358444</v>
      </c>
      <c r="S55" s="62">
        <f ca="1">AVERAGE(OFFSET($R$3,0,0,'Données projet'!$E$9+1,1))-AVERAGE(OFFSET($H$3,0,0,'Données projet'!$E$9+1,1))</f>
        <v>212.90262675152454</v>
      </c>
      <c r="T55" s="62">
        <f t="shared" si="34"/>
        <v>366.51899340890498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81.048073180639847</v>
      </c>
      <c r="AO55" s="62">
        <f t="shared" si="36"/>
        <v>418.93026662539467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46.647291662649103</v>
      </c>
      <c r="AV55" s="23">
        <f>EXP(-LN(2)/25)*AV54+(1-EXP(-LN(2)/25))/(LN(2)/25)*Calculateur!AQ55*Calculateur!AS55*VLOOKUP('Données projet'!$B$10,Paramètres!$A$1:$I$89,3,0)*0.475*44/12</f>
        <v>9.6798803614773199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56.327172024126426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82.73499565245794</v>
      </c>
      <c r="BJ55" s="62">
        <f t="shared" si="38"/>
        <v>429.59688548095812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47.952440624499481</v>
      </c>
      <c r="BQ55" s="23">
        <f>EXP(-LN(2)/25)*BQ54+(1-EXP(-LN(2)/25))/(LN(2)/25)*Calculateur!BL55*Calculateur!BN55*VLOOKUP('Données projet'!$B$11,Paramètres!$A$1:$I$89,3,0)*0.475*44/12</f>
        <v>9.9507146447618506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57.903155269261333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257.07537820653431</v>
      </c>
      <c r="S56" s="62">
        <f ca="1">AVERAGE(OFFSET($R$3,0,0,'Données projet'!$E$9+1,1))-AVERAGE(OFFSET($H$3,0,0,'Données projet'!$E$9+1,1))</f>
        <v>212.90262675152454</v>
      </c>
      <c r="T56" s="62">
        <f t="shared" si="34"/>
        <v>366.51899340890498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81.048073180639847</v>
      </c>
      <c r="AO56" s="62">
        <f t="shared" si="36"/>
        <v>418.93026662539467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45.732566725183062</v>
      </c>
      <c r="AV56" s="23">
        <f>EXP(-LN(2)/25)*AV55+(1-EXP(-LN(2)/25))/(LN(2)/25)*Calculateur!AQ56*Calculateur!AS56*VLOOKUP('Données projet'!$B$10,Paramètres!$A$1:$I$89,3,0)*0.475*44/12</f>
        <v>9.4151835239499384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55.147750249132997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82.73499565245794</v>
      </c>
      <c r="BJ56" s="62">
        <f t="shared" si="38"/>
        <v>429.59688548095812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47.01212251195382</v>
      </c>
      <c r="BQ56" s="23">
        <f>EXP(-LN(2)/25)*BQ55+(1-EXP(-LN(2)/25))/(LN(2)/25)*Calculateur!BL56*Calculateur!BN56*VLOOKUP('Données projet'!$B$11,Paramètres!$A$1:$I$89,3,0)*0.475*44/12</f>
        <v>9.6786118295154981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56.690734341469316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257.70437266734041</v>
      </c>
      <c r="S57" s="62">
        <f ca="1">AVERAGE(OFFSET($R$3,0,0,'Données projet'!$E$9+1,1))-AVERAGE(OFFSET($H$3,0,0,'Données projet'!$E$9+1,1))</f>
        <v>212.90262675152454</v>
      </c>
      <c r="T57" s="62">
        <f t="shared" si="34"/>
        <v>366.51899340890498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81.048073180639847</v>
      </c>
      <c r="AO57" s="62">
        <f t="shared" si="36"/>
        <v>418.93026662539467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44.835778985813612</v>
      </c>
      <c r="AV57" s="23">
        <f>EXP(-LN(2)/25)*AV56+(1-EXP(-LN(2)/25))/(LN(2)/25)*Calculateur!AQ57*Calculateur!AS57*VLOOKUP('Données projet'!$B$10,Paramètres!$A$1:$I$89,3,0)*0.475*44/12</f>
        <v>9.1577248353645437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53.993503821178152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82.73499565245794</v>
      </c>
      <c r="BJ57" s="62">
        <f t="shared" si="38"/>
        <v>429.59688548095812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46.090243464057757</v>
      </c>
      <c r="BQ57" s="23">
        <f>EXP(-LN(2)/25)*BQ56+(1-EXP(-LN(2)/25))/(LN(2)/25)*Calculateur!BL57*Calculateur!BN57*VLOOKUP('Données projet'!$B$11,Paramètres!$A$1:$I$89,3,0)*0.475*44/12</f>
        <v>9.4139496800613216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55.504193144119078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258.32245548047246</v>
      </c>
      <c r="S58" s="62">
        <f ca="1">AVERAGE(OFFSET($R$3,0,0,'Données projet'!$E$9+1,1))-AVERAGE(OFFSET($H$3,0,0,'Données projet'!$E$9+1,1))</f>
        <v>212.90262675152454</v>
      </c>
      <c r="T58" s="62">
        <f t="shared" si="34"/>
        <v>366.51899340890498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81.048073180639847</v>
      </c>
      <c r="AO58" s="62">
        <f t="shared" si="36"/>
        <v>418.93026662539467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43.956576707026684</v>
      </c>
      <c r="AV58" s="23">
        <f>EXP(-LN(2)/25)*AV57+(1-EXP(-LN(2)/25))/(LN(2)/25)*Calculateur!AQ58*Calculateur!AS58*VLOOKUP('Données projet'!$B$10,Paramètres!$A$1:$I$89,3,0)*0.475*44/12</f>
        <v>8.9073063681576823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52.863883075184368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82.73499565245794</v>
      </c>
      <c r="BJ58" s="62">
        <f t="shared" si="38"/>
        <v>429.59688548095812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45.18644190200024</v>
      </c>
      <c r="BQ58" s="23">
        <f>EXP(-LN(2)/25)*BQ57+(1-EXP(-LN(2)/25))/(LN(2)/25)*Calculateur!BL58*Calculateur!BN58*VLOOKUP('Données projet'!$B$11,Paramètres!$A$1:$I$89,3,0)*0.475*44/12</f>
        <v>9.1565247310019462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54.342966633002185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258.92981593862282</v>
      </c>
      <c r="S59" s="62">
        <f ca="1">AVERAGE(OFFSET($R$3,0,0,'Données projet'!$E$9+1,1))-AVERAGE(OFFSET($H$3,0,0,'Données projet'!$E$9+1,1))</f>
        <v>212.90262675152454</v>
      </c>
      <c r="T59" s="62">
        <f t="shared" si="34"/>
        <v>366.51899340890498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81.048073180639847</v>
      </c>
      <c r="AO59" s="62">
        <f t="shared" si="36"/>
        <v>418.93026662539467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43.094615048666327</v>
      </c>
      <c r="AV59" s="23">
        <f>EXP(-LN(2)/25)*AV58+(1-EXP(-LN(2)/25))/(LN(2)/25)*Calculateur!AQ59*Calculateur!AS59*VLOOKUP('Données projet'!$B$10,Paramètres!$A$1:$I$89,3,0)*0.475*44/12</f>
        <v>8.6637356071055258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51.758350655771849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82.73499565245794</v>
      </c>
      <c r="BJ59" s="62">
        <f t="shared" si="38"/>
        <v>429.59688548095812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44.300363337310152</v>
      </c>
      <c r="BQ59" s="23">
        <f>EXP(-LN(2)/25)*BQ58+(1-EXP(-LN(2)/25))/(LN(2)/25)*Calculateur!BL59*Calculateur!BN59*VLOOKUP('Données projet'!$B$11,Paramètres!$A$1:$I$89,3,0)*0.475*44/12</f>
        <v>8.9061390807119896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53.20650241802214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259.52664005067879</v>
      </c>
      <c r="S60" s="62">
        <f ca="1">AVERAGE(OFFSET($R$3,0,0,'Données projet'!$E$9+1,1))-AVERAGE(OFFSET($H$3,0,0,'Données projet'!$E$9+1,1))</f>
        <v>212.90262675152454</v>
      </c>
      <c r="T60" s="62">
        <f t="shared" si="34"/>
        <v>366.51899340890498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81.048073180639847</v>
      </c>
      <c r="AO60" s="62">
        <f t="shared" si="36"/>
        <v>418.93026662539467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42.249555932681723</v>
      </c>
      <c r="AV60" s="23">
        <f>EXP(-LN(2)/25)*AV59+(1-EXP(-LN(2)/25))/(LN(2)/25)*Calculateur!AQ60*Calculateur!AS60*VLOOKUP('Données projet'!$B$10,Paramètres!$A$1:$I$89,3,0)*0.475*44/12</f>
        <v>8.4268253013231718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50.676381234004893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82.73499565245794</v>
      </c>
      <c r="BJ60" s="62">
        <f t="shared" si="38"/>
        <v>429.59688548095812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43.431660232819077</v>
      </c>
      <c r="BQ60" s="23">
        <f>EXP(-LN(2)/25)*BQ59+(1-EXP(-LN(2)/25))/(LN(2)/25)*Calculateur!BL60*Calculateur!BN60*VLOOKUP('Données projet'!$B$11,Paramètres!$A$1:$I$89,3,0)*0.475*44/12</f>
        <v>8.6626002391964221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52.094260472015499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260.1131105986895</v>
      </c>
      <c r="S61" s="62">
        <f ca="1">AVERAGE(OFFSET($R$3,0,0,'Données projet'!$E$9+1,1))-AVERAGE(OFFSET($H$3,0,0,'Données projet'!$E$9+1,1))</f>
        <v>212.90262675152454</v>
      </c>
      <c r="T61" s="62">
        <f t="shared" si="34"/>
        <v>366.51899340890498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81.048073180639847</v>
      </c>
      <c r="AO61" s="62">
        <f t="shared" si="36"/>
        <v>418.93026662539467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41.421067910526411</v>
      </c>
      <c r="AV61" s="23">
        <f>EXP(-LN(2)/25)*AV60+(1-EXP(-LN(2)/25))/(LN(2)/25)*Calculateur!AQ61*Calculateur!AS61*VLOOKUP('Données projet'!$B$10,Paramètres!$A$1:$I$89,3,0)*0.475*44/12</f>
        <v>8.1963933203110066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49.617461230837421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82.73499565245794</v>
      </c>
      <c r="BJ61" s="62">
        <f t="shared" si="38"/>
        <v>429.59688548095812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42.579991866350497</v>
      </c>
      <c r="BQ61" s="23">
        <f>EXP(-LN(2)/25)*BQ60+(1-EXP(-LN(2)/25))/(LN(2)/25)*Calculateur!BL61*Calculateur!BN61*VLOOKUP('Données projet'!$B$11,Paramètres!$A$1:$I$89,3,0)*0.475*44/12</f>
        <v>8.4257209801092472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51.005712846459744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260.68940719384386</v>
      </c>
      <c r="S62" s="62">
        <f ca="1">AVERAGE(OFFSET($R$3,0,0,'Données projet'!$E$9+1,1))-AVERAGE(OFFSET($H$3,0,0,'Données projet'!$E$9+1,1))</f>
        <v>212.90262675152454</v>
      </c>
      <c r="T62" s="62">
        <f t="shared" si="34"/>
        <v>366.51899340890498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81.048073180639847</v>
      </c>
      <c r="AO62" s="62">
        <f t="shared" si="36"/>
        <v>418.93026662539467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40.608826033157762</v>
      </c>
      <c r="AV62" s="23">
        <f>EXP(-LN(2)/25)*AV61+(1-EXP(-LN(2)/25))/(LN(2)/25)*Calculateur!AQ62*Calculateur!AS62*VLOOKUP('Données projet'!$B$10,Paramètres!$A$1:$I$89,3,0)*0.475*44/12</f>
        <v>7.972262513937511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48.58108854709527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82.73499565245794</v>
      </c>
      <c r="BJ62" s="62">
        <f t="shared" si="38"/>
        <v>429.59688548095812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41.745024197081953</v>
      </c>
      <c r="BQ62" s="23">
        <f>EXP(-LN(2)/25)*BQ61+(1-EXP(-LN(2)/25))/(LN(2)/25)*Calculateur!BL62*Calculateur!BN62*VLOOKUP('Données projet'!$B$11,Paramètres!$A$1:$I$89,3,0)*0.475*44/12</f>
        <v>8.1953191968187511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49.940343393900704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261.25570633147856</v>
      </c>
      <c r="S63" s="62">
        <f ca="1">AVERAGE(OFFSET($R$3,0,0,'Données projet'!$E$9+1,1))-AVERAGE(OFFSET($H$3,0,0,'Données projet'!$E$9+1,1))</f>
        <v>212.90262675152454</v>
      </c>
      <c r="T63" s="62">
        <f t="shared" si="34"/>
        <v>366.51899340890498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81.048073180639847</v>
      </c>
      <c r="AO63" s="62">
        <f t="shared" si="36"/>
        <v>418.93026662539467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39.812511723585686</v>
      </c>
      <c r="AV63" s="23">
        <f>EXP(-LN(2)/25)*AV62+(1-EXP(-LN(2)/25))/(LN(2)/25)*Calculateur!AQ63*Calculateur!AS63*VLOOKUP('Données projet'!$B$10,Paramètres!$A$1:$I$89,3,0)*0.475*44/12</f>
        <v>7.7542605762508252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47.566772299836515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82.73499565245794</v>
      </c>
      <c r="BJ63" s="62">
        <f t="shared" si="38"/>
        <v>429.59688548095812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40.92642973452778</v>
      </c>
      <c r="BQ63" s="23">
        <f>EXP(-LN(2)/25)*BQ62+(1-EXP(-LN(2)/25))/(LN(2)/25)*Calculateur!BL63*Calculateur!BN63*VLOOKUP('Données projet'!$B$11,Paramètres!$A$1:$I$89,3,0)*0.475*44/12</f>
        <v>7.971217762408636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48.897647496936415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261.81218144513042</v>
      </c>
      <c r="S64" s="62">
        <f ca="1">AVERAGE(OFFSET($R$3,0,0,'Données projet'!$E$9+1,1))-AVERAGE(OFFSET($H$3,0,0,'Données projet'!$E$9+1,1))</f>
        <v>212.90262675152454</v>
      </c>
      <c r="T64" s="62">
        <f t="shared" si="34"/>
        <v>366.51899340890498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81.048073180639847</v>
      </c>
      <c r="AO64" s="62">
        <f t="shared" si="36"/>
        <v>418.93026662539467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39.031812651920553</v>
      </c>
      <c r="AV64" s="23">
        <f>EXP(-LN(2)/25)*AV63+(1-EXP(-LN(2)/25))/(LN(2)/25)*Calculateur!AQ64*Calculateur!AS64*VLOOKUP('Données projet'!$B$10,Paramètres!$A$1:$I$89,3,0)*0.475*44/12</f>
        <v>7.5422199130144056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46.57403256493496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82.73499565245794</v>
      </c>
      <c r="BJ64" s="62">
        <f t="shared" si="38"/>
        <v>429.59688548095812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40.123887410090973</v>
      </c>
      <c r="BQ64" s="23">
        <f>EXP(-LN(2)/25)*BQ63+(1-EXP(-LN(2)/25))/(LN(2)/25)*Calculateur!BL64*Calculateur!BN64*VLOOKUP('Données projet'!$B$11,Paramètres!$A$1:$I$89,3,0)*0.475*44/12</f>
        <v>7.7532443935074484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47.877131803598424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262.3590029596524</v>
      </c>
      <c r="S65" s="62">
        <f ca="1">AVERAGE(OFFSET($R$3,0,0,'Données projet'!$E$9+1,1))-AVERAGE(OFFSET($H$3,0,0,'Données projet'!$E$9+1,1))</f>
        <v>212.90262675152454</v>
      </c>
      <c r="T65" s="62">
        <f t="shared" si="34"/>
        <v>366.51899340890498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81.048073180639847</v>
      </c>
      <c r="AO65" s="62">
        <f t="shared" si="36"/>
        <v>418.93026662539467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38.266422612871359</v>
      </c>
      <c r="AV65" s="23">
        <f>EXP(-LN(2)/25)*AV64+(1-EXP(-LN(2)/25))/(LN(2)/25)*Calculateur!AQ65*Calculateur!AS65*VLOOKUP('Données projet'!$B$10,Paramètres!$A$1:$I$89,3,0)*0.475*44/12</f>
        <v>7.3359775128649192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45.602400125736281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82.73499565245794</v>
      </c>
      <c r="BJ65" s="62">
        <f t="shared" si="38"/>
        <v>429.59688548095812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39.337082451133888</v>
      </c>
      <c r="BQ65" s="23">
        <f>EXP(-LN(2)/25)*BQ64+(1-EXP(-LN(2)/25))/(LN(2)/25)*Calculateur!BL65*Calculateur!BN65*VLOOKUP('Données projet'!$B$11,Paramètres!$A$1:$I$89,3,0)*0.475*44/12</f>
        <v>7.5412315178415845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46.878313968975476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262.89633834340719</v>
      </c>
      <c r="S66" s="62">
        <f ca="1">AVERAGE(OFFSET($R$3,0,0,'Données projet'!$E$9+1,1))-AVERAGE(OFFSET($H$3,0,0,'Données projet'!$E$9+1,1))</f>
        <v>212.90262675152454</v>
      </c>
      <c r="T66" s="62">
        <f t="shared" si="34"/>
        <v>366.51899340890498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81.048073180639847</v>
      </c>
      <c r="AO66" s="62">
        <f t="shared" si="36"/>
        <v>418.93026662539467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37.516041405646092</v>
      </c>
      <c r="AV66" s="23">
        <f>EXP(-LN(2)/25)*AV65+(1-EXP(-LN(2)/25))/(LN(2)/25)*Calculateur!AQ66*Calculateur!AS66*VLOOKUP('Données projet'!$B$10,Paramètres!$A$1:$I$89,3,0)*0.475*44/12</f>
        <v>7.1353748219933371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44.65141622763943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82.73499565245794</v>
      </c>
      <c r="BJ66" s="62">
        <f t="shared" si="38"/>
        <v>429.59688548095812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38.565706257518308</v>
      </c>
      <c r="BQ66" s="23">
        <f>EXP(-LN(2)/25)*BQ65+(1-EXP(-LN(2)/25))/(LN(2)/25)*Calculateur!BL66*Calculateur!BN66*VLOOKUP('Données projet'!$B$11,Paramètres!$A$1:$I$89,3,0)*0.475*44/12</f>
        <v>7.3350161454100764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45.90072240292838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263.42435215955584</v>
      </c>
      <c r="S67" s="62">
        <f ca="1">AVERAGE(OFFSET($R$3,0,0,'Données projet'!$E$9+1,1))-AVERAGE(OFFSET($H$3,0,0,'Données projet'!$E$9+1,1))</f>
        <v>212.90262675152454</v>
      </c>
      <c r="T67" s="62">
        <f t="shared" si="34"/>
        <v>366.51899340890498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81.048073180639847</v>
      </c>
      <c r="AO67" s="62">
        <f t="shared" si="36"/>
        <v>418.93026662539467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36.78037471620717</v>
      </c>
      <c r="AV67" s="23">
        <f>EXP(-LN(2)/25)*AV66+(1-EXP(-LN(2)/25))/(LN(2)/25)*Calculateur!AQ67*Calculateur!AS67*VLOOKUP('Données projet'!$B$10,Paramètres!$A$1:$I$89,3,0)*0.475*44/12</f>
        <v>6.9402576222528758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43.720632338460049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82.73499565245794</v>
      </c>
      <c r="BJ67" s="62">
        <f t="shared" si="38"/>
        <v>429.59688548095812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37.809456280566508</v>
      </c>
      <c r="BQ67" s="23">
        <f>EXP(-LN(2)/25)*BQ66+(1-EXP(-LN(2)/25))/(LN(2)/25)*Calculateur!BL67*Calculateur!BN67*VLOOKUP('Données projet'!$B$11,Paramètres!$A$1:$I$89,3,0)*0.475*44/12</f>
        <v>7.1344397431821029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44.943896023748607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263.94320611645628</v>
      </c>
      <c r="S68" s="62">
        <f ca="1">AVERAGE(OFFSET($R$3,0,0,'Données projet'!$E$9+1,1))-AVERAGE(OFFSET($H$3,0,0,'Données projet'!$E$9+1,1))</f>
        <v>212.90262675152454</v>
      </c>
      <c r="T68" s="62">
        <f t="shared" si="34"/>
        <v>366.51899340890498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81.048073180639847</v>
      </c>
      <c r="AO68" s="62">
        <f t="shared" si="36"/>
        <v>418.93026662539467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36.059134001835773</v>
      </c>
      <c r="AV68" s="23">
        <f>EXP(-LN(2)/25)*AV67+(1-EXP(-LN(2)/25))/(LN(2)/25)*Calculateur!AQ68*Calculateur!AS68*VLOOKUP('Données projet'!$B$10,Paramètres!$A$1:$I$89,3,0)*0.475*44/12</f>
        <v>6.7504759126000851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42.80960991443586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82.73499565245794</v>
      </c>
      <c r="BJ68" s="62">
        <f t="shared" si="38"/>
        <v>429.59688548095812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37.068035904395799</v>
      </c>
      <c r="BQ68" s="23">
        <f>EXP(-LN(2)/25)*BQ67+(1-EXP(-LN(2)/25))/(LN(2)/25)*Calculateur!BL68*Calculateur!BN68*VLOOKUP('Données projet'!$B$11,Paramètres!$A$1:$I$89,3,0)*0.475*44/12</f>
        <v>6.9393481132209081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44.007384017616708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264.45305911718816</v>
      </c>
      <c r="S69" s="62">
        <f ca="1">AVERAGE(OFFSET($R$3,0,0,'Données projet'!$E$9+1,1))-AVERAGE(OFFSET($H$3,0,0,'Données projet'!$E$9+1,1))</f>
        <v>212.90262675152454</v>
      </c>
      <c r="T69" s="62">
        <f t="shared" ref="T69:T132" si="88">$T$3</f>
        <v>366.51899340890498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81.048073180639847</v>
      </c>
      <c r="AO69" s="62">
        <f t="shared" ref="AO69:AO132" si="90">$AO$3</f>
        <v>418.93026662539467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35.352036377959799</v>
      </c>
      <c r="AV69" s="23">
        <f>EXP(-LN(2)/25)*AV68+(1-EXP(-LN(2)/25))/(LN(2)/25)*Calculateur!AQ69*Calculateur!AS69*VLOOKUP('Données projet'!$B$10,Paramètres!$A$1:$I$89,3,0)*0.475*44/12</f>
        <v>6.5658837937779362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41.917920171737734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82.73499565245794</v>
      </c>
      <c r="BJ69" s="62">
        <f t="shared" ref="BJ69:BJ132" si="92">$BJ$3</f>
        <v>429.59688548095812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36.341154329580021</v>
      </c>
      <c r="BQ69" s="23">
        <f>EXP(-LN(2)/25)*BQ68+(1-EXP(-LN(2)/25))/(LN(2)/25)*Calculateur!BL69*Calculateur!BN69*VLOOKUP('Données projet'!$B$11,Paramètres!$A$1:$I$89,3,0)*0.475*44/12</f>
        <v>6.7495912741404247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43.09074560372045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264.95406730821799</v>
      </c>
      <c r="S70" s="62">
        <f ca="1">AVERAGE(OFFSET($R$3,0,0,'Données projet'!$E$9+1,1))-AVERAGE(OFFSET($H$3,0,0,'Données projet'!$E$9+1,1))</f>
        <v>212.90262675152454</v>
      </c>
      <c r="T70" s="62">
        <f t="shared" si="88"/>
        <v>366.51899340890498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81.048073180639847</v>
      </c>
      <c r="AO70" s="62">
        <f t="shared" si="90"/>
        <v>418.93026662539467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34.658804507201069</v>
      </c>
      <c r="AV70" s="23">
        <f>EXP(-LN(2)/25)*AV69+(1-EXP(-LN(2)/25))/(LN(2)/25)*Calculateur!AQ70*Calculateur!AS70*VLOOKUP('Données projet'!$B$10,Paramètres!$A$1:$I$89,3,0)*0.475*44/12</f>
        <v>6.3863393561522566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41.045143863353324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82.73499565245794</v>
      </c>
      <c r="BJ70" s="62">
        <f t="shared" si="92"/>
        <v>429.59688548095812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35.628526459092399</v>
      </c>
      <c r="BQ70" s="23">
        <f>EXP(-LN(2)/25)*BQ69+(1-EXP(-LN(2)/25))/(LN(2)/25)*Calculateur!BL70*Calculateur!BN70*VLOOKUP('Données projet'!$B$11,Paramètres!$A$1:$I$89,3,0)*0.475*44/12</f>
        <v>6.5650233458034757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42.193549804895873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265.44638412721991</v>
      </c>
      <c r="S71" s="62">
        <f ca="1">AVERAGE(OFFSET($R$3,0,0,'Données projet'!$E$9+1,1))-AVERAGE(OFFSET($H$3,0,0,'Données projet'!$E$9+1,1))</f>
        <v>212.90262675152454</v>
      </c>
      <c r="T71" s="62">
        <f t="shared" si="88"/>
        <v>366.51899340890498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81.048073180639847</v>
      </c>
      <c r="AO71" s="62">
        <f t="shared" si="90"/>
        <v>418.93026662539467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33.979166490598224</v>
      </c>
      <c r="AV71" s="23">
        <f>EXP(-LN(2)/25)*AV70+(1-EXP(-LN(2)/25))/(LN(2)/25)*Calculateur!AQ71*Calculateur!AS71*VLOOKUP('Données projet'!$B$10,Paramètres!$A$1:$I$89,3,0)*0.475*44/12</f>
        <v>6.2117045706152823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40.190871061213507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82.73499565245794</v>
      </c>
      <c r="BJ71" s="62">
        <f t="shared" si="92"/>
        <v>429.59688548095812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34.929872786484957</v>
      </c>
      <c r="BQ71" s="23">
        <f>EXP(-LN(2)/25)*BQ70+(1-EXP(-LN(2)/25))/(LN(2)/25)*Calculateur!BL71*Calculateur!BN71*VLOOKUP('Données projet'!$B$11,Paramètres!$A$1:$I$89,3,0)*0.475*44/12</f>
        <v>6.3855024371729066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41.315375223657867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265.93016035006764</v>
      </c>
      <c r="S72" s="62">
        <f ca="1">AVERAGE(OFFSET($R$3,0,0,'Données projet'!$E$9+1,1))-AVERAGE(OFFSET($H$3,0,0,'Données projet'!$E$9+1,1))</f>
        <v>212.90262675152454</v>
      </c>
      <c r="T72" s="62">
        <f t="shared" si="88"/>
        <v>366.51899340890498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81.048073180639847</v>
      </c>
      <c r="AO72" s="62">
        <f t="shared" si="90"/>
        <v>418.93026662539467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33.312855760962705</v>
      </c>
      <c r="AV72" s="23">
        <f>EXP(-LN(2)/25)*AV71+(1-EXP(-LN(2)/25))/(LN(2)/25)*Calculateur!AQ72*Calculateur!AS72*VLOOKUP('Données projet'!$B$10,Paramètres!$A$1:$I$89,3,0)*0.475*44/12</f>
        <v>6.0418451824724606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39.354700943435162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82.73499565245794</v>
      </c>
      <c r="BJ72" s="62">
        <f t="shared" si="92"/>
        <v>429.59688548095812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34.244919286260682</v>
      </c>
      <c r="BQ72" s="23">
        <f>EXP(-LN(2)/25)*BQ71+(1-EXP(-LN(2)/25))/(LN(2)/25)*Calculateur!BL72*Calculateur!BN72*VLOOKUP('Données projet'!$B$11,Paramètres!$A$1:$I$89,3,0)*0.475*44/12</f>
        <v>6.2108905372294343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40.455809823490114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266.40554413701057</v>
      </c>
      <c r="S73" s="62">
        <f ca="1">AVERAGE(OFFSET($R$3,0,0,'Données projet'!$E$9+1,1))-AVERAGE(OFFSET($H$3,0,0,'Données projet'!$E$9+1,1))</f>
        <v>212.90262675152454</v>
      </c>
      <c r="T73" s="62">
        <f t="shared" si="88"/>
        <v>366.51899340890498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81.048073180639847</v>
      </c>
      <c r="AO73" s="62">
        <f t="shared" si="90"/>
        <v>418.93026662539467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32.659610978325922</v>
      </c>
      <c r="AV73" s="23">
        <f>EXP(-LN(2)/25)*AV72+(1-EXP(-LN(2)/25))/(LN(2)/25)*Calculateur!AQ73*Calculateur!AS73*VLOOKUP('Données projet'!$B$10,Paramètres!$A$1:$I$89,3,0)*0.475*44/12</f>
        <v>5.8766306082309221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38.536241586556841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82.73499565245794</v>
      </c>
      <c r="BJ73" s="62">
        <f t="shared" si="92"/>
        <v>429.59688548095812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33.573397306395421</v>
      </c>
      <c r="BQ73" s="23">
        <f>EXP(-LN(2)/25)*BQ72+(1-EXP(-LN(2)/25))/(LN(2)/25)*Calculateur!BL73*Calculateur!BN73*VLOOKUP('Données projet'!$B$11,Paramètres!$A$1:$I$89,3,0)*0.475*44/12</f>
        <v>6.0410534088723571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39.614450715267779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266.87268107804903</v>
      </c>
      <c r="S74" s="62">
        <f ca="1">AVERAGE(OFFSET($R$3,0,0,'Données projet'!$E$9+1,1))-AVERAGE(OFFSET($H$3,0,0,'Données projet'!$E$9+1,1))</f>
        <v>212.90262675152454</v>
      </c>
      <c r="T74" s="62">
        <f t="shared" si="88"/>
        <v>366.51899340890498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81.048073180639847</v>
      </c>
      <c r="AO74" s="62">
        <f t="shared" si="90"/>
        <v>418.93026662539467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32.01917592743667</v>
      </c>
      <c r="AV74" s="23">
        <f>EXP(-LN(2)/25)*AV73+(1-EXP(-LN(2)/25))/(LN(2)/25)*Calculateur!AQ74*Calculateur!AS74*VLOOKUP('Données projet'!$B$10,Paramètres!$A$1:$I$89,3,0)*0.475*44/12</f>
        <v>5.7159338352102749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37.735109762646942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82.73499565245794</v>
      </c>
      <c r="BJ74" s="62">
        <f t="shared" si="92"/>
        <v>429.59688548095812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32.915043462967354</v>
      </c>
      <c r="BQ74" s="23">
        <f>EXP(-LN(2)/25)*BQ73+(1-EXP(-LN(2)/25))/(LN(2)/25)*Calculateur!BL74*Calculateur!BN74*VLOOKUP('Données projet'!$B$11,Paramètres!$A$1:$I$89,3,0)*0.475*44/12</f>
        <v>5.8758604857215504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38.790903948688907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267.33171423752219</v>
      </c>
      <c r="S75" s="62">
        <f ca="1">AVERAGE(OFFSET($R$3,0,0,'Données projet'!$E$9+1,1))-AVERAGE(OFFSET($H$3,0,0,'Données projet'!$E$9+1,1))</f>
        <v>212.90262675152454</v>
      </c>
      <c r="T75" s="62">
        <f t="shared" si="88"/>
        <v>366.51899340890498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81.048073180639847</v>
      </c>
      <c r="AO75" s="62">
        <f t="shared" si="90"/>
        <v>418.93026662539467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31.391299417268549</v>
      </c>
      <c r="AV75" s="23">
        <f>EXP(-LN(2)/25)*AV74+(1-EXP(-LN(2)/25))/(LN(2)/25)*Calculateur!AQ75*Calculateur!AS75*VLOOKUP('Données projet'!$B$10,Paramètres!$A$1:$I$89,3,0)*0.475*44/12</f>
        <v>5.5596313238985537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36.950930741167099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82.73499565245794</v>
      </c>
      <c r="BJ75" s="62">
        <f t="shared" si="92"/>
        <v>429.59688548095812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32.269599536852716</v>
      </c>
      <c r="BQ75" s="23">
        <f>EXP(-LN(2)/25)*BQ74+(1-EXP(-LN(2)/25))/(LN(2)/25)*Calculateur!BL75*Calculateur!BN75*VLOOKUP('Données projet'!$B$11,Paramètres!$A$1:$I$89,3,0)*0.475*44/12</f>
        <v>5.7151847717414208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37.984784308594136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267.78278419792287</v>
      </c>
      <c r="S76" s="62">
        <f ca="1">AVERAGE(OFFSET($R$3,0,0,'Données projet'!$E$9+1,1))-AVERAGE(OFFSET($H$3,0,0,'Données projet'!$E$9+1,1))</f>
        <v>212.90262675152454</v>
      </c>
      <c r="T76" s="62">
        <f t="shared" si="88"/>
        <v>366.51899340890498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81.048073180639847</v>
      </c>
      <c r="AO76" s="62">
        <f t="shared" si="90"/>
        <v>418.93026662539467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30.775735182497968</v>
      </c>
      <c r="AV76" s="23">
        <f>EXP(-LN(2)/25)*AV75+(1-EXP(-LN(2)/25))/(LN(2)/25)*Calculateur!AQ76*Calculateur!AS76*VLOOKUP('Données projet'!$B$10,Paramètres!$A$1:$I$89,3,0)*0.475*44/12</f>
        <v>5.407602912978243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36.183338095476209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82.73499565245794</v>
      </c>
      <c r="BJ76" s="62">
        <f t="shared" si="92"/>
        <v>429.59688548095812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31.636812372447267</v>
      </c>
      <c r="BQ76" s="23">
        <f>EXP(-LN(2)/25)*BQ75+(1-EXP(-LN(2)/25))/(LN(2)/25)*Calculateur!BL76*Calculateur!BN76*VLOOKUP('Données projet'!$B$11,Paramètres!$A$1:$I$89,3,0)*0.475*44/12</f>
        <v>5.5589027436096465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37.195715116056917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268.22602910295194</v>
      </c>
      <c r="S77" s="62">
        <f ca="1">AVERAGE(OFFSET($R$3,0,0,'Données projet'!$E$9+1,1))-AVERAGE(OFFSET($H$3,0,0,'Données projet'!$E$9+1,1))</f>
        <v>212.90262675152454</v>
      </c>
      <c r="T77" s="62">
        <f t="shared" si="88"/>
        <v>366.51899340890498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81.048073180639847</v>
      </c>
      <c r="AO77" s="62">
        <f t="shared" si="90"/>
        <v>418.93026662539467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30.172241786914128</v>
      </c>
      <c r="AV77" s="23">
        <f>EXP(-LN(2)/25)*AV76+(1-EXP(-LN(2)/25))/(LN(2)/25)*Calculateur!AQ77*Calculateur!AS77*VLOOKUP('Données projet'!$B$10,Paramètres!$A$1:$I$89,3,0)*0.475*44/12</f>
        <v>5.2597317269493749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35.431973513863504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82.73499565245794</v>
      </c>
      <c r="BJ77" s="62">
        <f t="shared" si="92"/>
        <v>429.59688548095812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31.016433778373749</v>
      </c>
      <c r="BQ77" s="23">
        <f>EXP(-LN(2)/25)*BQ76+(1-EXP(-LN(2)/25))/(LN(2)/25)*Calculateur!BL77*Calculateur!BN77*VLOOKUP('Données projet'!$B$11,Paramètres!$A$1:$I$89,3,0)*0.475*44/12</f>
        <v>5.4068942557556507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36.423328034129398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268.66158469982588</v>
      </c>
      <c r="S78" s="62">
        <f ca="1">AVERAGE(OFFSET($R$3,0,0,'Données projet'!$E$9+1,1))-AVERAGE(OFFSET($H$3,0,0,'Données projet'!$E$9+1,1))</f>
        <v>212.90262675152454</v>
      </c>
      <c r="T78" s="62">
        <f t="shared" si="88"/>
        <v>366.51899340890498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81.048073180639847</v>
      </c>
      <c r="AO78" s="62">
        <f t="shared" si="90"/>
        <v>418.93026662539467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29.580582528723063</v>
      </c>
      <c r="AV78" s="23">
        <f>EXP(-LN(2)/25)*AV77+(1-EXP(-LN(2)/25))/(LN(2)/25)*Calculateur!AQ78*Calculateur!AS78*VLOOKUP('Données projet'!$B$10,Paramètres!$A$1:$I$89,3,0)*0.475*44/12</f>
        <v>5.1159040862786735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34.696486615001739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82.73499565245794</v>
      </c>
      <c r="BJ78" s="62">
        <f t="shared" si="92"/>
        <v>429.59688548095812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30.408220430136431</v>
      </c>
      <c r="BQ78" s="23">
        <f>EXP(-LN(2)/25)*BQ77+(1-EXP(-LN(2)/25))/(LN(2)/25)*Calculateur!BL78*Calculateur!BN78*VLOOKUP('Données projet'!$B$11,Paramètres!$A$1:$I$89,3,0)*0.475*44/12</f>
        <v>5.2590424479958013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35.667262878132235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269.08958438085051</v>
      </c>
      <c r="S79" s="62">
        <f ca="1">AVERAGE(OFFSET($R$3,0,0,'Données projet'!$E$9+1,1))-AVERAGE(OFFSET($H$3,0,0,'Données projet'!$E$9+1,1))</f>
        <v>212.90262675152454</v>
      </c>
      <c r="T79" s="62">
        <f t="shared" si="88"/>
        <v>366.51899340890498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81.048073180639847</v>
      </c>
      <c r="AO79" s="62">
        <f t="shared" si="90"/>
        <v>418.93026662539467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29.00052534770861</v>
      </c>
      <c r="AV79" s="23">
        <f>EXP(-LN(2)/25)*AV78+(1-EXP(-LN(2)/25))/(LN(2)/25)*Calculateur!AQ79*Calculateur!AS79*VLOOKUP('Données projet'!$B$10,Paramètres!$A$1:$I$89,3,0)*0.475*44/12</f>
        <v>4.9760094200056795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33.976534767714291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82.73499565245794</v>
      </c>
      <c r="BJ79" s="62">
        <f t="shared" si="92"/>
        <v>429.59688548095812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29.811933774684537</v>
      </c>
      <c r="BQ79" s="23">
        <f>EXP(-LN(2)/25)*BQ78+(1-EXP(-LN(2)/25))/(LN(2)/25)*Calculateur!BL79*Calculateur!BN79*VLOOKUP('Données projet'!$B$11,Paramètres!$A$1:$I$89,3,0)*0.475*44/12</f>
        <v>5.1152336556943334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34.927167430378873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269.51015922427337</v>
      </c>
      <c r="S80" s="62">
        <f ca="1">AVERAGE(OFFSET($R$3,0,0,'Données projet'!$E$9+1,1))-AVERAGE(OFFSET($H$3,0,0,'Données projet'!$E$9+1,1))</f>
        <v>212.90262675152454</v>
      </c>
      <c r="T80" s="62">
        <f t="shared" si="88"/>
        <v>366.51899340890498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81.048073180639847</v>
      </c>
      <c r="AO80" s="62">
        <f t="shared" si="90"/>
        <v>418.93026662539467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28.431842734213905</v>
      </c>
      <c r="AV80" s="23">
        <f>EXP(-LN(2)/25)*AV79+(1-EXP(-LN(2)/25))/(LN(2)/25)*Calculateur!AQ80*Calculateur!AS80*VLOOKUP('Données projet'!$B$10,Paramètres!$A$1:$I$89,3,0)*0.475*44/12</f>
        <v>4.8399401807386617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33.271782914952567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82.73499565245794</v>
      </c>
      <c r="BJ80" s="62">
        <f t="shared" si="92"/>
        <v>429.59688548095812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29.227339936847105</v>
      </c>
      <c r="BQ80" s="23">
        <f>EXP(-LN(2)/25)*BQ79+(1-EXP(-LN(2)/25))/(LN(2)/25)*Calculateur!BL80*Calculateur!BN80*VLOOKUP('Données projet'!$B$11,Paramètres!$A$1:$I$89,3,0)*0.475*44/12</f>
        <v>4.9753573223809253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34.202697259228032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269.92343803442731</v>
      </c>
      <c r="S81" s="62">
        <f ca="1">AVERAGE(OFFSET($R$3,0,0,'Données projet'!$E$9+1,1))-AVERAGE(OFFSET($H$3,0,0,'Données projet'!$E$9+1,1))</f>
        <v>212.90262675152454</v>
      </c>
      <c r="T81" s="62">
        <f t="shared" si="88"/>
        <v>366.51899340890498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81.048073180639847</v>
      </c>
      <c r="AO81" s="62">
        <f t="shared" si="90"/>
        <v>418.93026662539467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27.874311639907688</v>
      </c>
      <c r="AV81" s="23">
        <f>EXP(-LN(2)/25)*AV80+(1-EXP(-LN(2)/25))/(LN(2)/25)*Calculateur!AQ81*Calculateur!AS81*VLOOKUP('Données projet'!$B$10,Paramètres!$A$1:$I$89,3,0)*0.475*44/12</f>
        <v>4.707591761974971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32.581903401882656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82.73499565245794</v>
      </c>
      <c r="BJ81" s="62">
        <f t="shared" si="92"/>
        <v>429.59688548095812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28.654209627602633</v>
      </c>
      <c r="BQ81" s="23">
        <f>EXP(-LN(2)/25)*BQ80+(1-EXP(-LN(2)/25))/(LN(2)/25)*Calculateur!BL81*Calculateur!BN81*VLOOKUP('Données projet'!$B$11,Paramètres!$A$1:$I$89,3,0)*0.475*44/12</f>
        <v>4.8393059147577491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33.493515542360385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270.32954738117803</v>
      </c>
      <c r="S82" s="62">
        <f ca="1">AVERAGE(OFFSET($R$3,0,0,'Données projet'!$E$9+1,1))-AVERAGE(OFFSET($H$3,0,0,'Données projet'!$E$9+1,1))</f>
        <v>212.90262675152454</v>
      </c>
      <c r="T82" s="62">
        <f t="shared" si="88"/>
        <v>366.51899340890498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81.048073180639847</v>
      </c>
      <c r="AO82" s="62">
        <f t="shared" si="90"/>
        <v>418.93026662539467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27.327713390300424</v>
      </c>
      <c r="AV82" s="23">
        <f>EXP(-LN(2)/25)*AV81+(1-EXP(-LN(2)/25))/(LN(2)/25)*Calculateur!AQ82*Calculateur!AS82*VLOOKUP('Données projet'!$B$10,Paramètres!$A$1:$I$89,3,0)*0.475*44/12</f>
        <v>4.5788624176822736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31.906575807982698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82.73499565245794</v>
      </c>
      <c r="BJ82" s="62">
        <f t="shared" si="92"/>
        <v>429.59688548095812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28.092318054147473</v>
      </c>
      <c r="BQ82" s="23">
        <f>EXP(-LN(2)/25)*BQ81+(1-EXP(-LN(2)/25))/(LN(2)/25)*Calculateur!BL82*Calculateur!BN82*VLOOKUP('Données projet'!$B$11,Paramètres!$A$1:$I$89,3,0)*0.475*44/12</f>
        <v>4.7069748400306608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32.799292894178137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270.7286116386872</v>
      </c>
      <c r="S83" s="62">
        <f ca="1">AVERAGE(OFFSET($R$3,0,0,'Données projet'!$E$9+1,1))-AVERAGE(OFFSET($H$3,0,0,'Données projet'!$E$9+1,1))</f>
        <v>212.90262675152454</v>
      </c>
      <c r="T83" s="62">
        <f t="shared" si="88"/>
        <v>366.51899340890498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81.048073180639847</v>
      </c>
      <c r="AO83" s="62">
        <f t="shared" si="90"/>
        <v>418.93026662539467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26.791833598975948</v>
      </c>
      <c r="AV83" s="23">
        <f>EXP(-LN(2)/25)*AV82+(1-EXP(-LN(2)/25))/(LN(2)/25)*Calculateur!AQ83*Calculateur!AS83*VLOOKUP('Données projet'!$B$10,Paramètres!$A$1:$I$89,3,0)*0.475*44/12</f>
        <v>4.453653184078842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31.24548678305479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82.73499565245794</v>
      </c>
      <c r="BJ83" s="62">
        <f t="shared" si="92"/>
        <v>429.59688548095812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27.541444831727752</v>
      </c>
      <c r="BQ83" s="23">
        <f>EXP(-LN(2)/25)*BQ82+(1-EXP(-LN(2)/25))/(LN(2)/25)*Calculateur!BL83*Calculateur!BN83*VLOOKUP('Données projet'!$B$11,Paramètres!$A$1:$I$89,3,0)*0.475*44/12</f>
        <v>4.5782623655009731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32.119707197228728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271.12075302350252</v>
      </c>
      <c r="S84" s="62">
        <f ca="1">AVERAGE(OFFSET($R$3,0,0,'Données projet'!$E$9+1,1))-AVERAGE(OFFSET($H$3,0,0,'Données projet'!$E$9+1,1))</f>
        <v>212.90262675152454</v>
      </c>
      <c r="T84" s="62">
        <f t="shared" si="88"/>
        <v>366.51899340890498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81.048073180639847</v>
      </c>
      <c r="AO84" s="62">
        <f t="shared" si="90"/>
        <v>418.93026662539467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26.266462083504944</v>
      </c>
      <c r="AV84" s="23">
        <f>EXP(-LN(2)/25)*AV83+(1-EXP(-LN(2)/25))/(LN(2)/25)*Calculateur!AQ84*Calculateur!AS84*VLOOKUP('Données projet'!$B$10,Paramètres!$A$1:$I$89,3,0)*0.475*44/12</f>
        <v>4.3318678035527638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30.598329887057709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82.73499565245794</v>
      </c>
      <c r="BJ84" s="62">
        <f t="shared" si="92"/>
        <v>429.59688548095812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27.001373897200192</v>
      </c>
      <c r="BQ84" s="23">
        <f>EXP(-LN(2)/25)*BQ83+(1-EXP(-LN(2)/25))/(LN(2)/25)*Calculateur!BL84*Calculateur!BN84*VLOOKUP('Données projet'!$B$11,Paramètres!$A$1:$I$89,3,0)*0.475*44/12</f>
        <v>4.4530695403559948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31.454443437556186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271.50609163198811</v>
      </c>
      <c r="S85" s="62">
        <f ca="1">AVERAGE(OFFSET($R$3,0,0,'Données projet'!$E$9+1,1))-AVERAGE(OFFSET($H$3,0,0,'Données projet'!$E$9+1,1))</f>
        <v>212.90262675152454</v>
      </c>
      <c r="T85" s="62">
        <f t="shared" si="88"/>
        <v>366.51899340890498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81.048073180639847</v>
      </c>
      <c r="AO85" s="62">
        <f t="shared" si="90"/>
        <v>418.93026662539467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25.751392783007343</v>
      </c>
      <c r="AV85" s="23">
        <f>EXP(-LN(2)/25)*AV84+(1-EXP(-LN(2)/25))/(LN(2)/25)*Calculateur!AQ85*Calculateur!AS85*VLOOKUP('Données projet'!$B$10,Paramètres!$A$1:$I$89,3,0)*0.475*44/12</f>
        <v>4.2134126506615859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29.964805433668928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82.73499565245794</v>
      </c>
      <c r="BJ85" s="62">
        <f t="shared" si="92"/>
        <v>429.59688548095812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26.471893424287973</v>
      </c>
      <c r="BQ85" s="23">
        <f>EXP(-LN(2)/25)*BQ84+(1-EXP(-LN(2)/25))/(LN(2)/25)*Calculateur!BL85*Calculateur!BN85*VLOOKUP('Données projet'!$B$11,Paramètres!$A$1:$I$89,3,0)*0.475*44/12</f>
        <v>4.331300119598211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30.803193543886184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271.88474547710456</v>
      </c>
      <c r="S86" s="62">
        <f ca="1">AVERAGE(OFFSET($R$3,0,0,'Données projet'!$E$9+1,1))-AVERAGE(OFFSET($H$3,0,0,'Données projet'!$E$9+1,1))</f>
        <v>212.90262675152454</v>
      </c>
      <c r="T86" s="62">
        <f t="shared" si="88"/>
        <v>366.51899340890498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81.048073180639847</v>
      </c>
      <c r="AO86" s="62">
        <f t="shared" si="90"/>
        <v>418.93026662539467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25.246423677331251</v>
      </c>
      <c r="AV86" s="23">
        <f>EXP(-LN(2)/25)*AV85+(1-EXP(-LN(2)/25))/(LN(2)/25)*Calculateur!AQ86*Calculateur!AS86*VLOOKUP('Données projet'!$B$10,Paramètres!$A$1:$I$89,3,0)*0.475*44/12</f>
        <v>4.0981966601555033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29.344620337486752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82.73499565245794</v>
      </c>
      <c r="BJ86" s="62">
        <f t="shared" si="92"/>
        <v>429.59688548095812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25.952795740498363</v>
      </c>
      <c r="BQ86" s="23">
        <f>EXP(-LN(2)/25)*BQ85+(1-EXP(-LN(2)/25))/(LN(2)/25)*Calculateur!BL86*Calculateur!BN86*VLOOKUP('Données projet'!$B$11,Paramètres!$A$1:$I$89,3,0)*0.475*44/12</f>
        <v>4.2128604900546236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30.165656230552987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272.25683052455139</v>
      </c>
      <c r="S87" s="62">
        <f ca="1">AVERAGE(OFFSET($R$3,0,0,'Données projet'!$E$9+1,1))-AVERAGE(OFFSET($H$3,0,0,'Données projet'!$E$9+1,1))</f>
        <v>212.90262675152454</v>
      </c>
      <c r="T87" s="62">
        <f t="shared" si="88"/>
        <v>366.51899340890498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81.048073180639847</v>
      </c>
      <c r="AO87" s="62">
        <f t="shared" si="90"/>
        <v>418.93026662539467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24.751356707816722</v>
      </c>
      <c r="AV87" s="23">
        <f>EXP(-LN(2)/25)*AV86+(1-EXP(-LN(2)/25))/(LN(2)/25)*Calculateur!AQ87*Calculateur!AS87*VLOOKUP('Données projet'!$B$10,Paramètres!$A$1:$I$89,3,0)*0.475*44/12</f>
        <v>3.9861312569687555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28.737487964785476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82.73499565245794</v>
      </c>
      <c r="BJ87" s="62">
        <f t="shared" si="92"/>
        <v>429.59688548095812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25.443877245669544</v>
      </c>
      <c r="BQ87" s="23">
        <f>EXP(-LN(2)/25)*BQ86+(1-EXP(-LN(2)/25))/(LN(2)/25)*Calculateur!BL87*Calculateur!BN87*VLOOKUP('Données projet'!$B$11,Paramètres!$A$1:$I$89,3,0)*0.475*44/12</f>
        <v>4.0976595984093755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29.541536844078919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272.62246072828259</v>
      </c>
      <c r="S88" s="62">
        <f ca="1">AVERAGE(OFFSET($R$3,0,0,'Données projet'!$E$9+1,1))-AVERAGE(OFFSET($H$3,0,0,'Données projet'!$E$9+1,1))</f>
        <v>212.90262675152454</v>
      </c>
      <c r="T88" s="62">
        <f t="shared" si="88"/>
        <v>366.51899340890498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81.048073180639847</v>
      </c>
      <c r="AO88" s="62">
        <f t="shared" si="90"/>
        <v>418.93026662539467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24.26599769961334</v>
      </c>
      <c r="AV88" s="23">
        <f>EXP(-LN(2)/25)*AV87+(1-EXP(-LN(2)/25))/(LN(2)/25)*Calculateur!AQ88*Calculateur!AS88*VLOOKUP('Données projet'!$B$10,Paramètres!$A$1:$I$89,3,0)*0.475*44/12</f>
        <v>3.8771302881254126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28.143127987738751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82.73499565245794</v>
      </c>
      <c r="BJ88" s="62">
        <f t="shared" si="92"/>
        <v>429.59688548095812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24.944938332114688</v>
      </c>
      <c r="BQ88" s="23">
        <f>EXP(-LN(2)/25)*BQ87+(1-EXP(-LN(2)/25))/(LN(2)/25)*Calculateur!BL88*Calculateur!BN88*VLOOKUP('Données projet'!$B$11,Paramètres!$A$1:$I$89,3,0)*0.475*44/12</f>
        <v>3.985608881204318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28.930547213319006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272.98174806540578</v>
      </c>
      <c r="S89" s="62">
        <f ca="1">AVERAGE(OFFSET($R$3,0,0,'Données projet'!$E$9+1,1))-AVERAGE(OFFSET($H$3,0,0,'Données projet'!$E$9+1,1))</f>
        <v>212.90262675152454</v>
      </c>
      <c r="T89" s="62">
        <f t="shared" si="88"/>
        <v>366.51899340890498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81.048073180639847</v>
      </c>
      <c r="AO89" s="62">
        <f t="shared" si="90"/>
        <v>418.93026662539467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23.790156285521061</v>
      </c>
      <c r="AV89" s="23">
        <f>EXP(-LN(2)/25)*AV88+(1-EXP(-LN(2)/25))/(LN(2)/25)*Calculateur!AQ89*Calculateur!AS89*VLOOKUP('Données projet'!$B$10,Paramètres!$A$1:$I$89,3,0)*0.475*44/12</f>
        <v>3.7711099565072028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27.561266242028264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82.73499565245794</v>
      </c>
      <c r="BJ89" s="62">
        <f t="shared" si="92"/>
        <v>429.59688548095812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24.455783306331956</v>
      </c>
      <c r="BQ89" s="23">
        <f>EXP(-LN(2)/25)*BQ88+(1-EXP(-LN(2)/25))/(LN(2)/25)*Calculateur!BL89*Calculateur!BN89*VLOOKUP('Données projet'!$B$11,Paramètres!$A$1:$I$89,3,0)*0.475*44/12</f>
        <v>3.8766221967537242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28.332405503085681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273.33480257047592</v>
      </c>
      <c r="S90" s="62">
        <f ca="1">AVERAGE(OFFSET($R$3,0,0,'Données projet'!$E$9+1,1))-AVERAGE(OFFSET($H$3,0,0,'Données projet'!$E$9+1,1))</f>
        <v>212.90262675152454</v>
      </c>
      <c r="T90" s="62">
        <f t="shared" si="88"/>
        <v>366.51899340890498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81.048073180639847</v>
      </c>
      <c r="AO90" s="62">
        <f t="shared" si="90"/>
        <v>418.93026662539467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23.323645831324527</v>
      </c>
      <c r="AV90" s="23">
        <f>EXP(-LN(2)/25)*AV89+(1-EXP(-LN(2)/25))/(LN(2)/25)*Calculateur!AQ90*Calculateur!AS90*VLOOKUP('Données projet'!$B$10,Paramètres!$A$1:$I$89,3,0)*0.475*44/12</f>
        <v>3.6679887564324596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26.991634587756987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82.73499565245794</v>
      </c>
      <c r="BJ90" s="62">
        <f t="shared" si="92"/>
        <v>429.59688548095812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23.976220312249716</v>
      </c>
      <c r="BQ90" s="23">
        <f>EXP(-LN(2)/25)*BQ89+(1-EXP(-LN(2)/25))/(LN(2)/25)*Calculateur!BL90*Calculateur!BN90*VLOOKUP('Données projet'!$B$11,Paramètres!$A$1:$I$89,3,0)*0.475*44/12</f>
        <v>3.7706157589207923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27.746836071170506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273.68173236919478</v>
      </c>
      <c r="S91" s="62">
        <f ca="1">AVERAGE(OFFSET($R$3,0,0,'Données projet'!$E$9+1,1))-AVERAGE(OFFSET($H$3,0,0,'Données projet'!$E$9+1,1))</f>
        <v>212.90262675152454</v>
      </c>
      <c r="T91" s="62">
        <f t="shared" si="88"/>
        <v>366.51899340890498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81.048073180639847</v>
      </c>
      <c r="AO91" s="62">
        <f t="shared" si="90"/>
        <v>418.93026662539467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22.866283362591506</v>
      </c>
      <c r="AV91" s="23">
        <f>EXP(-LN(2)/25)*AV90+(1-EXP(-LN(2)/25))/(LN(2)/25)*Calculateur!AQ91*Calculateur!AS91*VLOOKUP('Données projet'!$B$10,Paramètres!$A$1:$I$89,3,0)*0.475*44/12</f>
        <v>3.5676874109966685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26.433970773588175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82.73499565245794</v>
      </c>
      <c r="BJ91" s="62">
        <f t="shared" si="92"/>
        <v>429.59688548095812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23.506061255976885</v>
      </c>
      <c r="BQ91" s="23">
        <f>EXP(-LN(2)/25)*BQ90+(1-EXP(-LN(2)/25))/(LN(2)/25)*Calculateur!BL91*Calculateur!BN91*VLOOKUP('Données projet'!$B$11,Paramètres!$A$1:$I$89,3,0)*0.475*44/12</f>
        <v>3.6675080727050382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27.173569328681921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274.02264371152467</v>
      </c>
      <c r="S92" s="62">
        <f ca="1">AVERAGE(OFFSET($R$3,0,0,'Données projet'!$E$9+1,1))-AVERAGE(OFFSET($H$3,0,0,'Données projet'!$E$9+1,1))</f>
        <v>212.90262675152454</v>
      </c>
      <c r="T92" s="62">
        <f t="shared" si="88"/>
        <v>366.51899340890498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81.048073180639847</v>
      </c>
      <c r="AO92" s="62">
        <f t="shared" si="90"/>
        <v>418.93026662539467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22.417889492906781</v>
      </c>
      <c r="AV92" s="23">
        <f>EXP(-LN(2)/25)*AV91+(1-EXP(-LN(2)/25))/(LN(2)/25)*Calculateur!AQ92*Calculateur!AS92*VLOOKUP('Données projet'!$B$10,Paramètres!$A$1:$I$89,3,0)*0.475*44/12</f>
        <v>3.4701288111264379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25.888018304033217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82.73499565245794</v>
      </c>
      <c r="BJ92" s="62">
        <f t="shared" si="92"/>
        <v>429.59688548095812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23.045121732028857</v>
      </c>
      <c r="BQ92" s="23">
        <f>EXP(-LN(2)/25)*BQ91+(1-EXP(-LN(2)/25))/(LN(2)/25)*Calculateur!BL92*Calculateur!BN92*VLOOKUP('Données projet'!$B$11,Paramètres!$A$1:$I$89,3,0)*0.475*44/12</f>
        <v>3.5672198715910515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26.61234160361991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274.35764100422875</v>
      </c>
      <c r="S93" s="62">
        <f ca="1">AVERAGE(OFFSET($R$3,0,0,'Données projet'!$E$9+1,1))-AVERAGE(OFFSET($H$3,0,0,'Données projet'!$E$9+1,1))</f>
        <v>212.90262675152454</v>
      </c>
      <c r="T93" s="62">
        <f t="shared" si="88"/>
        <v>366.51899340890498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81.048073180639847</v>
      </c>
      <c r="AO93" s="62">
        <f t="shared" si="90"/>
        <v>418.93026662539467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21.978288353513317</v>
      </c>
      <c r="AV93" s="23">
        <f>EXP(-LN(2)/25)*AV92+(1-EXP(-LN(2)/25))/(LN(2)/25)*Calculateur!AQ93*Calculateur!AS93*VLOOKUP('Données projet'!$B$10,Paramètres!$A$1:$I$89,3,0)*0.475*44/12</f>
        <v>3.3752379563000425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25.353526309813361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82.73499565245794</v>
      </c>
      <c r="BJ93" s="62">
        <f t="shared" si="92"/>
        <v>429.59688548095812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22.593220951000099</v>
      </c>
      <c r="BQ93" s="23">
        <f>EXP(-LN(2)/25)*BQ92+(1-EXP(-LN(2)/25))/(LN(2)/25)*Calculateur!BL93*Calculateur!BN93*VLOOKUP('Données projet'!$B$11,Paramètres!$A$1:$I$89,3,0)*0.475*44/12</f>
        <v>3.469674056610454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26.062895007610553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274.68682684284613</v>
      </c>
      <c r="S94" s="62">
        <f ca="1">AVERAGE(OFFSET($R$3,0,0,'Données projet'!$E$9+1,1))-AVERAGE(OFFSET($H$3,0,0,'Données projet'!$E$9+1,1))</f>
        <v>212.90262675152454</v>
      </c>
      <c r="T94" s="62">
        <f t="shared" si="88"/>
        <v>366.51899340890498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81.048073180639847</v>
      </c>
      <c r="AO94" s="62">
        <f t="shared" si="90"/>
        <v>418.93026662539467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21.547307524333139</v>
      </c>
      <c r="AV94" s="23">
        <f>EXP(-LN(2)/25)*AV93+(1-EXP(-LN(2)/25))/(LN(2)/25)*Calculateur!AQ94*Calculateur!AS94*VLOOKUP('Données projet'!$B$10,Paramètres!$A$1:$I$89,3,0)*0.475*44/12</f>
        <v>3.2829418968889681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24.830249421222106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82.73499565245794</v>
      </c>
      <c r="BJ94" s="62">
        <f t="shared" si="92"/>
        <v>429.59688548095812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22.150181668655055</v>
      </c>
      <c r="BQ94" s="23">
        <f>EXP(-LN(2)/25)*BQ93+(1-EXP(-LN(2)/25))/(LN(2)/25)*Calculateur!BL94*Calculateur!BN94*VLOOKUP('Données projet'!$B$11,Paramètres!$A$1:$I$89,3,0)*0.475*44/12</f>
        <v>3.3747956370702124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25.524977305725265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275.0103020431128</v>
      </c>
      <c r="S95" s="62">
        <f ca="1">AVERAGE(OFFSET($R$3,0,0,'Données projet'!$E$9+1,1))-AVERAGE(OFFSET($H$3,0,0,'Données projet'!$E$9+1,1))</f>
        <v>212.90262675152454</v>
      </c>
      <c r="T95" s="62">
        <f t="shared" si="88"/>
        <v>366.51899340890498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81.048073180639847</v>
      </c>
      <c r="AO95" s="62">
        <f t="shared" si="90"/>
        <v>418.93026662539467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21.124777966340837</v>
      </c>
      <c r="AV95" s="23">
        <f>EXP(-LN(2)/25)*AV94+(1-EXP(-LN(2)/25))/(LN(2)/25)*Calculateur!AQ95*Calculateur!AS95*VLOOKUP('Données projet'!$B$10,Paramètres!$A$1:$I$89,3,0)*0.475*44/12</f>
        <v>3.1931696780761283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24.317947644416964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82.73499565245794</v>
      </c>
      <c r="BJ95" s="62">
        <f t="shared" si="92"/>
        <v>429.59688548095812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21.715830116409517</v>
      </c>
      <c r="BQ95" s="23">
        <f>EXP(-LN(2)/25)*BQ94+(1-EXP(-LN(2)/25))/(LN(2)/25)*Calculateur!BL95*Calculateur!BN95*VLOOKUP('Données projet'!$B$11,Paramètres!$A$1:$I$89,3,0)*0.475*44/12</f>
        <v>3.2825116729017378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24.998341789311255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275.32816567183704</v>
      </c>
      <c r="S96" s="62">
        <f ca="1">AVERAGE(OFFSET($R$3,0,0,'Données projet'!$E$9+1,1))-AVERAGE(OFFSET($H$3,0,0,'Données projet'!$E$9+1,1))</f>
        <v>212.90262675152454</v>
      </c>
      <c r="T96" s="62">
        <f t="shared" si="88"/>
        <v>366.51899340890498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81.048073180639847</v>
      </c>
      <c r="AO96" s="62">
        <f t="shared" si="90"/>
        <v>418.93026662539467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20.71053395526318</v>
      </c>
      <c r="AV96" s="23">
        <f>EXP(-LN(2)/25)*AV95+(1-EXP(-LN(2)/25))/(LN(2)/25)*Calculateur!AQ96*Calculateur!AS96*VLOOKUP('Données projet'!$B$10,Paramètres!$A$1:$I$89,3,0)*0.475*44/12</f>
        <v>3.1058522853076411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23.816386240570822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82.73499565245794</v>
      </c>
      <c r="BJ96" s="62">
        <f t="shared" si="92"/>
        <v>429.59688548095812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21.289995933175227</v>
      </c>
      <c r="BQ96" s="23">
        <f>EXP(-LN(2)/25)*BQ95+(1-EXP(-LN(2)/25))/(LN(2)/25)*Calculateur!BL96*Calculateur!BN96*VLOOKUP('Données projet'!$B$11,Paramètres!$A$1:$I$89,3,0)*0.475*44/12</f>
        <v>3.1927512185864533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24.482747151761679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275.64051507723957</v>
      </c>
      <c r="S97" s="62">
        <f ca="1">AVERAGE(OFFSET($R$3,0,0,'Données projet'!$E$9+1,1))-AVERAGE(OFFSET($H$3,0,0,'Données projet'!$E$9+1,1))</f>
        <v>212.90262675152454</v>
      </c>
      <c r="T97" s="62">
        <f t="shared" si="88"/>
        <v>366.51899340890498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81.048073180639847</v>
      </c>
      <c r="AO97" s="62">
        <f t="shared" si="90"/>
        <v>418.93026662539467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20.304413016578859</v>
      </c>
      <c r="AV97" s="23">
        <f>EXP(-LN(2)/25)*AV96+(1-EXP(-LN(2)/25))/(LN(2)/25)*Calculateur!AQ97*Calculateur!AS97*VLOOKUP('Données projet'!$B$10,Paramètres!$A$1:$I$89,3,0)*0.475*44/12</f>
        <v>3.0209225912362303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23.325335607815092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82.73499565245794</v>
      </c>
      <c r="BJ97" s="62">
        <f t="shared" si="92"/>
        <v>429.59688548095812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20.872512098540955</v>
      </c>
      <c r="BQ97" s="23">
        <f>EXP(-LN(2)/25)*BQ96+(1-EXP(-LN(2)/25))/(LN(2)/25)*Calculateur!BL97*Calculateur!BN97*VLOOKUP('Données projet'!$B$11,Paramètres!$A$1:$I$89,3,0)*0.475*44/12</f>
        <v>3.1054452686147171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23.977957367155671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275.94744591876702</v>
      </c>
      <c r="S98" s="62">
        <f ca="1">AVERAGE(OFFSET($R$3,0,0,'Données projet'!$E$9+1,1))-AVERAGE(OFFSET($H$3,0,0,'Données projet'!$E$9+1,1))</f>
        <v>212.90262675152454</v>
      </c>
      <c r="T98" s="62">
        <f t="shared" si="88"/>
        <v>366.51899340890498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81.048073180639847</v>
      </c>
      <c r="AO98" s="62">
        <f t="shared" si="90"/>
        <v>418.93026662539467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19.906255861792822</v>
      </c>
      <c r="AV98" s="23">
        <f>EXP(-LN(2)/25)*AV97+(1-EXP(-LN(2)/25))/(LN(2)/25)*Calculateur!AQ98*Calculateur!AS98*VLOOKUP('Données projet'!$B$10,Paramètres!$A$1:$I$89,3,0)*0.475*44/12</f>
        <v>2.938315304115461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22.844571165908285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82.73499565245794</v>
      </c>
      <c r="BJ98" s="62">
        <f t="shared" si="92"/>
        <v>429.59688548095812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20.463214867263869</v>
      </c>
      <c r="BQ98" s="23">
        <f>EXP(-LN(2)/25)*BQ97+(1-EXP(-LN(2)/25))/(LN(2)/25)*Calculateur!BL98*Calculateur!BN98*VLOOKUP('Données projet'!$B$11,Paramètres!$A$1:$I$89,3,0)*0.475*44/12</f>
        <v>3.0205267044361785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23.483741571700048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276.2490521963885</v>
      </c>
      <c r="S99" s="62">
        <f ca="1">AVERAGE(OFFSET($R$3,0,0,'Données projet'!$E$9+1,1))-AVERAGE(OFFSET($H$3,0,0,'Données projet'!$E$9+1,1))</f>
        <v>212.90262675152454</v>
      </c>
      <c r="T99" s="62">
        <f t="shared" si="88"/>
        <v>366.51899340890498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81.048073180639847</v>
      </c>
      <c r="AO99" s="62">
        <f t="shared" si="90"/>
        <v>418.93026662539467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19.515906325960255</v>
      </c>
      <c r="AV99" s="23">
        <f>EXP(-LN(2)/25)*AV98+(1-EXP(-LN(2)/25))/(LN(2)/25)*Calculateur!AQ99*Calculateur!AS99*VLOOKUP('Données projet'!$B$10,Paramètres!$A$1:$I$89,3,0)*0.475*44/12</f>
        <v>2.8579669176051374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22.373873243565392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82.73499565245794</v>
      </c>
      <c r="BJ99" s="62">
        <f t="shared" si="92"/>
        <v>429.59688548095812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20.061943705045465</v>
      </c>
      <c r="BQ99" s="23">
        <f>EXP(-LN(2)/25)*BQ98+(1-EXP(-LN(2)/25))/(LN(2)/25)*Calculateur!BL99*Calculateur!BN99*VLOOKUP('Données projet'!$B$11,Paramètres!$A$1:$I$89,3,0)*0.475*44/12</f>
        <v>2.9379302428607752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22.999873947906242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276.54542627938389</v>
      </c>
      <c r="S100" s="62">
        <f ca="1">AVERAGE(OFFSET($R$3,0,0,'Données projet'!$E$9+1,1))-AVERAGE(OFFSET($H$3,0,0,'Données projet'!$E$9+1,1))</f>
        <v>212.90262675152454</v>
      </c>
      <c r="T100" s="62">
        <f t="shared" si="88"/>
        <v>366.51899340890498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81.048073180639847</v>
      </c>
      <c r="AO100" s="62">
        <f t="shared" si="90"/>
        <v>418.93026662539467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19.133211306435658</v>
      </c>
      <c r="AV100" s="23">
        <f>EXP(-LN(2)/25)*AV99+(1-EXP(-LN(2)/25))/(LN(2)/25)*Calculateur!AQ100*Calculateur!AS100*VLOOKUP('Données projet'!$B$10,Paramètres!$A$1:$I$89,3,0)*0.475*44/12</f>
        <v>2.7798156619492769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21.913026968384933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82.73499565245794</v>
      </c>
      <c r="BJ100" s="62">
        <f t="shared" si="92"/>
        <v>429.59688548095812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19.668541225566923</v>
      </c>
      <c r="BQ100" s="23">
        <f>EXP(-LN(2)/25)*BQ99+(1-EXP(-LN(2)/25))/(LN(2)/25)*Calculateur!BL100*Calculateur!BN100*VLOOKUP('Données projet'!$B$11,Paramètres!$A$1:$I$89,3,0)*0.475*44/12</f>
        <v>2.8575923858707104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22.526133611437633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276.83665893463245</v>
      </c>
      <c r="S101" s="62">
        <f ca="1">AVERAGE(OFFSET($R$3,0,0,'Données projet'!$E$9+1,1))-AVERAGE(OFFSET($H$3,0,0,'Données projet'!$E$9+1,1))</f>
        <v>212.90262675152454</v>
      </c>
      <c r="T101" s="62">
        <f t="shared" si="88"/>
        <v>366.51899340890498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81.048073180639847</v>
      </c>
      <c r="AO101" s="62">
        <f t="shared" si="90"/>
        <v>418.93026662539467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18.758020702823025</v>
      </c>
      <c r="AV101" s="23">
        <f>EXP(-LN(2)/25)*AV100+(1-EXP(-LN(2)/25))/(LN(2)/25)*Calculateur!AQ101*Calculateur!AS101*VLOOKUP('Données projet'!$B$10,Paramètres!$A$1:$I$89,3,0)*0.475*44/12</f>
        <v>2.7038014564891215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21.461822159312145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82.73499565245794</v>
      </c>
      <c r="BJ101" s="62">
        <f t="shared" si="92"/>
        <v>429.59688548095812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19.282853128759136</v>
      </c>
      <c r="BQ101" s="23">
        <f>EXP(-LN(2)/25)*BQ100+(1-EXP(-LN(2)/25))/(LN(2)/25)*Calculateur!BL101*Calculateur!BN101*VLOOKUP('Données projet'!$B$11,Paramètres!$A$1:$I$89,3,0)*0.475*44/12</f>
        <v>2.7794513718048233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22.062304500563961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277.12283935441121</v>
      </c>
      <c r="S102" s="62">
        <f ca="1">AVERAGE(OFFSET($R$3,0,0,'Données projet'!$E$9+1,1))-AVERAGE(OFFSET($H$3,0,0,'Données projet'!$E$9+1,1))</f>
        <v>212.90262675152454</v>
      </c>
      <c r="T102" s="62">
        <f t="shared" si="88"/>
        <v>366.51899340890498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81.048073180639847</v>
      </c>
      <c r="AO102" s="62">
        <f t="shared" si="90"/>
        <v>418.93026662539467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18.390187358103564</v>
      </c>
      <c r="AV102" s="23">
        <f>EXP(-LN(2)/25)*AV101+(1-EXP(-LN(2)/25))/(LN(2)/25)*Calculateur!AQ102*Calculateur!AS102*VLOOKUP('Données projet'!$B$10,Paramètres!$A$1:$I$89,3,0)*0.475*44/12</f>
        <v>2.6298658634746874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21.020053221578252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82.73499565245794</v>
      </c>
      <c r="BJ102" s="62">
        <f t="shared" si="92"/>
        <v>429.59688548095812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18.90472814028324</v>
      </c>
      <c r="BQ102" s="23">
        <f>EXP(-LN(2)/25)*BQ101+(1-EXP(-LN(2)/25))/(LN(2)/25)*Calculateur!BL102*Calculateur!BN102*VLOOKUP('Données projet'!$B$11,Paramètres!$A$1:$I$89,3,0)*0.475*44/12</f>
        <v>2.7034471278778254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21.608175268161066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277.40405518371028</v>
      </c>
      <c r="S103" s="62">
        <f ca="1">AVERAGE(OFFSET($R$3,0,0,'Données projet'!$E$9+1,1))-AVERAGE(OFFSET($H$3,0,0,'Données projet'!$E$9+1,1))</f>
        <v>212.90262675152454</v>
      </c>
      <c r="T103" s="62">
        <f t="shared" si="88"/>
        <v>366.51899340890498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81.048073180639847</v>
      </c>
      <c r="AO103" s="62">
        <f t="shared" si="90"/>
        <v>418.93026662539467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18.029567000917865</v>
      </c>
      <c r="AV103" s="23">
        <f>EXP(-LN(2)/25)*AV102+(1-EXP(-LN(2)/25))/(LN(2)/25)*Calculateur!AQ103*Calculateur!AS103*VLOOKUP('Données projet'!$B$10,Paramètres!$A$1:$I$89,3,0)*0.475*44/12</f>
        <v>2.5579520431393368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20.587519044057203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82.73499565245794</v>
      </c>
      <c r="BJ103" s="62">
        <f t="shared" si="92"/>
        <v>429.59688548095812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18.534017952197885</v>
      </c>
      <c r="BQ103" s="23">
        <f>EXP(-LN(2)/25)*BQ102+(1-EXP(-LN(2)/25))/(LN(2)/25)*Calculateur!BL103*Calculateur!BN103*VLOOKUP('Données projet'!$B$11,Paramètres!$A$1:$I$89,3,0)*0.475*44/12</f>
        <v>2.6295212239979007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21.163539176195787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277.68039254707548</v>
      </c>
      <c r="S104" s="62">
        <f ca="1">AVERAGE(OFFSET($R$3,0,0,'Données projet'!$E$9+1,1))-AVERAGE(OFFSET($H$3,0,0,'Données projet'!$E$9+1,1))</f>
        <v>212.90262675152454</v>
      </c>
      <c r="T104" s="62">
        <f t="shared" si="88"/>
        <v>366.51899340890498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81.048073180639847</v>
      </c>
      <c r="AO104" s="62">
        <f t="shared" si="90"/>
        <v>418.93026662539467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17.676018188979878</v>
      </c>
      <c r="AV104" s="23">
        <f>EXP(-LN(2)/25)*AV103+(1-EXP(-LN(2)/25))/(LN(2)/25)*Calculateur!AQ104*Calculateur!AS104*VLOOKUP('Données projet'!$B$10,Paramètres!$A$1:$I$89,3,0)*0.475*44/12</f>
        <v>2.4880047100028397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20.164022898982719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82.73499565245794</v>
      </c>
      <c r="BJ104" s="62">
        <f t="shared" si="92"/>
        <v>429.59688548095812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18.170577164789997</v>
      </c>
      <c r="BQ104" s="23">
        <f>EXP(-LN(2)/25)*BQ103+(1-EXP(-LN(2)/25))/(LN(2)/25)*Calculateur!BL104*Calculateur!BN104*VLOOKUP('Données projet'!$B$11,Paramètres!$A$1:$I$89,3,0)*0.475*44/12</f>
        <v>2.5576168278471667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20.728193992637163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277.95193607498402</v>
      </c>
      <c r="S105" s="62">
        <f ca="1">AVERAGE(OFFSET($R$3,0,0,'Données projet'!$E$9+1,1))-AVERAGE(OFFSET($H$3,0,0,'Données projet'!$E$9+1,1))</f>
        <v>212.90262675152454</v>
      </c>
      <c r="T105" s="62">
        <f t="shared" si="88"/>
        <v>366.51899340890498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81.048073180639847</v>
      </c>
      <c r="AO105" s="62">
        <f t="shared" si="90"/>
        <v>418.93026662539467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17.329402253600513</v>
      </c>
      <c r="AV105" s="23">
        <f>EXP(-LN(2)/25)*AV104+(1-EXP(-LN(2)/25))/(LN(2)/25)*Calculateur!AQ105*Calculateur!AS105*VLOOKUP('Données projet'!$B$10,Paramètres!$A$1:$I$89,3,0)*0.475*44/12</f>
        <v>2.4199700903693309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19.749372343969846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82.73499565245794</v>
      </c>
      <c r="BJ105" s="62">
        <f t="shared" si="92"/>
        <v>429.59688548095812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17.814263229546185</v>
      </c>
      <c r="BQ105" s="23">
        <f>EXP(-LN(2)/25)*BQ104+(1-EXP(-LN(2)/25))/(LN(2)/25)*Calculateur!BL105*Calculateur!BN105*VLOOKUP('Données projet'!$B$11,Paramètres!$A$1:$I$89,3,0)*0.475*44/12</f>
        <v>2.4876786611904627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20.301941890736646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278.21876892976377</v>
      </c>
      <c r="S106" s="62">
        <f ca="1">AVERAGE(OFFSET($R$3,0,0,'Données projet'!$E$9+1,1))-AVERAGE(OFFSET($H$3,0,0,'Données projet'!$E$9+1,1))</f>
        <v>212.90262675152454</v>
      </c>
      <c r="T106" s="62">
        <f t="shared" si="88"/>
        <v>366.51899340890498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81.048073180639847</v>
      </c>
      <c r="AO106" s="62">
        <f t="shared" si="90"/>
        <v>418.93026662539467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16.989583245299091</v>
      </c>
      <c r="AV106" s="23">
        <f>EXP(-LN(2)/25)*AV105+(1-EXP(-LN(2)/25))/(LN(2)/25)*Calculateur!AQ106*Calculateur!AS106*VLOOKUP('Données projet'!$B$10,Paramètres!$A$1:$I$89,3,0)*0.475*44/12</f>
        <v>2.3537958809874855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19.343379126286578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82.73499565245794</v>
      </c>
      <c r="BJ106" s="62">
        <f t="shared" si="92"/>
        <v>429.59688548095812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17.464936393242464</v>
      </c>
      <c r="BQ106" s="23">
        <f>EXP(-LN(2)/25)*BQ105+(1-EXP(-LN(2)/25))/(LN(2)/25)*Calculateur!BL106*Calculateur!BN106*VLOOKUP('Données projet'!$B$11,Paramètres!$A$1:$I$89,3,0)*0.475*44/12</f>
        <v>2.4196529573788745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19.88458935062134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278.48097283106199</v>
      </c>
      <c r="S107" s="62">
        <f ca="1">AVERAGE(OFFSET($R$3,0,0,'Données projet'!$E$9+1,1))-AVERAGE(OFFSET($H$3,0,0,'Données projet'!$E$9+1,1))</f>
        <v>212.90262675152454</v>
      </c>
      <c r="T107" s="62">
        <f t="shared" si="88"/>
        <v>366.51899340890498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81.048073180639847</v>
      </c>
      <c r="AO107" s="62">
        <f t="shared" si="90"/>
        <v>418.93026662539467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16.656427880481331</v>
      </c>
      <c r="AV107" s="23">
        <f>EXP(-LN(2)/25)*AV106+(1-EXP(-LN(2)/25))/(LN(2)/25)*Calculateur!AQ107*Calculateur!AS107*VLOOKUP('Données projet'!$B$10,Paramètres!$A$1:$I$89,3,0)*0.475*44/12</f>
        <v>2.2894312088411368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18.945859089322468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82.73499565245794</v>
      </c>
      <c r="BJ107" s="62">
        <f t="shared" si="92"/>
        <v>429.59688548095812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17.122459643130327</v>
      </c>
      <c r="BQ107" s="23">
        <f>EXP(-LN(2)/25)*BQ106+(1-EXP(-LN(2)/25))/(LN(2)/25)*Calculateur!BL107*Calculateur!BN107*VLOOKUP('Données projet'!$B$11,Paramètres!$A$1:$I$89,3,0)*0.475*44/12</f>
        <v>2.3534874200153304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19.475947063145657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278.73862808087284</v>
      </c>
      <c r="S108" s="62">
        <f ca="1">AVERAGE(OFFSET($R$3,0,0,'Données projet'!$E$9+1,1))-AVERAGE(OFFSET($H$3,0,0,'Données projet'!$E$9+1,1))</f>
        <v>212.90262675152454</v>
      </c>
      <c r="T108" s="62">
        <f t="shared" si="88"/>
        <v>366.51899340890498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81.048073180639847</v>
      </c>
      <c r="AO108" s="62">
        <f t="shared" si="90"/>
        <v>418.93026662539467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16.32980548916294</v>
      </c>
      <c r="AV108" s="23">
        <f>EXP(-LN(2)/25)*AV107+(1-EXP(-LN(2)/25))/(LN(2)/25)*Calculateur!AQ108*Calculateur!AS108*VLOOKUP('Données projet'!$B$10,Paramètres!$A$1:$I$89,3,0)*0.475*44/12</f>
        <v>2.226826592039421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18.556632081202359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82.73499565245794</v>
      </c>
      <c r="BJ108" s="62">
        <f t="shared" si="92"/>
        <v>429.59688548095812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16.786698653197696</v>
      </c>
      <c r="BQ108" s="23">
        <f>EXP(-LN(2)/25)*BQ107+(1-EXP(-LN(2)/25))/(LN(2)/25)*Calculateur!BL108*Calculateur!BN108*VLOOKUP('Données projet'!$B$11,Paramètres!$A$1:$I$89,3,0)*0.475*44/12</f>
        <v>2.2891311827504865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19.075829835948184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278.99181358813019</v>
      </c>
      <c r="S109" s="62">
        <f ca="1">AVERAGE(OFFSET($R$3,0,0,'Données projet'!$E$9+1,1))-AVERAGE(OFFSET($H$3,0,0,'Données projet'!$E$9+1,1))</f>
        <v>212.90262675152454</v>
      </c>
      <c r="T109" s="62">
        <f t="shared" si="88"/>
        <v>366.51899340890498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81.048073180639847</v>
      </c>
      <c r="AO109" s="62">
        <f t="shared" si="90"/>
        <v>418.93026662539467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16.009587963718314</v>
      </c>
      <c r="AV109" s="23">
        <f>EXP(-LN(2)/25)*AV108+(1-EXP(-LN(2)/25))/(LN(2)/25)*Calculateur!AQ109*Calculateur!AS109*VLOOKUP('Données projet'!$B$10,Paramètres!$A$1:$I$89,3,0)*0.475*44/12</f>
        <v>2.1659339017763819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18.175521865494694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82.73499565245794</v>
      </c>
      <c r="BJ109" s="62">
        <f t="shared" si="92"/>
        <v>429.59688548095812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16.457521731483663</v>
      </c>
      <c r="BQ109" s="23">
        <f>EXP(-LN(2)/25)*BQ108+(1-EXP(-LN(2)/25))/(LN(2)/25)*Calculateur!BL109*Calculateur!BN109*VLOOKUP('Données projet'!$B$11,Paramètres!$A$1:$I$89,3,0)*0.475*44/12</f>
        <v>2.2265347701779974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18.684056501661662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279.24060689287472</v>
      </c>
      <c r="S110" s="62">
        <f ca="1">AVERAGE(OFFSET($R$3,0,0,'Données projet'!$E$9+1,1))-AVERAGE(OFFSET($H$3,0,0,'Données projet'!$E$9+1,1))</f>
        <v>212.90262675152454</v>
      </c>
      <c r="T110" s="62">
        <f t="shared" si="88"/>
        <v>366.51899340890498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81.048073180639847</v>
      </c>
      <c r="AO110" s="62">
        <f t="shared" si="90"/>
        <v>418.93026662539467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15.695649708634253</v>
      </c>
      <c r="AV110" s="23">
        <f>EXP(-LN(2)/25)*AV109+(1-EXP(-LN(2)/25))/(LN(2)/25)*Calculateur!AQ110*Calculateur!AS110*VLOOKUP('Données projet'!$B$10,Paramètres!$A$1:$I$89,3,0)*0.475*44/12</f>
        <v>2.1067063253307929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17.802356033965047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82.73499565245794</v>
      </c>
      <c r="BJ110" s="62">
        <f t="shared" si="92"/>
        <v>429.59688548095812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16.134799768426344</v>
      </c>
      <c r="BQ110" s="23">
        <f>EXP(-LN(2)/25)*BQ109+(1-EXP(-LN(2)/25))/(LN(2)/25)*Calculateur!BL110*Calculateur!BN110*VLOOKUP('Données projet'!$B$11,Paramètres!$A$1:$I$89,3,0)*0.475*44/12</f>
        <v>2.1656500597991055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18.30044982822545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279.48508419000041</v>
      </c>
      <c r="S111" s="62">
        <f ca="1">AVERAGE(OFFSET($R$3,0,0,'Données projet'!$E$9+1,1))-AVERAGE(OFFSET($H$3,0,0,'Données projet'!$E$9+1,1))</f>
        <v>212.90262675152454</v>
      </c>
      <c r="T111" s="62">
        <f t="shared" si="88"/>
        <v>366.51899340890498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81.048073180639847</v>
      </c>
      <c r="AO111" s="62">
        <f t="shared" si="90"/>
        <v>418.93026662539467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15.387867591248963</v>
      </c>
      <c r="AV111" s="23">
        <f>EXP(-LN(2)/25)*AV110+(1-EXP(-LN(2)/25))/(LN(2)/25)*Calculateur!AQ111*Calculateur!AS111*VLOOKUP('Données projet'!$B$10,Paramètres!$A$1:$I$89,3,0)*0.475*44/12</f>
        <v>2.0490983300777517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17.436965921326713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82.73499565245794</v>
      </c>
      <c r="BJ111" s="62">
        <f t="shared" si="92"/>
        <v>429.59688548095812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15.818406186223619</v>
      </c>
      <c r="BQ111" s="23">
        <f>EXP(-LN(2)/25)*BQ110+(1-EXP(-LN(2)/25))/(LN(2)/25)*Calculateur!BL111*Calculateur!BN111*VLOOKUP('Données projet'!$B$11,Paramètres!$A$1:$I$89,3,0)*0.475*44/12</f>
        <v>2.1064302450273118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17.924836431250931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279.72532035259036</v>
      </c>
      <c r="S112" s="62">
        <f ca="1">AVERAGE(OFFSET($R$3,0,0,'Données projet'!$E$9+1,1))-AVERAGE(OFFSET($H$3,0,0,'Données projet'!$E$9+1,1))</f>
        <v>212.90262675152454</v>
      </c>
      <c r="T112" s="62">
        <f t="shared" si="88"/>
        <v>366.51899340890498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81.048073180639847</v>
      </c>
      <c r="AO112" s="62">
        <f t="shared" si="90"/>
        <v>418.93026662539467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15.086120893457043</v>
      </c>
      <c r="AV112" s="23">
        <f>EXP(-LN(2)/25)*AV111+(1-EXP(-LN(2)/25))/(LN(2)/25)*Calculateur!AQ112*Calculateur!AS112*VLOOKUP('Données projet'!$B$10,Paramètres!$A$1:$I$89,3,0)*0.475*44/12</f>
        <v>1.9930656284843777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17.07918652194142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82.73499565245794</v>
      </c>
      <c r="BJ112" s="62">
        <f t="shared" si="92"/>
        <v>429.59688548095812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15.50821688918686</v>
      </c>
      <c r="BQ112" s="23">
        <f>EXP(-LN(2)/25)*BQ111+(1-EXP(-LN(2)/25))/(LN(2)/25)*Calculateur!BL112*Calculateur!BN112*VLOOKUP('Données projet'!$B$11,Paramètres!$A$1:$I$89,3,0)*0.475*44/12</f>
        <v>2.0488297992046878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17.557046688391548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279.96138895484694</v>
      </c>
      <c r="S113" s="62">
        <f ca="1">AVERAGE(OFFSET($R$3,0,0,'Données projet'!$E$9+1,1))-AVERAGE(OFFSET($H$3,0,0,'Données projet'!$E$9+1,1))</f>
        <v>212.90262675152454</v>
      </c>
      <c r="T113" s="62">
        <f t="shared" si="88"/>
        <v>366.51899340890498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81.048073180639847</v>
      </c>
      <c r="AO113" s="62">
        <f t="shared" si="90"/>
        <v>418.93026662539467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14.79029126436151</v>
      </c>
      <c r="AV113" s="23">
        <f>EXP(-LN(2)/25)*AV112+(1-EXP(-LN(2)/25))/(LN(2)/25)*Calculateur!AQ113*Calculateur!AS113*VLOOKUP('Données projet'!$B$10,Paramètres!$A$1:$I$89,3,0)*0.475*44/12</f>
        <v>1.9385651440627063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16.728856408424218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82.73499565245794</v>
      </c>
      <c r="BJ113" s="62">
        <f t="shared" si="92"/>
        <v>429.59688548095812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15.204110215068201</v>
      </c>
      <c r="BQ113" s="23">
        <f>EXP(-LN(2)/25)*BQ112+(1-EXP(-LN(2)/25))/(LN(2)/25)*Calculateur!BL113*Calculateur!BN113*VLOOKUP('Données projet'!$B$11,Paramètres!$A$1:$I$89,3,0)*0.475*44/12</f>
        <v>1.992804440602159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17.196914655670362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280.19336229462465</v>
      </c>
      <c r="S114" s="62">
        <f ca="1">AVERAGE(OFFSET($R$3,0,0,'Données projet'!$E$9+1,1))-AVERAGE(OFFSET($H$3,0,0,'Données projet'!$E$9+1,1))</f>
        <v>212.90262675152454</v>
      </c>
      <c r="T114" s="62">
        <f t="shared" si="88"/>
        <v>366.51899340890498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81.048073180639847</v>
      </c>
      <c r="AO114" s="62">
        <f t="shared" si="90"/>
        <v>418.93026662539467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14.500262673854284</v>
      </c>
      <c r="AV114" s="23">
        <f>EXP(-LN(2)/25)*AV113+(1-EXP(-LN(2)/25))/(LN(2)/25)*Calculateur!AQ114*Calculateur!AS114*VLOOKUP('Données projet'!$B$10,Paramètres!$A$1:$I$89,3,0)*0.475*44/12</f>
        <v>1.8855549782536014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16.385817652107885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82.73499565245794</v>
      </c>
      <c r="BJ114" s="62">
        <f t="shared" si="92"/>
        <v>429.59688548095812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14.905966887342254</v>
      </c>
      <c r="BQ114" s="23">
        <f>EXP(-LN(2)/25)*BQ113+(1-EXP(-LN(2)/25))/(LN(2)/25)*Calculateur!BL114*Calculateur!BN114*VLOOKUP('Données projet'!$B$11,Paramètres!$A$1:$I$89,3,0)*0.475*44/12</f>
        <v>1.9383110983768621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16.844277985719117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280.42131141557195</v>
      </c>
      <c r="S115" s="62">
        <f ca="1">AVERAGE(OFFSET($R$3,0,0,'Données projet'!$E$9+1,1))-AVERAGE(OFFSET($H$3,0,0,'Données projet'!$E$9+1,1))</f>
        <v>212.90262675152454</v>
      </c>
      <c r="T115" s="62">
        <f t="shared" si="88"/>
        <v>366.51899340890498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81.048073180639847</v>
      </c>
      <c r="AO115" s="62">
        <f t="shared" si="90"/>
        <v>418.93026662539467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14.215921367106931</v>
      </c>
      <c r="AV115" s="23">
        <f>EXP(-LN(2)/25)*AV114+(1-EXP(-LN(2)/25))/(LN(2)/25)*Calculateur!AQ115*Calculateur!AS115*VLOOKUP('Données projet'!$B$10,Paramètres!$A$1:$I$89,3,0)*0.475*44/12</f>
        <v>1.8339943782162298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16.049915745323162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82.73499565245794</v>
      </c>
      <c r="BJ115" s="62">
        <f t="shared" si="92"/>
        <v>429.59688548095812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14.613669968423538</v>
      </c>
      <c r="BQ115" s="23">
        <f>EXP(-LN(2)/25)*BQ114+(1-EXP(-LN(2)/25))/(LN(2)/25)*Calculateur!BL115*Calculateur!BN115*VLOOKUP('Données projet'!$B$11,Paramètres!$A$1:$I$89,3,0)*0.475*44/12</f>
        <v>1.8853078794603961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16.498977847883936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280.64530612888871</v>
      </c>
      <c r="S116" s="62">
        <f ca="1">AVERAGE(OFFSET($R$3,0,0,'Données projet'!$E$9+1,1))-AVERAGE(OFFSET($H$3,0,0,'Données projet'!$E$9+1,1))</f>
        <v>212.90262675152454</v>
      </c>
      <c r="T116" s="62">
        <f t="shared" si="88"/>
        <v>366.51899340890498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81.048073180639847</v>
      </c>
      <c r="AO116" s="62">
        <f t="shared" si="90"/>
        <v>418.93026662539467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13.937155819953823</v>
      </c>
      <c r="AV116" s="23">
        <f>EXP(-LN(2)/25)*AV115+(1-EXP(-LN(2)/25))/(LN(2)/25)*Calculateur!AQ116*Calculateur!AS116*VLOOKUP('Données projet'!$B$10,Paramètres!$A$1:$I$89,3,0)*0.475*44/12</f>
        <v>1.7838437054983343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15.720999525452157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82.73499565245794</v>
      </c>
      <c r="BJ116" s="62">
        <f t="shared" si="92"/>
        <v>429.59688548095812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14.327104813801302</v>
      </c>
      <c r="BQ116" s="23">
        <f>EXP(-LN(2)/25)*BQ115+(1-EXP(-LN(2)/25))/(LN(2)/25)*Calculateur!BL116*Calculateur!BN116*VLOOKUP('Données projet'!$B$11,Paramètres!$A$1:$I$89,3,0)*0.475*44/12</f>
        <v>1.8337540363525191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16.160858850153822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280.86541503470653</v>
      </c>
      <c r="S117" s="62">
        <f ca="1">AVERAGE(OFFSET($R$3,0,0,'Données projet'!$E$9+1,1))-AVERAGE(OFFSET($H$3,0,0,'Données projet'!$E$9+1,1))</f>
        <v>212.90262675152454</v>
      </c>
      <c r="T117" s="62">
        <f t="shared" si="88"/>
        <v>366.51899340890498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81.048073180639847</v>
      </c>
      <c r="AO117" s="62">
        <f t="shared" si="90"/>
        <v>418.93026662539467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13.663856695150193</v>
      </c>
      <c r="AV117" s="23">
        <f>EXP(-LN(2)/25)*AV116+(1-EXP(-LN(2)/25))/(LN(2)/25)*Calculateur!AQ117*Calculateur!AS117*VLOOKUP('Données projet'!$B$10,Paramètres!$A$1:$I$89,3,0)*0.475*44/12</f>
        <v>1.7350644055632189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15.398921100713412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82.73499565245794</v>
      </c>
      <c r="BJ117" s="62">
        <f t="shared" si="92"/>
        <v>429.59688548095812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14.046159027073722</v>
      </c>
      <c r="BQ117" s="23">
        <f>EXP(-LN(2)/25)*BQ116+(1-EXP(-LN(2)/25))/(LN(2)/25)*Calculateur!BL117*Calculateur!BN117*VLOOKUP('Données projet'!$B$11,Paramètres!$A$1:$I$89,3,0)*0.475*44/12</f>
        <v>1.7836099357955257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15.829768962869249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281.08170554309834</v>
      </c>
      <c r="S118" s="62">
        <f ca="1">AVERAGE(OFFSET($R$3,0,0,'Données projet'!$E$9+1,1))-AVERAGE(OFFSET($H$3,0,0,'Données projet'!$E$9+1,1))</f>
        <v>212.90262675152454</v>
      </c>
      <c r="T118" s="62">
        <f t="shared" si="88"/>
        <v>366.51899340890498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81.048073180639847</v>
      </c>
      <c r="AO118" s="62">
        <f t="shared" si="90"/>
        <v>418.93026662539467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13.395916799487955</v>
      </c>
      <c r="AV118" s="23">
        <f>EXP(-LN(2)/25)*AV117+(1-EXP(-LN(2)/25))/(LN(2)/25)*Calculateur!AQ118*Calculateur!AS118*VLOOKUP('Données projet'!$B$10,Paramètres!$A$1:$I$89,3,0)*0.475*44/12</f>
        <v>1.6876189781500213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15.083535777637977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82.73499565245794</v>
      </c>
      <c r="BJ118" s="62">
        <f t="shared" si="92"/>
        <v>429.59688548095812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13.770722415863862</v>
      </c>
      <c r="BQ118" s="23">
        <f>EXP(-LN(2)/25)*BQ117+(1-EXP(-LN(2)/25))/(LN(2)/25)*Calculateur!BL118*Calculateur!BN118*VLOOKUP('Données projet'!$B$11,Paramètres!$A$1:$I$89,3,0)*0.475*44/12</f>
        <v>1.734837028305227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15.505559444169089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281.29424389472257</v>
      </c>
      <c r="S119" s="62">
        <f ca="1">AVERAGE(OFFSET($R$3,0,0,'Données projet'!$E$9+1,1))-AVERAGE(OFFSET($H$3,0,0,'Données projet'!$E$9+1,1))</f>
        <v>212.90262675152454</v>
      </c>
      <c r="T119" s="62">
        <f t="shared" si="88"/>
        <v>366.51899340890498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81.048073180639847</v>
      </c>
      <c r="AO119" s="62">
        <f t="shared" si="90"/>
        <v>418.93026662539467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13.133231041752454</v>
      </c>
      <c r="AV119" s="23">
        <f>EXP(-LN(2)/25)*AV118+(1-EXP(-LN(2)/25))/(LN(2)/25)*Calculateur!AQ119*Calculateur!AS119*VLOOKUP('Données projet'!$B$10,Paramètres!$A$1:$I$89,3,0)*0.475*44/12</f>
        <v>1.641470948444484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14.774701990196938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82.73499565245794</v>
      </c>
      <c r="BJ119" s="62">
        <f t="shared" si="92"/>
        <v>429.59688548095812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13.500686948600082</v>
      </c>
      <c r="BQ119" s="23">
        <f>EXP(-LN(2)/25)*BQ118+(1-EXP(-LN(2)/25))/(LN(2)/25)*Calculateur!BL119*Calculateur!BN119*VLOOKUP('Données projet'!$B$11,Paramètres!$A$1:$I$89,3,0)*0.475*44/12</f>
        <v>1.6873978185351062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15.188084767135187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281.50309518111072</v>
      </c>
      <c r="S120" s="62">
        <f ca="1">AVERAGE(OFFSET($R$3,0,0,'Données projet'!$E$9+1,1))-AVERAGE(OFFSET($H$3,0,0,'Données projet'!$E$9+1,1))</f>
        <v>212.90262675152454</v>
      </c>
      <c r="T120" s="62">
        <f t="shared" si="88"/>
        <v>366.51899340890498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81.048073180639847</v>
      </c>
      <c r="AO120" s="62">
        <f t="shared" si="90"/>
        <v>418.93026662539467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12.875696391503656</v>
      </c>
      <c r="AV120" s="23">
        <f>EXP(-LN(2)/25)*AV119+(1-EXP(-LN(2)/25))/(LN(2)/25)*Calculateur!AQ120*Calculateur!AS120*VLOOKUP('Données projet'!$B$10,Paramètres!$A$1:$I$89,3,0)*0.475*44/12</f>
        <v>1.5965848390380641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14.47228123054172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82.73499565245794</v>
      </c>
      <c r="BJ120" s="62">
        <f t="shared" si="92"/>
        <v>429.59688548095812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13.235946712143972</v>
      </c>
      <c r="BQ120" s="23">
        <f>EXP(-LN(2)/25)*BQ119+(1-EXP(-LN(2)/25))/(LN(2)/25)*Calculateur!BL120*Calculateur!BN120*VLOOKUP('Données projet'!$B$11,Paramètres!$A$1:$I$89,3,0)*0.475*44/12</f>
        <v>1.6412558364508689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14.877202548594841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281.70832336460148</v>
      </c>
      <c r="S121" s="62">
        <f ca="1">AVERAGE(OFFSET($R$3,0,0,'Données projet'!$E$9+1,1))-AVERAGE(OFFSET($H$3,0,0,'Données projet'!$E$9+1,1))</f>
        <v>212.90262675152454</v>
      </c>
      <c r="T121" s="62">
        <f t="shared" si="88"/>
        <v>366.51899340890498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81.048073180639847</v>
      </c>
      <c r="AO121" s="62">
        <f t="shared" si="90"/>
        <v>418.93026662539467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12.623211838665609</v>
      </c>
      <c r="AV121" s="23">
        <f>EXP(-LN(2)/25)*AV120+(1-EXP(-LN(2)/25))/(LN(2)/25)*Calculateur!AQ121*Calculateur!AS121*VLOOKUP('Données projet'!$B$10,Paramètres!$A$1:$I$89,3,0)*0.475*44/12</f>
        <v>1.5529261426538206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14.17613798131943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82.73499565245794</v>
      </c>
      <c r="BJ121" s="62">
        <f t="shared" si="92"/>
        <v>429.59688548095812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12.976397870249167</v>
      </c>
      <c r="BQ121" s="23">
        <f>EXP(-LN(2)/25)*BQ120+(1-EXP(-LN(2)/25))/(LN(2)/25)*Calculateur!BL121*Calculateur!BN121*VLOOKUP('Données projet'!$B$11,Paramètres!$A$1:$I$89,3,0)*0.475*44/12</f>
        <v>1.5963756092932266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14.572773479542395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281.90999129793022</v>
      </c>
      <c r="S122" s="62">
        <f ca="1">AVERAGE(OFFSET($R$3,0,0,'Données projet'!$E$9+1,1))-AVERAGE(OFFSET($H$3,0,0,'Données projet'!$E$9+1,1))</f>
        <v>212.90262675152454</v>
      </c>
      <c r="T122" s="62">
        <f t="shared" si="88"/>
        <v>366.51899340890498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81.048073180639847</v>
      </c>
      <c r="AO122" s="62">
        <f t="shared" si="90"/>
        <v>418.93026662539467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12.375678353908345</v>
      </c>
      <c r="AV122" s="23">
        <f>EXP(-LN(2)/25)*AV121+(1-EXP(-LN(2)/25))/(LN(2)/25)*Calculateur!AQ122*Calculateur!AS122*VLOOKUP('Données projet'!$B$10,Paramètres!$A$1:$I$89,3,0)*0.475*44/12</f>
        <v>1.5104612956181152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13.886139649526459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82.73499565245794</v>
      </c>
      <c r="BJ122" s="62">
        <f t="shared" si="92"/>
        <v>429.59688548095812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12.721938622834758</v>
      </c>
      <c r="BQ122" s="23">
        <f>EXP(-LN(2)/25)*BQ121+(1-EXP(-LN(2)/25))/(LN(2)/25)*Calculateur!BL122*Calculateur!BN122*VLOOKUP('Données projet'!$B$11,Paramètres!$A$1:$I$89,3,0)*0.475*44/12</f>
        <v>1.5527226343073586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14.274661257142116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282.1081607434777</v>
      </c>
      <c r="S123" s="62">
        <f ca="1">AVERAGE(OFFSET($R$3,0,0,'Données projet'!$E$9+1,1))-AVERAGE(OFFSET($H$3,0,0,'Données projet'!$E$9+1,1))</f>
        <v>212.90262675152454</v>
      </c>
      <c r="T123" s="62">
        <f t="shared" si="88"/>
        <v>366.51899340890498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81.048073180639847</v>
      </c>
      <c r="AO123" s="62">
        <f t="shared" si="90"/>
        <v>418.93026662539467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12.132998849806654</v>
      </c>
      <c r="AV123" s="23">
        <f>EXP(-LN(2)/25)*AV122+(1-EXP(-LN(2)/25))/(LN(2)/25)*Calculateur!AQ123*Calculateur!AS123*VLOOKUP('Données projet'!$B$10,Paramètres!$A$1:$I$89,3,0)*0.475*44/12</f>
        <v>1.4691576520577305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13.602156501864386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82.73499565245794</v>
      </c>
      <c r="BJ123" s="62">
        <f t="shared" si="92"/>
        <v>429.59688548095812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12.47246916605733</v>
      </c>
      <c r="BQ123" s="23">
        <f>EXP(-LN(2)/25)*BQ122+(1-EXP(-LN(2)/25))/(LN(2)/25)*Calculateur!BL123*Calculateur!BN123*VLOOKUP('Données projet'!$B$11,Paramètres!$A$1:$I$89,3,0)*0.475*44/12</f>
        <v>1.5102633522180893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13.982732518275419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282.30289239218547</v>
      </c>
      <c r="S124" s="62">
        <f ca="1">AVERAGE(OFFSET($R$3,0,0,'Données projet'!$E$9+1,1))-AVERAGE(OFFSET($H$3,0,0,'Données projet'!$E$9+1,1))</f>
        <v>212.90262675152454</v>
      </c>
      <c r="T124" s="62">
        <f t="shared" si="88"/>
        <v>366.51899340890498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81.048073180639847</v>
      </c>
      <c r="AO124" s="62">
        <f t="shared" si="90"/>
        <v>418.93026662539467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11.895078142760516</v>
      </c>
      <c r="AV124" s="23">
        <f>EXP(-LN(2)/25)*AV123+(1-EXP(-LN(2)/25))/(LN(2)/25)*Calculateur!AQ124*Calculateur!AS124*VLOOKUP('Données projet'!$B$10,Paramètres!$A$1:$I$89,3,0)*0.475*44/12</f>
        <v>1.4289834588025687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13.324061601563084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82.73499565245794</v>
      </c>
      <c r="BJ124" s="62">
        <f t="shared" si="92"/>
        <v>429.59688548095812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12.227891653165964</v>
      </c>
      <c r="BQ124" s="23">
        <f>EXP(-LN(2)/25)*BQ123+(1-EXP(-LN(2)/25))/(LN(2)/25)*Calculateur!BL124*Calculateur!BN124*VLOOKUP('Données projet'!$B$11,Paramètres!$A$1:$I$89,3,0)*0.475*44/12</f>
        <v>1.4689651214303876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13.696856774596352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282.49424588214288</v>
      </c>
      <c r="S125" s="62">
        <f ca="1">AVERAGE(OFFSET($R$3,0,0,'Données projet'!$E$9+1,1))-AVERAGE(OFFSET($H$3,0,0,'Données projet'!$E$9+1,1))</f>
        <v>212.90262675152454</v>
      </c>
      <c r="T125" s="62">
        <f t="shared" si="88"/>
        <v>366.51899340890498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81.048073180639847</v>
      </c>
      <c r="AO125" s="62">
        <f t="shared" si="90"/>
        <v>418.93026662539467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11.661822915662251</v>
      </c>
      <c r="AV125" s="23">
        <f>EXP(-LN(2)/25)*AV124+(1-EXP(-LN(2)/25))/(LN(2)/25)*Calculateur!AQ125*Calculateur!AS125*VLOOKUP('Données projet'!$B$10,Paramètres!$A$1:$I$89,3,0)*0.475*44/12</f>
        <v>1.3899078309746384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13.051730746636888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82.73499565245794</v>
      </c>
      <c r="BJ125" s="62">
        <f t="shared" si="92"/>
        <v>429.59688548095812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11.988110156124844</v>
      </c>
      <c r="BQ125" s="23">
        <f>EXP(-LN(2)/25)*BQ124+(1-EXP(-LN(2)/25))/(LN(2)/25)*Calculateur!BL125*Calculateur!BN125*VLOOKUP('Données projet'!$B$11,Paramètres!$A$1:$I$89,3,0)*0.475*44/12</f>
        <v>1.4287961929353552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13.416906349060199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282.68227981685175</v>
      </c>
      <c r="S126" s="62">
        <f ca="1">AVERAGE(OFFSET($R$3,0,0,'Données projet'!$E$9+1,1))-AVERAGE(OFFSET($H$3,0,0,'Données projet'!$E$9+1,1))</f>
        <v>212.90262675152454</v>
      </c>
      <c r="T126" s="62">
        <f t="shared" si="88"/>
        <v>366.51899340890498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81.048073180639847</v>
      </c>
      <c r="AO126" s="62">
        <f t="shared" si="90"/>
        <v>418.93026662539467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11.433141681295741</v>
      </c>
      <c r="AV126" s="23">
        <f>EXP(-LN(2)/25)*AV125+(1-EXP(-LN(2)/25))/(LN(2)/25)*Calculateur!AQ126*Calculateur!AS126*VLOOKUP('Données projet'!$B$10,Paramètres!$A$1:$I$89,3,0)*0.475*44/12</f>
        <v>1.3519007282445608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12.785042409540301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82.73499565245794</v>
      </c>
      <c r="BJ126" s="62">
        <f t="shared" si="92"/>
        <v>429.59688548095812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11.753030627988428</v>
      </c>
      <c r="BQ126" s="23">
        <f>EXP(-LN(2)/25)*BQ125+(1-EXP(-LN(2)/25))/(LN(2)/25)*Calculateur!BL126*Calculateur!BN126*VLOOKUP('Données projet'!$B$11,Paramètres!$A$1:$I$89,3,0)*0.475*44/12</f>
        <v>1.3897256859024116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13.142756313890839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282.86705178317442</v>
      </c>
      <c r="S127" s="62">
        <f ca="1">AVERAGE(OFFSET($R$3,0,0,'Données projet'!$E$9+1,1))-AVERAGE(OFFSET($H$3,0,0,'Données projet'!$E$9+1,1))</f>
        <v>212.90262675152454</v>
      </c>
      <c r="T127" s="62">
        <f t="shared" si="88"/>
        <v>366.51899340890498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81.048073180639847</v>
      </c>
      <c r="AO127" s="62">
        <f t="shared" si="90"/>
        <v>418.93026662539467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11.208944746453378</v>
      </c>
      <c r="AV127" s="23">
        <f>EXP(-LN(2)/25)*AV126+(1-EXP(-LN(2)/25))/(LN(2)/25)*Calculateur!AQ127*Calculateur!AS127*VLOOKUP('Données projet'!$B$10,Paramètres!$A$1:$I$89,3,0)*0.475*44/12</f>
        <v>1.3149329317373437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12.523877678190722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82.73499565245794</v>
      </c>
      <c r="BJ127" s="62">
        <f t="shared" si="92"/>
        <v>429.59688548095812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11.522560866014414</v>
      </c>
      <c r="BQ127" s="23">
        <f>EXP(-LN(2)/25)*BQ126+(1-EXP(-LN(2)/25))/(LN(2)/25)*Calculateur!BL127*Calculateur!BN127*VLOOKUP('Données projet'!$B$11,Paramètres!$A$1:$I$89,3,0)*0.475*44/12</f>
        <v>1.3517235639389127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12.874284429953327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283.04861836896958</v>
      </c>
      <c r="S128" s="62">
        <f ca="1">AVERAGE(OFFSET($R$3,0,0,'Données projet'!$E$9+1,1))-AVERAGE(OFFSET($H$3,0,0,'Données projet'!$E$9+1,1))</f>
        <v>212.90262675152454</v>
      </c>
      <c r="T128" s="62">
        <f t="shared" si="88"/>
        <v>366.51899340890498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81.048073180639847</v>
      </c>
      <c r="AO128" s="62">
        <f t="shared" si="90"/>
        <v>418.93026662539467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10.989144176756646</v>
      </c>
      <c r="AV128" s="23">
        <f>EXP(-LN(2)/25)*AV127+(1-EXP(-LN(2)/25))/(LN(2)/25)*Calculateur!AQ128*Calculateur!AS128*VLOOKUP('Données projet'!$B$10,Paramètres!$A$1:$I$89,3,0)*0.475*44/12</f>
        <v>1.2789760215696684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12.268120198326315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82.73499565245794</v>
      </c>
      <c r="BJ128" s="62">
        <f t="shared" si="92"/>
        <v>429.59688548095812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11.296610475500035</v>
      </c>
      <c r="BQ128" s="23">
        <f>EXP(-LN(2)/25)*BQ127+(1-EXP(-LN(2)/25))/(LN(2)/25)*Calculateur!BL128*Calculateur!BN128*VLOOKUP('Données projet'!$B$11,Paramètres!$A$1:$I$89,3,0)*0.475*44/12</f>
        <v>1.3147606119989503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12.611371087498986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283.22703518042329</v>
      </c>
      <c r="S129" s="62">
        <f ca="1">AVERAGE(OFFSET($R$3,0,0,'Données projet'!$E$9+1,1))-AVERAGE(OFFSET($H$3,0,0,'Données projet'!$E$9+1,1))</f>
        <v>212.90262675152454</v>
      </c>
      <c r="T129" s="62">
        <f t="shared" si="88"/>
        <v>366.51899340890498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81.048073180639847</v>
      </c>
      <c r="AO129" s="62">
        <f t="shared" si="90"/>
        <v>418.93026662539467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10.773653762166559</v>
      </c>
      <c r="AV129" s="23">
        <f>EXP(-LN(2)/25)*AV128+(1-EXP(-LN(2)/25))/(LN(2)/25)*Calculateur!AQ129*Calculateur!AS129*VLOOKUP('Données projet'!$B$10,Paramètres!$A$1:$I$89,3,0)*0.475*44/12</f>
        <v>1.2440023550014199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12.017656117167979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82.73499565245794</v>
      </c>
      <c r="BJ129" s="62">
        <f t="shared" si="92"/>
        <v>429.59688548095812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11.075090834327513</v>
      </c>
      <c r="BQ129" s="23">
        <f>EXP(-LN(2)/25)*BQ128+(1-EXP(-LN(2)/25))/(LN(2)/25)*Calculateur!BL129*Calculateur!BN129*VLOOKUP('Données projet'!$B$11,Paramètres!$A$1:$I$89,3,0)*0.475*44/12</f>
        <v>1.2788084139235834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12.353899248251096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283.40235685907851</v>
      </c>
      <c r="S130" s="62">
        <f ca="1">AVERAGE(OFFSET($R$3,0,0,'Données projet'!$E$9+1,1))-AVERAGE(OFFSET($H$3,0,0,'Données projet'!$E$9+1,1))</f>
        <v>212.90262675152454</v>
      </c>
      <c r="T130" s="62">
        <f t="shared" si="88"/>
        <v>366.51899340890498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81.048073180639847</v>
      </c>
      <c r="AO130" s="62">
        <f t="shared" si="90"/>
        <v>418.93026662539467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10.562388983170408</v>
      </c>
      <c r="AV130" s="23">
        <f>EXP(-LN(2)/25)*AV129+(1-EXP(-LN(2)/25))/(LN(2)/25)*Calculateur!AQ130*Calculateur!AS130*VLOOKUP('Données projet'!$B$10,Paramètres!$A$1:$I$89,3,0)*0.475*44/12</f>
        <v>1.2099850451846654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11.772374028355074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82.73499565245794</v>
      </c>
      <c r="BJ130" s="62">
        <f t="shared" si="92"/>
        <v>429.59688548095812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10.857915058204744</v>
      </c>
      <c r="BQ130" s="23">
        <f>EXP(-LN(2)/25)*BQ129+(1-EXP(-LN(2)/25))/(LN(2)/25)*Calculateur!BL130*Calculateur!BN130*VLOOKUP('Données projet'!$B$11,Paramètres!$A$1:$I$89,3,0)*0.475*44/12</f>
        <v>1.2438393305952313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12.101754388799975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283.57463709856961</v>
      </c>
      <c r="S131" s="62">
        <f ca="1">AVERAGE(OFFSET($R$3,0,0,'Données projet'!$E$9+1,1))-AVERAGE(OFFSET($H$3,0,0,'Données projet'!$E$9+1,1))</f>
        <v>212.90262675152454</v>
      </c>
      <c r="T131" s="62">
        <f t="shared" si="88"/>
        <v>366.51899340890498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81.048073180639847</v>
      </c>
      <c r="AO131" s="62">
        <f t="shared" si="90"/>
        <v>418.93026662539467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10.35526697763158</v>
      </c>
      <c r="AV131" s="23">
        <f>EXP(-LN(2)/25)*AV130+(1-EXP(-LN(2)/25))/(LN(2)/25)*Calculateur!AQ131*Calculateur!AS131*VLOOKUP('Données projet'!$B$10,Paramètres!$A$1:$I$89,3,0)*0.475*44/12</f>
        <v>1.1768979404937427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11.532164918125321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82.73499565245794</v>
      </c>
      <c r="BJ131" s="62">
        <f t="shared" si="92"/>
        <v>429.59688548095812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10.644997966587599</v>
      </c>
      <c r="BQ131" s="23">
        <f>EXP(-LN(2)/25)*BQ130+(1-EXP(-LN(2)/25))/(LN(2)/25)*Calculateur!BL131*Calculateur!BN131*VLOOKUP('Données projet'!$B$11,Paramètres!$A$1:$I$89,3,0)*0.475*44/12</f>
        <v>1.2098264786894373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11.854824445277037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283.74392866106643</v>
      </c>
      <c r="S132" s="62">
        <f ca="1">AVERAGE(OFFSET($R$3,0,0,'Données projet'!$E$9+1,1))-AVERAGE(OFFSET($H$3,0,0,'Données projet'!$E$9+1,1))</f>
        <v>212.90262675152454</v>
      </c>
      <c r="T132" s="62">
        <f t="shared" si="88"/>
        <v>366.51899340890498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81.048073180639847</v>
      </c>
      <c r="AO132" s="62">
        <f t="shared" si="90"/>
        <v>418.93026662539467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10.152206508289419</v>
      </c>
      <c r="AV132" s="23">
        <f>EXP(-LN(2)/25)*AV131+(1-EXP(-LN(2)/25))/(LN(2)/25)*Calculateur!AQ132*Calculateur!AS132*VLOOKUP('Données projet'!$B$10,Paramètres!$A$1:$I$89,3,0)*0.475*44/12</f>
        <v>1.1447156044205684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11.296922112709987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82.73499565245794</v>
      </c>
      <c r="BJ132" s="62">
        <f t="shared" si="92"/>
        <v>429.59688548095812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10.436256049270465</v>
      </c>
      <c r="BQ132" s="23">
        <f>EXP(-LN(2)/25)*BQ131+(1-EXP(-LN(2)/25))/(LN(2)/25)*Calculateur!BL132*Calculateur!BN132*VLOOKUP('Données projet'!$B$11,Paramètres!$A$1:$I$89,3,0)*0.475*44/12</f>
        <v>1.1767437100076652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11.61299975927813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283.91028339343319</v>
      </c>
      <c r="S133" s="62">
        <f ca="1">AVERAGE(OFFSET($R$3,0,0,'Données projet'!$E$9+1,1))-AVERAGE(OFFSET($H$3,0,0,'Données projet'!$E$9+1,1))</f>
        <v>212.90262675152454</v>
      </c>
      <c r="T133" s="62">
        <f t="shared" ref="T133:T196" si="142">$T$3</f>
        <v>366.51899340890498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81.048073180639847</v>
      </c>
      <c r="AO133" s="62">
        <f t="shared" ref="AO133:AO196" si="144">$AO$3</f>
        <v>418.93026662539467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9.953127930896402</v>
      </c>
      <c r="AV133" s="23">
        <f>EXP(-LN(2)/25)*AV132+(1-EXP(-LN(2)/25))/(LN(2)/25)*Calculateur!AQ133*Calculateur!AS133*VLOOKUP('Données projet'!$B$10,Paramètres!$A$1:$I$89,3,0)*0.475*44/12</f>
        <v>1.1134132960197105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11.066541226916112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82.73499565245794</v>
      </c>
      <c r="BJ133" s="62">
        <f t="shared" ref="BJ133:BJ196" si="146">$BJ$3</f>
        <v>429.59688548095812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10.231607433631922</v>
      </c>
      <c r="BQ133" s="23">
        <f>EXP(-LN(2)/25)*BQ132+(1-EXP(-LN(2)/25))/(LN(2)/25)*Calculateur!BL133*Calculateur!BN133*VLOOKUP('Données projet'!$B$11,Paramètres!$A$1:$I$89,3,0)*0.475*44/12</f>
        <v>1.1445655913752433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11.376173025007166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284.07375224310681</v>
      </c>
      <c r="S134" s="62">
        <f ca="1">AVERAGE(OFFSET($R$3,0,0,'Données projet'!$E$9+1,1))-AVERAGE(OFFSET($H$3,0,0,'Données projet'!$E$9+1,1))</f>
        <v>212.90262675152454</v>
      </c>
      <c r="T134" s="62">
        <f t="shared" si="142"/>
        <v>366.51899340890498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81.048073180639847</v>
      </c>
      <c r="AO134" s="62">
        <f t="shared" si="144"/>
        <v>418.93026662539467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9.7579531629801188</v>
      </c>
      <c r="AV134" s="23">
        <f>EXP(-LN(2)/25)*AV133+(1-EXP(-LN(2)/25))/(LN(2)/25)*Calculateur!AQ134*Calculateur!AS134*VLOOKUP('Données projet'!$B$10,Paramètres!$A$1:$I$89,3,0)*0.475*44/12</f>
        <v>1.0829669508881909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10.840920113868309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82.73499565245794</v>
      </c>
      <c r="BJ134" s="62">
        <f t="shared" si="146"/>
        <v>429.59688548095812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10.03097185252272</v>
      </c>
      <c r="BQ134" s="23">
        <f>EXP(-LN(2)/25)*BQ133+(1-EXP(-LN(2)/25))/(LN(2)/25)*Calculateur!BL134*Calculateur!BN134*VLOOKUP('Données projet'!$B$11,Paramètres!$A$1:$I$89,3,0)*0.475*44/12</f>
        <v>1.1132673850889987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11.144239237611719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284.23438527370024</v>
      </c>
      <c r="S135" s="62">
        <f ca="1">AVERAGE(OFFSET($R$3,0,0,'Données projet'!$E$9+1,1))-AVERAGE(OFFSET($H$3,0,0,'Données projet'!$E$9+1,1))</f>
        <v>212.90262675152454</v>
      </c>
      <c r="T135" s="62">
        <f t="shared" si="142"/>
        <v>366.51899340890498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81.048073180639847</v>
      </c>
      <c r="AO135" s="62">
        <f t="shared" si="144"/>
        <v>418.93026662539467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9.5666056532178203</v>
      </c>
      <c r="AV135" s="23">
        <f>EXP(-LN(2)/25)*AV134+(1-EXP(-LN(2)/25))/(LN(2)/25)*Calculateur!AQ135*Calculateur!AS135*VLOOKUP('Données projet'!$B$10,Paramètres!$A$1:$I$89,3,0)*0.475*44/12</f>
        <v>1.0533531626653965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10.619958815883217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82.73499565245794</v>
      </c>
      <c r="BJ135" s="62">
        <f t="shared" si="146"/>
        <v>429.59688548095812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9.8342706127834489</v>
      </c>
      <c r="BQ135" s="23">
        <f>EXP(-LN(2)/25)*BQ134+(1-EXP(-LN(2)/25))/(LN(2)/25)*Calculateur!BL135*Calculateur!BN135*VLOOKUP('Données projet'!$B$11,Paramètres!$A$1:$I$89,3,0)*0.475*44/12</f>
        <v>1.0828250298995528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10.917095642683002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284.39223168033448</v>
      </c>
      <c r="S136" s="62">
        <f ca="1">AVERAGE(OFFSET($R$3,0,0,'Données projet'!$E$9+1,1))-AVERAGE(OFFSET($H$3,0,0,'Données projet'!$E$9+1,1))</f>
        <v>212.90262675152454</v>
      </c>
      <c r="T136" s="62">
        <f t="shared" si="142"/>
        <v>366.51899340890498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81.048073180639847</v>
      </c>
      <c r="AO136" s="62">
        <f t="shared" si="144"/>
        <v>418.93026662539467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9.3790103514115035</v>
      </c>
      <c r="AV136" s="23">
        <f>EXP(-LN(2)/25)*AV135+(1-EXP(-LN(2)/25))/(LN(2)/25)*Calculateur!AQ136*Calculateur!AS136*VLOOKUP('Données projet'!$B$10,Paramètres!$A$1:$I$89,3,0)*0.475*44/12</f>
        <v>1.0245491650388758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10.403559516450379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82.73499565245794</v>
      </c>
      <c r="BJ136" s="62">
        <f t="shared" si="146"/>
        <v>429.59688548095812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9.6414265643795556</v>
      </c>
      <c r="BQ136" s="23">
        <f>EXP(-LN(2)/25)*BQ135+(1-EXP(-LN(2)/25))/(LN(2)/25)*Calculateur!BL136*Calculateur!BN136*VLOOKUP('Données projet'!$B$11,Paramètres!$A$1:$I$89,3,0)*0.475*44/12</f>
        <v>1.0532151225136559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10.694641686893211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284.54733980470536</v>
      </c>
      <c r="S137" s="62">
        <f ca="1">AVERAGE(OFFSET($R$3,0,0,'Données projet'!$E$9+1,1))-AVERAGE(OFFSET($H$3,0,0,'Données projet'!$E$9+1,1))</f>
        <v>212.90262675152454</v>
      </c>
      <c r="T137" s="62">
        <f t="shared" si="142"/>
        <v>366.51899340890498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81.048073180639847</v>
      </c>
      <c r="AO137" s="62">
        <f t="shared" si="144"/>
        <v>418.93026662539467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9.195093679051773</v>
      </c>
      <c r="AV137" s="23">
        <f>EXP(-LN(2)/25)*AV136+(1-EXP(-LN(2)/25))/(LN(2)/25)*Calculateur!AQ137*Calculateur!AS137*VLOOKUP('Données projet'!$B$10,Paramètres!$A$1:$I$89,3,0)*0.475*44/12</f>
        <v>0.99653281424218887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10.191626493293962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82.73499565245794</v>
      </c>
      <c r="BJ137" s="62">
        <f t="shared" si="146"/>
        <v>429.59688548095812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9.4523640701416074</v>
      </c>
      <c r="BQ137" s="23">
        <f>EXP(-LN(2)/25)*BQ136+(1-EXP(-LN(2)/25))/(LN(2)/25)*Calculateur!BL137*Calculateur!BN137*VLOOKUP('Données projet'!$B$11,Paramètres!$A$1:$I$89,3,0)*0.475*44/12</f>
        <v>1.0244148996023439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10.47677896974395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284.69975714988823</v>
      </c>
      <c r="S138" s="62">
        <f ca="1">AVERAGE(OFFSET($R$3,0,0,'Données projet'!$E$9+1,1))-AVERAGE(OFFSET($H$3,0,0,'Données projet'!$E$9+1,1))</f>
        <v>212.90262675152454</v>
      </c>
      <c r="T138" s="62">
        <f t="shared" si="142"/>
        <v>366.51899340890498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81.048073180639847</v>
      </c>
      <c r="AO138" s="62">
        <f t="shared" si="144"/>
        <v>418.93026662539467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9.0147835004589236</v>
      </c>
      <c r="AV138" s="23">
        <f>EXP(-LN(2)/25)*AV137+(1-EXP(-LN(2)/25))/(LN(2)/25)*Calculateur!AQ138*Calculateur!AS138*VLOOKUP('Données projet'!$B$10,Paramètres!$A$1:$I$89,3,0)*0.475*44/12</f>
        <v>0.96928257203135315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9.9840660724902772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82.73499565245794</v>
      </c>
      <c r="BJ138" s="62">
        <f t="shared" si="146"/>
        <v>429.59688548095812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9.2670089760989303</v>
      </c>
      <c r="BQ138" s="23">
        <f>EXP(-LN(2)/25)*BQ137+(1-EXP(-LN(2)/25))/(LN(2)/25)*Calculateur!BL138*Calculateur!BN138*VLOOKUP('Données projet'!$B$11,Paramètres!$A$1:$I$89,3,0)*0.475*44/12</f>
        <v>0.9964022203010795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10.263411196400011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284.8495303948863</v>
      </c>
      <c r="S139" s="62">
        <f ca="1">AVERAGE(OFFSET($R$3,0,0,'Données projet'!$E$9+1,1))-AVERAGE(OFFSET($H$3,0,0,'Données projet'!$E$9+1,1))</f>
        <v>212.90262675152454</v>
      </c>
      <c r="T139" s="62">
        <f t="shared" si="142"/>
        <v>366.51899340890498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81.048073180639847</v>
      </c>
      <c r="AO139" s="62">
        <f t="shared" si="144"/>
        <v>418.93026662539467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8.8380090944899301</v>
      </c>
      <c r="AV139" s="23">
        <f>EXP(-LN(2)/25)*AV138+(1-EXP(-LN(2)/25))/(LN(2)/25)*Calculateur!AQ139*Calculateur!AS139*VLOOKUP('Données projet'!$B$10,Paramètres!$A$1:$I$89,3,0)*0.475*44/12</f>
        <v>0.94277748912680071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9.7807865836167309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82.73499565245794</v>
      </c>
      <c r="BJ139" s="62">
        <f t="shared" si="146"/>
        <v>429.59688548095812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9.0852885823949858</v>
      </c>
      <c r="BQ139" s="23">
        <f>EXP(-LN(2)/25)*BQ138+(1-EXP(-LN(2)/25))/(LN(2)/25)*Calculateur!BL139*Calculateur!BN139*VLOOKUP('Données projet'!$B$11,Paramètres!$A$1:$I$89,3,0)*0.475*44/12</f>
        <v>0.96915554918843105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10.054444131583416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284.99670540892646</v>
      </c>
      <c r="S140" s="62">
        <f ca="1">AVERAGE(OFFSET($R$3,0,0,'Données projet'!$E$9+1,1))-AVERAGE(OFFSET($H$3,0,0,'Données projet'!$E$9+1,1))</f>
        <v>212.90262675152454</v>
      </c>
      <c r="T140" s="62">
        <f t="shared" si="142"/>
        <v>366.51899340890498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81.048073180639847</v>
      </c>
      <c r="AO140" s="62">
        <f t="shared" si="144"/>
        <v>418.93026662539467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8.6647011268002476</v>
      </c>
      <c r="AV140" s="23">
        <f>EXP(-LN(2)/25)*AV139+(1-EXP(-LN(2)/25))/(LN(2)/25)*Calculateur!AQ140*Calculateur!AS140*VLOOKUP('Données projet'!$B$10,Paramètres!$A$1:$I$89,3,0)*0.475*44/12</f>
        <v>0.9169971891081149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9.581698315908362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82.73499565245794</v>
      </c>
      <c r="BJ140" s="62">
        <f t="shared" si="146"/>
        <v>429.59688548095812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8.9071316147730801</v>
      </c>
      <c r="BQ140" s="23">
        <f>EXP(-LN(2)/25)*BQ139+(1-EXP(-LN(2)/25))/(LN(2)/25)*Calculateur!BL140*Calculateur!BN140*VLOOKUP('Données projet'!$B$11,Paramètres!$A$1:$I$89,3,0)*0.475*44/12</f>
        <v>0.94265393973019806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9.8497855545032778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285.14132726550702</v>
      </c>
      <c r="S141" s="62">
        <f ca="1">AVERAGE(OFFSET($R$3,0,0,'Données projet'!$E$9+1,1))-AVERAGE(OFFSET($H$3,0,0,'Données projet'!$E$9+1,1))</f>
        <v>212.90262675152454</v>
      </c>
      <c r="T141" s="62">
        <f t="shared" si="142"/>
        <v>366.51899340890498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81.048073180639847</v>
      </c>
      <c r="AO141" s="62">
        <f t="shared" si="144"/>
        <v>418.93026662539467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8.4947916226495366</v>
      </c>
      <c r="AV141" s="23">
        <f>EXP(-LN(2)/25)*AV140+(1-EXP(-LN(2)/25))/(LN(2)/25)*Calculateur!AQ141*Calculateur!AS141*VLOOKUP('Données projet'!$B$10,Paramètres!$A$1:$I$89,3,0)*0.475*44/12</f>
        <v>0.89192185274916713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9.3867134753987038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82.73499565245794</v>
      </c>
      <c r="BJ141" s="62">
        <f t="shared" si="146"/>
        <v>429.59688548095812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8.7324681966212196</v>
      </c>
      <c r="BQ141" s="23">
        <f>EXP(-LN(2)/25)*BQ140+(1-EXP(-LN(2)/25))/(LN(2)/25)*Calculateur!BL141*Calculateur!BN141*VLOOKUP('Données projet'!$B$11,Paramètres!$A$1:$I$89,3,0)*0.475*44/12</f>
        <v>0.91687701817625955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9.6493452147974796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285.28344025620197</v>
      </c>
      <c r="S142" s="62">
        <f ca="1">AVERAGE(OFFSET($R$3,0,0,'Données projet'!$E$9+1,1))-AVERAGE(OFFSET($H$3,0,0,'Données projet'!$E$9+1,1))</f>
        <v>212.90262675152454</v>
      </c>
      <c r="T142" s="62">
        <f t="shared" si="142"/>
        <v>366.51899340890498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81.048073180639847</v>
      </c>
      <c r="AO142" s="62">
        <f t="shared" si="144"/>
        <v>418.93026662539467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8.3282139402406568</v>
      </c>
      <c r="AV142" s="23">
        <f>EXP(-LN(2)/25)*AV141+(1-EXP(-LN(2)/25))/(LN(2)/25)*Calculateur!AQ142*Calculateur!AS142*VLOOKUP('Données projet'!$B$10,Paramètres!$A$1:$I$89,3,0)*0.475*44/12</f>
        <v>0.86753220278160947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9.1957461430222658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82.73499565245794</v>
      </c>
      <c r="BJ142" s="62">
        <f t="shared" si="146"/>
        <v>429.59688548095812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8.561229821565151</v>
      </c>
      <c r="BQ142" s="23">
        <f>EXP(-LN(2)/25)*BQ141+(1-EXP(-LN(2)/25))/(LN(2)/25)*Calculateur!BL142*Calculateur!BN142*VLOOKUP('Données projet'!$B$11,Paramètres!$A$1:$I$89,3,0)*0.475*44/12</f>
        <v>0.89180496789776287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9.4530347894629134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285.42308790422544</v>
      </c>
      <c r="S143" s="62">
        <f ca="1">AVERAGE(OFFSET($R$3,0,0,'Données projet'!$E$9+1,1))-AVERAGE(OFFSET($H$3,0,0,'Données projet'!$E$9+1,1))</f>
        <v>212.90262675152454</v>
      </c>
      <c r="T143" s="62">
        <f t="shared" si="142"/>
        <v>366.51899340890498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81.048073180639847</v>
      </c>
      <c r="AO143" s="62">
        <f t="shared" si="144"/>
        <v>418.93026662539467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8.164902744581461</v>
      </c>
      <c r="AV143" s="23">
        <f>EXP(-LN(2)/25)*AV142+(1-EXP(-LN(2)/25))/(LN(2)/25)*Calculateur!AQ143*Calculateur!AS143*VLOOKUP('Données projet'!$B$10,Paramètres!$A$1:$I$89,3,0)*0.475*44/12</f>
        <v>0.84380948907501063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9.0087122336564711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82.73499565245794</v>
      </c>
      <c r="BJ143" s="62">
        <f t="shared" si="146"/>
        <v>429.59688548095812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8.3933493265988357</v>
      </c>
      <c r="BQ143" s="23">
        <f>EXP(-LN(2)/25)*BQ142+(1-EXP(-LN(2)/25))/(LN(2)/25)*Calculateur!BL143*Calculateur!BN143*VLOOKUP('Données projet'!$B$11,Paramètres!$A$1:$I$89,3,0)*0.475*44/12</f>
        <v>0.86741851415261351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9.2607678407514484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285.5603129777611</v>
      </c>
      <c r="S144" s="62">
        <f ca="1">AVERAGE(OFFSET($R$3,0,0,'Données projet'!$E$9+1,1))-AVERAGE(OFFSET($H$3,0,0,'Données projet'!$E$9+1,1))</f>
        <v>212.90262675152454</v>
      </c>
      <c r="T144" s="62">
        <f t="shared" si="142"/>
        <v>366.51899340890498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81.048073180639847</v>
      </c>
      <c r="AO144" s="62">
        <f t="shared" si="144"/>
        <v>418.93026662539467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8.004793981859148</v>
      </c>
      <c r="AV144" s="23">
        <f>EXP(-LN(2)/25)*AV143+(1-EXP(-LN(2)/25))/(LN(2)/25)*Calculateur!AQ144*Calculateur!AS144*VLOOKUP('Données projet'!$B$10,Paramètres!$A$1:$I$89,3,0)*0.475*44/12</f>
        <v>0.82073547422224202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8.8255294560813908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82.73499565245794</v>
      </c>
      <c r="BJ144" s="62">
        <f t="shared" si="146"/>
        <v>429.59688548095812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8.228760865741819</v>
      </c>
      <c r="BQ144" s="23">
        <f>EXP(-LN(2)/25)*BQ143+(1-EXP(-LN(2)/25))/(LN(2)/25)*Calculateur!BL144*Calculateur!BN144*VLOOKUP('Données projet'!$B$11,Paramètres!$A$1:$I$89,3,0)*0.475*44/12</f>
        <v>0.84369890926755309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9.0724597750093725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285.69515750306016</v>
      </c>
      <c r="S145" s="62">
        <f ca="1">AVERAGE(OFFSET($R$3,0,0,'Données projet'!$E$9+1,1))-AVERAGE(OFFSET($H$3,0,0,'Données projet'!$E$9+1,1))</f>
        <v>212.90262675152454</v>
      </c>
      <c r="T145" s="62">
        <f t="shared" si="142"/>
        <v>366.51899340890498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81.048073180639847</v>
      </c>
      <c r="AO145" s="62">
        <f t="shared" si="144"/>
        <v>418.93026662539467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7.8478248543171176</v>
      </c>
      <c r="AV145" s="23">
        <f>EXP(-LN(2)/25)*AV144+(1-EXP(-LN(2)/25))/(LN(2)/25)*Calculateur!AQ145*Calculateur!AS145*VLOOKUP('Données projet'!$B$10,Paramètres!$A$1:$I$89,3,0)*0.475*44/12</f>
        <v>0.79829241951903207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8.6461172738361505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82.73499565245794</v>
      </c>
      <c r="BJ145" s="62">
        <f t="shared" si="146"/>
        <v>429.59688548095812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8.0673998842131596</v>
      </c>
      <c r="BQ145" s="23">
        <f>EXP(-LN(2)/25)*BQ144+(1-EXP(-LN(2)/25))/(LN(2)/25)*Calculateur!BL145*Calculateur!BN145*VLOOKUP('Données projet'!$B$11,Paramètres!$A$1:$I$89,3,0)*0.475*44/12</f>
        <v>0.82062791822543446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8.8880278024385948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285.82766277731253</v>
      </c>
      <c r="S146" s="62">
        <f ca="1">AVERAGE(OFFSET($R$3,0,0,'Données projet'!$E$9+1,1))-AVERAGE(OFFSET($H$3,0,0,'Données projet'!$E$9+1,1))</f>
        <v>212.90262675152454</v>
      </c>
      <c r="T146" s="62">
        <f t="shared" si="142"/>
        <v>366.51899340890498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81.048073180639847</v>
      </c>
      <c r="AO146" s="62">
        <f t="shared" si="144"/>
        <v>418.93026662539467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7.6939337956244724</v>
      </c>
      <c r="AV146" s="23">
        <f>EXP(-LN(2)/25)*AV145+(1-EXP(-LN(2)/25))/(LN(2)/25)*Calculateur!AQ146*Calculateur!AS146*VLOOKUP('Données projet'!$B$10,Paramètres!$A$1:$I$89,3,0)*0.475*44/12</f>
        <v>0.77646307132691028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8.4703968669513827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82.73499565245794</v>
      </c>
      <c r="BJ146" s="62">
        <f t="shared" si="146"/>
        <v>429.59688548095812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7.9092030931117971</v>
      </c>
      <c r="BQ146" s="23">
        <f>EXP(-LN(2)/25)*BQ145+(1-EXP(-LN(2)/25))/(LN(2)/25)*Calculateur!BL146*Calculateur!BN146*VLOOKUP('Données projet'!$B$11,Paramètres!$A$1:$I$89,3,0)*0.475*44/12</f>
        <v>0.79818780464661332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8.70739089775841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285.95786938129396</v>
      </c>
      <c r="S147" s="62">
        <f ca="1">AVERAGE(OFFSET($R$3,0,0,'Données projet'!$E$9+1,1))-AVERAGE(OFFSET($H$3,0,0,'Données projet'!$E$9+1,1))</f>
        <v>212.90262675152454</v>
      </c>
      <c r="T147" s="62">
        <f t="shared" si="142"/>
        <v>366.51899340890498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81.048073180639847</v>
      </c>
      <c r="AO147" s="62">
        <f t="shared" si="144"/>
        <v>418.93026662539467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7.5430604467285125</v>
      </c>
      <c r="AV147" s="23">
        <f>EXP(-LN(2)/25)*AV146+(1-EXP(-LN(2)/25))/(LN(2)/25)*Calculateur!AQ147*Calculateur!AS147*VLOOKUP('Données projet'!$B$10,Paramètres!$A$1:$I$89,3,0)*0.475*44/12</f>
        <v>0.75523064780905758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8.2982910945375696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82.73499565245794</v>
      </c>
      <c r="BJ147" s="62">
        <f t="shared" si="146"/>
        <v>429.59688548095812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7.7541084445934176</v>
      </c>
      <c r="BQ147" s="23">
        <f>EXP(-LN(2)/25)*BQ146+(1-EXP(-LN(2)/25))/(LN(2)/25)*Calculateur!BL147*Calculateur!BN147*VLOOKUP('Données projet'!$B$11,Paramètres!$A$1:$I$89,3,0)*0.475*44/12</f>
        <v>0.77636131715367929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8.5304697617470975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286.08581719179466</v>
      </c>
      <c r="S148" s="62">
        <f ca="1">AVERAGE(OFFSET($R$3,0,0,'Données projet'!$E$9+1,1))-AVERAGE(OFFSET($H$3,0,0,'Données projet'!$E$9+1,1))</f>
        <v>212.90262675152454</v>
      </c>
      <c r="T148" s="62">
        <f t="shared" si="142"/>
        <v>366.51899340890498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81.048073180639847</v>
      </c>
      <c r="AO148" s="62">
        <f t="shared" si="144"/>
        <v>418.93026662539467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7.3951456321807463</v>
      </c>
      <c r="AV148" s="23">
        <f>EXP(-LN(2)/25)*AV147+(1-EXP(-LN(2)/25))/(LN(2)/25)*Calculateur!AQ148*Calculateur!AS148*VLOOKUP('Données projet'!$B$10,Paramètres!$A$1:$I$89,3,0)*0.475*44/12</f>
        <v>0.73457882602886526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8.129724458209612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82.73499565245794</v>
      </c>
      <c r="BJ148" s="62">
        <f t="shared" si="146"/>
        <v>429.59688548095812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7.6020551075340883</v>
      </c>
      <c r="BQ148" s="23">
        <f>EXP(-LN(2)/25)*BQ147+(1-EXP(-LN(2)/25))/(LN(2)/25)*Calculateur!BL148*Calculateur!BN148*VLOOKUP('Données projet'!$B$11,Paramètres!$A$1:$I$89,3,0)*0.475*44/12</f>
        <v>0.75513167610904464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8.3571867836431331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286.21154539383173</v>
      </c>
      <c r="S149" s="62">
        <f ca="1">AVERAGE(OFFSET($R$3,0,0,'Données projet'!$E$9+1,1))-AVERAGE(OFFSET($H$3,0,0,'Données projet'!$E$9+1,1))</f>
        <v>212.90262675152454</v>
      </c>
      <c r="T149" s="62">
        <f t="shared" si="142"/>
        <v>366.51899340890498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81.048073180639847</v>
      </c>
      <c r="AO149" s="62">
        <f t="shared" si="144"/>
        <v>418.93026662539467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7.250131336927133</v>
      </c>
      <c r="AV149" s="23">
        <f>EXP(-LN(2)/25)*AV148+(1-EXP(-LN(2)/25))/(LN(2)/25)*Calculateur!AQ149*Calculateur!AS149*VLOOKUP('Données projet'!$B$10,Paramètres!$A$1:$I$89,3,0)*0.475*44/12</f>
        <v>0.71449172940128436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7.964623066328417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82.73499565245794</v>
      </c>
      <c r="BJ149" s="62">
        <f t="shared" si="146"/>
        <v>429.59688548095812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7.4529834436711146</v>
      </c>
      <c r="BQ149" s="23">
        <f>EXP(-LN(2)/25)*BQ148+(1-EXP(-LN(2)/25))/(LN(2)/25)*Calculateur!BL149*Calculateur!BN149*VLOOKUP('Données projet'!$B$11,Paramètres!$A$1:$I$89,3,0)*0.475*44/12</f>
        <v>0.7344825607151938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8.1874660043863088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286.33509249264949</v>
      </c>
      <c r="S150" s="62">
        <f ca="1">AVERAGE(OFFSET($R$3,0,0,'Données projet'!$E$9+1,1))-AVERAGE(OFFSET($H$3,0,0,'Données projet'!$E$9+1,1))</f>
        <v>212.90262675152454</v>
      </c>
      <c r="T150" s="62">
        <f t="shared" si="142"/>
        <v>366.51899340890498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81.048073180639847</v>
      </c>
      <c r="AO150" s="62">
        <f t="shared" si="144"/>
        <v>418.93026662539467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7.1079606835534568</v>
      </c>
      <c r="AV150" s="23">
        <f>EXP(-LN(2)/25)*AV149+(1-EXP(-LN(2)/25))/(LN(2)/25)*Calculateur!AQ150*Calculateur!AS150*VLOOKUP('Données projet'!$B$10,Paramètres!$A$1:$I$89,3,0)*0.475*44/12</f>
        <v>0.69495391548731922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7.8029145990407756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82.73499565245794</v>
      </c>
      <c r="BJ150" s="62">
        <f t="shared" si="146"/>
        <v>429.59688548095812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7.3068349842117568</v>
      </c>
      <c r="BQ150" s="23">
        <f>EXP(-LN(2)/25)*BQ149+(1-EXP(-LN(2)/25))/(LN(2)/25)*Calculateur!BL150*Calculateur!BN150*VLOOKUP('Données projet'!$B$11,Paramètres!$A$1:$I$89,3,0)*0.475*44/12</f>
        <v>0.7143980964676776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8.0212330806794352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286.45649632551277</v>
      </c>
      <c r="S151" s="62">
        <f ca="1">AVERAGE(OFFSET($R$3,0,0,'Données projet'!$E$9+1,1))-AVERAGE(OFFSET($H$3,0,0,'Données projet'!$E$9+1,1))</f>
        <v>212.90262675152454</v>
      </c>
      <c r="T151" s="62">
        <f t="shared" si="142"/>
        <v>366.51899340890498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81.048073180639847</v>
      </c>
      <c r="AO151" s="62">
        <f t="shared" si="144"/>
        <v>418.93026662539467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6.9685779099769025</v>
      </c>
      <c r="AV151" s="23">
        <f>EXP(-LN(2)/25)*AV150+(1-EXP(-LN(2)/25))/(LN(2)/25)*Calculateur!AQ151*Calculateur!AS151*VLOOKUP('Données projet'!$B$10,Paramètres!$A$1:$I$89,3,0)*0.475*44/12</f>
        <v>0.67595036412228038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7.6445282740991827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82.73499565245794</v>
      </c>
      <c r="BJ151" s="62">
        <f t="shared" si="146"/>
        <v>429.59688548095812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7.1635524069006395</v>
      </c>
      <c r="BQ151" s="23">
        <f>EXP(-LN(2)/25)*BQ150+(1-EXP(-LN(2)/25))/(LN(2)/25)*Calculateur!BL151*Calculateur!BN151*VLOOKUP('Données projet'!$B$11,Paramètres!$A$1:$I$89,3,0)*0.475*44/12</f>
        <v>0.69486284295120582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7.8584152498518449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286.57579407329416</v>
      </c>
      <c r="S152" s="62">
        <f ca="1">AVERAGE(OFFSET($R$3,0,0,'Données projet'!$E$9+1,1))-AVERAGE(OFFSET($H$3,0,0,'Données projet'!$E$9+1,1))</f>
        <v>212.90262675152454</v>
      </c>
      <c r="T152" s="62">
        <f t="shared" si="142"/>
        <v>366.51899340890498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81.048073180639847</v>
      </c>
      <c r="AO152" s="62">
        <f t="shared" si="144"/>
        <v>418.93026662539467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6.8319283475750874</v>
      </c>
      <c r="AV152" s="23">
        <f>EXP(-LN(2)/25)*AV151+(1-EXP(-LN(2)/25))/(LN(2)/25)*Calculateur!AQ152*Calculateur!AS152*VLOOKUP('Données projet'!$B$10,Paramètres!$A$1:$I$89,3,0)*0.475*44/12</f>
        <v>0.65746646586867186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7.4893948134437593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82.73499565245794</v>
      </c>
      <c r="BJ152" s="62">
        <f t="shared" si="146"/>
        <v>429.59688548095812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7.0230795135368504</v>
      </c>
      <c r="BQ152" s="23">
        <f>EXP(-LN(2)/25)*BQ151+(1-EXP(-LN(2)/25))/(LN(2)/25)*Calculateur!BL152*Calculateur!BN152*VLOOKUP('Données projet'!$B$11,Paramètres!$A$1:$I$89,3,0)*0.475*44/12</f>
        <v>0.67586178196945634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7.698941295506307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286.69302227186142</v>
      </c>
      <c r="S153" s="62">
        <f ca="1">AVERAGE(OFFSET($R$3,0,0,'Données projet'!$E$9+1,1))-AVERAGE(OFFSET($H$3,0,0,'Données projet'!$E$9+1,1))</f>
        <v>212.90262675152454</v>
      </c>
      <c r="T153" s="62">
        <f t="shared" si="142"/>
        <v>366.51899340890498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81.048073180639847</v>
      </c>
      <c r="AO153" s="62">
        <f t="shared" si="144"/>
        <v>418.93026662539467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6.6979583997439684</v>
      </c>
      <c r="AV153" s="23">
        <f>EXP(-LN(2)/25)*AV152+(1-EXP(-LN(2)/25))/(LN(2)/25)*Calculateur!AQ153*Calculateur!AS153*VLOOKUP('Données projet'!$B$10,Paramètres!$A$1:$I$89,3,0)*0.475*44/12</f>
        <v>0.63948801078483419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7.3374464105288029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82.73499565245794</v>
      </c>
      <c r="BJ153" s="62">
        <f t="shared" si="146"/>
        <v>429.59688548095812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6.8853612079319202</v>
      </c>
      <c r="BQ153" s="23">
        <f>EXP(-LN(2)/25)*BQ152+(1-EXP(-LN(2)/25))/(LN(2)/25)*Calculateur!BL153*Calculateur!BN153*VLOOKUP('Données projet'!$B$11,Paramètres!$A$1:$I$89,3,0)*0.475*44/12</f>
        <v>0.65738030599947517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7.5427415139313956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286.80821682326643</v>
      </c>
      <c r="S154" s="62">
        <f ca="1">AVERAGE(OFFSET($R$3,0,0,'Données projet'!$E$9+1,1))-AVERAGE(OFFSET($H$3,0,0,'Données projet'!$E$9+1,1))</f>
        <v>212.90262675152454</v>
      </c>
      <c r="T154" s="62">
        <f t="shared" si="142"/>
        <v>366.51899340890498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81.048073180639847</v>
      </c>
      <c r="AO154" s="62">
        <f t="shared" si="144"/>
        <v>418.93026662539467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6.5666155208762182</v>
      </c>
      <c r="AV154" s="23">
        <f>EXP(-LN(2)/25)*AV153+(1-EXP(-LN(2)/25))/(LN(2)/25)*Calculateur!AQ154*Calculateur!AS154*VLOOKUP('Données projet'!$B$10,Paramètres!$A$1:$I$89,3,0)*0.475*44/12</f>
        <v>0.62200117750070993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7.1886166983769284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82.73499565245794</v>
      </c>
      <c r="BJ154" s="62">
        <f t="shared" si="146"/>
        <v>429.59688548095812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6.7503434743000303</v>
      </c>
      <c r="BQ154" s="23">
        <f>EXP(-LN(2)/25)*BQ153+(1-EXP(-LN(2)/25))/(LN(2)/25)*Calculateur!BL154*Calculateur!BN154*VLOOKUP('Données projet'!$B$11,Paramètres!$A$1:$I$89,3,0)*0.475*44/12</f>
        <v>0.63940420696179168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7.3897476812618219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286.92141300674098</v>
      </c>
      <c r="S155" s="62">
        <f ca="1">AVERAGE(OFFSET($R$3,0,0,'Données projet'!$E$9+1,1))-AVERAGE(OFFSET($H$3,0,0,'Données projet'!$E$9+1,1))</f>
        <v>212.90262675152454</v>
      </c>
      <c r="T155" s="62">
        <f t="shared" si="142"/>
        <v>366.51899340890498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81.048073180639847</v>
      </c>
      <c r="AO155" s="62">
        <f t="shared" si="144"/>
        <v>418.93026662539467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6.437848195751819</v>
      </c>
      <c r="AV155" s="23">
        <f>EXP(-LN(2)/25)*AV154+(1-EXP(-LN(2)/25))/(LN(2)/25)*Calculateur!AQ155*Calculateur!AS155*VLOOKUP('Données projet'!$B$10,Paramètres!$A$1:$I$89,3,0)*0.475*44/12</f>
        <v>0.60499252259233272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7.0428407183441522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82.73499565245794</v>
      </c>
      <c r="BJ155" s="62">
        <f t="shared" si="146"/>
        <v>429.59688548095812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6.6179733560719765</v>
      </c>
      <c r="BQ155" s="23">
        <f>EXP(-LN(2)/25)*BQ154+(1-EXP(-LN(2)/25))/(LN(2)/25)*Calculateur!BL155*Calculateur!BN155*VLOOKUP('Données projet'!$B$11,Paramètres!$A$1:$I$89,3,0)*0.475*44/12</f>
        <v>0.62191966529761566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7.2398930213695918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287.03264548950108</v>
      </c>
      <c r="S156" s="62">
        <f ca="1">AVERAGE(OFFSET($R$3,0,0,'Données projet'!$E$9+1,1))-AVERAGE(OFFSET($H$3,0,0,'Données projet'!$E$9+1,1))</f>
        <v>212.90262675152454</v>
      </c>
      <c r="T156" s="62">
        <f t="shared" si="142"/>
        <v>366.51899340890498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81.048073180639847</v>
      </c>
      <c r="AO156" s="62">
        <f t="shared" si="144"/>
        <v>418.93026662539467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6.3116059193327958</v>
      </c>
      <c r="AV156" s="23">
        <f>EXP(-LN(2)/25)*AV155+(1-EXP(-LN(2)/25))/(LN(2)/25)*Calculateur!AQ156*Calculateur!AS156*VLOOKUP('Données projet'!$B$10,Paramètres!$A$1:$I$89,3,0)*0.475*44/12</f>
        <v>0.58844897024687137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6.9000548895796676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82.73499565245794</v>
      </c>
      <c r="BJ156" s="62">
        <f t="shared" si="146"/>
        <v>429.59688548095812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6.4881989351245748</v>
      </c>
      <c r="BQ156" s="23">
        <f>EXP(-LN(2)/25)*BQ155+(1-EXP(-LN(2)/25))/(LN(2)/25)*Calculateur!BL156*Calculateur!BN156*VLOOKUP('Données projet'!$B$11,Paramètres!$A$1:$I$89,3,0)*0.475*44/12</f>
        <v>0.60491323934471863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7.0931121744692938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287.14194833736383</v>
      </c>
      <c r="S157" s="62">
        <f ca="1">AVERAGE(OFFSET($R$3,0,0,'Données projet'!$E$9+1,1))-AVERAGE(OFFSET($H$3,0,0,'Données projet'!$E$9+1,1))</f>
        <v>212.90262675152454</v>
      </c>
      <c r="T157" s="62">
        <f t="shared" si="142"/>
        <v>366.51899340890498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81.048073180639847</v>
      </c>
      <c r="AO157" s="62">
        <f t="shared" si="144"/>
        <v>418.93026662539467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6.1878391769541645</v>
      </c>
      <c r="AV157" s="23">
        <f>EXP(-LN(2)/25)*AV156+(1-EXP(-LN(2)/25))/(LN(2)/25)*Calculateur!AQ157*Calculateur!AS157*VLOOKUP('Données projet'!$B$10,Paramètres!$A$1:$I$89,3,0)*0.475*44/12</f>
        <v>0.57235780221028421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6.7601969791644487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82.73499565245794</v>
      </c>
      <c r="BJ157" s="62">
        <f t="shared" si="146"/>
        <v>429.59688548095812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6.3609693114173709</v>
      </c>
      <c r="BQ157" s="23">
        <f>EXP(-LN(2)/25)*BQ156+(1-EXP(-LN(2)/25))/(LN(2)/25)*Calculateur!BL157*Calculateur!BN157*VLOOKUP('Données projet'!$B$11,Paramètres!$A$1:$I$89,3,0)*0.475*44/12</f>
        <v>0.5883718550038326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6.9493411664212035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287.24935502518076</v>
      </c>
      <c r="S158" s="62">
        <f ca="1">AVERAGE(OFFSET($R$3,0,0,'Données projet'!$E$9+1,1))-AVERAGE(OFFSET($H$3,0,0,'Données projet'!$E$9+1,1))</f>
        <v>212.90262675152454</v>
      </c>
      <c r="T158" s="62">
        <f t="shared" si="142"/>
        <v>366.51899340890498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81.048073180639847</v>
      </c>
      <c r="AO158" s="62">
        <f t="shared" si="144"/>
        <v>418.93026662539467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6.0664994249033191</v>
      </c>
      <c r="AV158" s="23">
        <f>EXP(-LN(2)/25)*AV157+(1-EXP(-LN(2)/25))/(LN(2)/25)*Calculateur!AQ158*Calculateur!AS158*VLOOKUP('Données projet'!$B$10,Paramètres!$A$1:$I$89,3,0)*0.475*44/12</f>
        <v>0.55670664800985525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6.6232060729131739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82.73499565245794</v>
      </c>
      <c r="BJ158" s="62">
        <f t="shared" si="146"/>
        <v>429.59688548095812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6.236234583028657</v>
      </c>
      <c r="BQ158" s="23">
        <f>EXP(-LN(2)/25)*BQ157+(1-EXP(-LN(2)/25))/(LN(2)/25)*Calculateur!BL158*Calculateur!BN158*VLOOKUP('Données projet'!$B$11,Paramètres!$A$1:$I$89,3,0)*0.475*44/12</f>
        <v>0.57228279568762164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6.8085173787162789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287.3548984470894</v>
      </c>
      <c r="S159" s="62">
        <f ca="1">AVERAGE(OFFSET($R$3,0,0,'Données projet'!$E$9+1,1))-AVERAGE(OFFSET($H$3,0,0,'Données projet'!$E$9+1,1))</f>
        <v>212.90262675152454</v>
      </c>
      <c r="T159" s="62">
        <f t="shared" si="142"/>
        <v>366.51899340890498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81.048073180639847</v>
      </c>
      <c r="AO159" s="62">
        <f t="shared" si="144"/>
        <v>418.93026662539467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5.9475390713802501</v>
      </c>
      <c r="AV159" s="23">
        <f>EXP(-LN(2)/25)*AV158+(1-EXP(-LN(2)/25))/(LN(2)/25)*Calculateur!AQ159*Calculateur!AS159*VLOOKUP('Données projet'!$B$10,Paramètres!$A$1:$I$89,3,0)*0.475*44/12</f>
        <v>0.54148347544409547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6.4890225468243452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82.73499565245794</v>
      </c>
      <c r="BJ159" s="62">
        <f t="shared" si="146"/>
        <v>429.59688548095812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6.1139458265829738</v>
      </c>
      <c r="BQ159" s="23">
        <f>EXP(-LN(2)/25)*BQ158+(1-EXP(-LN(2)/25))/(LN(2)/25)*Calculateur!BL159*Calculateur!BN159*VLOOKUP('Données projet'!$B$11,Paramètres!$A$1:$I$89,3,0)*0.475*44/12</f>
        <v>0.55663369254449935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6.6705795191274735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287.45861092658765</v>
      </c>
      <c r="S160" s="62">
        <f ca="1">AVERAGE(OFFSET($R$3,0,0,'Données projet'!$E$9+1,1))-AVERAGE(OFFSET($H$3,0,0,'Données projet'!$E$9+1,1))</f>
        <v>212.90262675152454</v>
      </c>
      <c r="T160" s="62">
        <f t="shared" si="142"/>
        <v>366.51899340890498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81.048073180639847</v>
      </c>
      <c r="AO160" s="62">
        <f t="shared" si="144"/>
        <v>418.93026662539467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5.8309114578311174</v>
      </c>
      <c r="AV160" s="23">
        <f>EXP(-LN(2)/25)*AV159+(1-EXP(-LN(2)/25))/(LN(2)/25)*Calculateur!AQ160*Calculateur!AS160*VLOOKUP('Données projet'!$B$10,Paramètres!$A$1:$I$89,3,0)*0.475*44/12</f>
        <v>0.52667658133269823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6.357588039163816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82.73499565245794</v>
      </c>
      <c r="BJ160" s="62">
        <f t="shared" si="146"/>
        <v>429.59688548095812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5.9940550780624138</v>
      </c>
      <c r="BQ160" s="23">
        <f>EXP(-LN(2)/25)*BQ159+(1-EXP(-LN(2)/25))/(LN(2)/25)*Calculateur!BL160*Calculateur!BN160*VLOOKUP('Données projet'!$B$11,Paramètres!$A$1:$I$89,3,0)*0.475*44/12</f>
        <v>0.54141251494977638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6.5354675930121902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287.56052422643307</v>
      </c>
      <c r="S161" s="62">
        <f ca="1">AVERAGE(OFFSET($R$3,0,0,'Données projet'!$E$9+1,1))-AVERAGE(OFFSET($H$3,0,0,'Données projet'!$E$9+1,1))</f>
        <v>212.90262675152454</v>
      </c>
      <c r="T161" s="62">
        <f t="shared" si="142"/>
        <v>366.51899340890498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81.048073180639847</v>
      </c>
      <c r="AO161" s="62">
        <f t="shared" si="144"/>
        <v>418.93026662539467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5.7165708406478624</v>
      </c>
      <c r="AV161" s="23">
        <f>EXP(-LN(2)/25)*AV160+(1-EXP(-LN(2)/25))/(LN(2)/25)*Calculateur!AQ161*Calculateur!AS161*VLOOKUP('Données projet'!$B$10,Paramètres!$A$1:$I$89,3,0)*0.475*44/12</f>
        <v>0.51227458251943792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6.2288454231673001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82.73499565245794</v>
      </c>
      <c r="BJ161" s="62">
        <f t="shared" si="146"/>
        <v>429.59688548095812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5.8765153139942061</v>
      </c>
      <c r="BQ161" s="23">
        <f>EXP(-LN(2)/25)*BQ160+(1-EXP(-LN(2)/25))/(LN(2)/25)*Calculateur!BL161*Calculateur!BN161*VLOOKUP('Données projet'!$B$11,Paramètres!$A$1:$I$89,3,0)*0.475*44/12</f>
        <v>0.52660756125682795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6.4031228752510341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287.66066955837005</v>
      </c>
      <c r="S162" s="62">
        <f ca="1">AVERAGE(OFFSET($R$3,0,0,'Données projet'!$E$9+1,1))-AVERAGE(OFFSET($H$3,0,0,'Données projet'!$E$9+1,1))</f>
        <v>212.90262675152454</v>
      </c>
      <c r="T162" s="62">
        <f t="shared" si="142"/>
        <v>366.51899340890498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81.048073180639847</v>
      </c>
      <c r="AO162" s="62">
        <f t="shared" si="144"/>
        <v>418.93026662539467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5.604472373226681</v>
      </c>
      <c r="AV162" s="23">
        <f>EXP(-LN(2)/25)*AV161+(1-EXP(-LN(2)/25))/(LN(2)/25)*Calculateur!AQ162*Calculateur!AS162*VLOOKUP('Données projet'!$B$10,Paramètres!$A$1:$I$89,3,0)*0.475*44/12</f>
        <v>0.49826640712109443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6.1027387803477753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82.73499565245794</v>
      </c>
      <c r="BJ162" s="62">
        <f t="shared" si="146"/>
        <v>429.59688548095812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5.7612804330071992</v>
      </c>
      <c r="BQ162" s="23">
        <f>EXP(-LN(2)/25)*BQ161+(1-EXP(-LN(2)/25))/(LN(2)/25)*Calculateur!BL162*Calculateur!BN162*VLOOKUP('Données projet'!$B$11,Paramètres!$A$1:$I$89,3,0)*0.475*44/12</f>
        <v>0.51220744980117194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6.2734878828083716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287.75907759268944</v>
      </c>
      <c r="S163" s="62">
        <f ca="1">AVERAGE(OFFSET($R$3,0,0,'Données projet'!$E$9+1,1))-AVERAGE(OFFSET($H$3,0,0,'Données projet'!$E$9+1,1))</f>
        <v>212.90262675152454</v>
      </c>
      <c r="T163" s="62">
        <f t="shared" si="142"/>
        <v>366.51899340890498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81.048073180639847</v>
      </c>
      <c r="AO163" s="62">
        <f t="shared" si="144"/>
        <v>418.93026662539467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5.4945720883783151</v>
      </c>
      <c r="AV163" s="23">
        <f>EXP(-LN(2)/25)*AV162+(1-EXP(-LN(2)/25))/(LN(2)/25)*Calculateur!AQ163*Calculateur!AS163*VLOOKUP('Données projet'!$B$10,Paramètres!$A$1:$I$89,3,0)*0.475*44/12</f>
        <v>0.48464128601567658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5.9792133743939919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82.73499565245794</v>
      </c>
      <c r="BJ163" s="62">
        <f t="shared" si="146"/>
        <v>429.59688548095812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5.6483052377500105</v>
      </c>
      <c r="BQ163" s="23">
        <f>EXP(-LN(2)/25)*BQ162+(1-EXP(-LN(2)/25))/(LN(2)/25)*Calculateur!BL163*Calculateur!BN163*VLOOKUP('Données projet'!$B$11,Paramètres!$A$1:$I$89,3,0)*0.475*44/12</f>
        <v>0.49820111015053975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6.1465063479005506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287.85577846762078</v>
      </c>
      <c r="S164" s="62">
        <f ca="1">AVERAGE(OFFSET($R$3,0,0,'Données projet'!$E$9+1,1))-AVERAGE(OFFSET($H$3,0,0,'Données projet'!$E$9+1,1))</f>
        <v>212.90262675152454</v>
      </c>
      <c r="T164" s="62">
        <f t="shared" si="142"/>
        <v>366.51899340890498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81.048073180639847</v>
      </c>
      <c r="AO164" s="62">
        <f t="shared" si="144"/>
        <v>418.93026662539467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5.3868268810832713</v>
      </c>
      <c r="AV164" s="23">
        <f>EXP(-LN(2)/25)*AV163+(1-EXP(-LN(2)/25))/(LN(2)/25)*Calculateur!AQ164*Calculateur!AS164*VLOOKUP('Données projet'!$B$10,Paramètres!$A$1:$I$89,3,0)*0.475*44/12</f>
        <v>0.47138874456340035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5.8582156256466718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82.73499565245794</v>
      </c>
      <c r="BJ164" s="62">
        <f t="shared" si="146"/>
        <v>429.59688548095812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5.5375454171637495</v>
      </c>
      <c r="BQ164" s="23">
        <f>EXP(-LN(2)/25)*BQ163+(1-EXP(-LN(2)/25))/(LN(2)/25)*Calculateur!BL164*Calculateur!BN164*VLOOKUP('Données projet'!$B$11,Paramètres!$A$1:$I$89,3,0)*0.475*44/12</f>
        <v>0.48457777459421553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6.0221231917579647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287.95080179856279</v>
      </c>
      <c r="S165" s="62">
        <f ca="1">AVERAGE(OFFSET($R$3,0,0,'Données projet'!$E$9+1,1))-AVERAGE(OFFSET($H$3,0,0,'Données projet'!$E$9+1,1))</f>
        <v>212.90262675152454</v>
      </c>
      <c r="T165" s="62">
        <f t="shared" si="142"/>
        <v>366.51899340890498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81.048073180639847</v>
      </c>
      <c r="AO165" s="62">
        <f t="shared" si="144"/>
        <v>418.93026662539467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5.2811944915851958</v>
      </c>
      <c r="AV165" s="23">
        <f>EXP(-LN(2)/25)*AV164+(1-EXP(-LN(2)/25))/(LN(2)/25)*Calculateur!AQ165*Calculateur!AS165*VLOOKUP('Données projet'!$B$10,Paramètres!$A$1:$I$89,3,0)*0.475*44/12</f>
        <v>0.45849859455405745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5.739693086139253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82.73499565245794</v>
      </c>
      <c r="BJ165" s="62">
        <f t="shared" si="146"/>
        <v>429.59688548095812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5.428957529102366</v>
      </c>
      <c r="BQ165" s="23">
        <f>EXP(-LN(2)/25)*BQ164+(1-EXP(-LN(2)/25))/(LN(2)/25)*Calculateur!BL165*Calculateur!BN165*VLOOKUP('Données projet'!$B$11,Paramètres!$A$1:$I$89,3,0)*0.475*44/12</f>
        <v>0.47132696986509903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5.9002844989674648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288.04417668715331</v>
      </c>
      <c r="S166" s="62">
        <f ca="1">AVERAGE(OFFSET($R$3,0,0,'Données projet'!$E$9+1,1))-AVERAGE(OFFSET($H$3,0,0,'Données projet'!$E$9+1,1))</f>
        <v>212.90262675152454</v>
      </c>
      <c r="T166" s="62">
        <f t="shared" si="142"/>
        <v>366.51899340890498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81.048073180639847</v>
      </c>
      <c r="AO166" s="62">
        <f t="shared" si="144"/>
        <v>418.93026662539467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5.1776334888157818</v>
      </c>
      <c r="AV166" s="23">
        <f>EXP(-LN(2)/25)*AV165+(1-EXP(-LN(2)/25))/(LN(2)/25)*Calculateur!AQ166*Calculateur!AS166*VLOOKUP('Données projet'!$B$10,Paramètres!$A$1:$I$89,3,0)*0.475*44/12</f>
        <v>0.44596092637458357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5.6235944151903654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82.73499565245794</v>
      </c>
      <c r="BJ166" s="62">
        <f t="shared" si="146"/>
        <v>429.59688548095812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5.3224989832937943</v>
      </c>
      <c r="BQ166" s="23">
        <f>EXP(-LN(2)/25)*BQ165+(1-EXP(-LN(2)/25))/(LN(2)/25)*Calculateur!BL166*Calculateur!BN166*VLOOKUP('Données projet'!$B$11,Paramètres!$A$1:$I$89,3,0)*0.475*44/12</f>
        <v>0.45843850908812978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5.7809374923819243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288.13593173018177</v>
      </c>
      <c r="S167" s="62">
        <f ca="1">AVERAGE(OFFSET($R$3,0,0,'Données projet'!$E$9+1,1))-AVERAGE(OFFSET($H$3,0,0,'Données projet'!$E$9+1,1))</f>
        <v>212.90262675152454</v>
      </c>
      <c r="T167" s="62">
        <f t="shared" si="142"/>
        <v>366.51899340890498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81.048073180639847</v>
      </c>
      <c r="AO167" s="62">
        <f t="shared" si="144"/>
        <v>418.93026662539467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5.0761032541447015</v>
      </c>
      <c r="AV167" s="23">
        <f>EXP(-LN(2)/25)*AV166+(1-EXP(-LN(2)/25))/(LN(2)/25)*Calculateur!AQ167*Calculateur!AS167*VLOOKUP('Données projet'!$B$10,Paramètres!$A$1:$I$89,3,0)*0.475*44/12</f>
        <v>0.43376610139080474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5.5098693555355061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82.73499565245794</v>
      </c>
      <c r="BJ167" s="62">
        <f t="shared" si="146"/>
        <v>429.59688548095812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5.2181280246352273</v>
      </c>
      <c r="BQ167" s="23">
        <f>EXP(-LN(2)/25)*BQ166+(1-EXP(-LN(2)/25))/(LN(2)/25)*Calculateur!BL167*Calculateur!BN167*VLOOKUP('Données projet'!$B$11,Paramètres!$A$1:$I$89,3,0)*0.475*44/12</f>
        <v>0.44590248394888143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5.6640305085841085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288.22609502834723</v>
      </c>
      <c r="S168" s="62">
        <f ca="1">AVERAGE(OFFSET($R$3,0,0,'Données projet'!$E$9+1,1))-AVERAGE(OFFSET($H$3,0,0,'Données projet'!$E$9+1,1))</f>
        <v>212.90262675152454</v>
      </c>
      <c r="T168" s="62">
        <f t="shared" si="142"/>
        <v>366.51899340890498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81.048073180639847</v>
      </c>
      <c r="AO168" s="62">
        <f t="shared" si="144"/>
        <v>418.93026662539467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4.976563965448193</v>
      </c>
      <c r="AV168" s="23">
        <f>EXP(-LN(2)/25)*AV167+(1-EXP(-LN(2)/25))/(LN(2)/25)*Calculateur!AQ168*Calculateur!AS168*VLOOKUP('Données projet'!$B$10,Paramètres!$A$1:$I$89,3,0)*0.475*44/12</f>
        <v>0.42190474453750532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5.3984687099856981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82.73499565245794</v>
      </c>
      <c r="BJ168" s="62">
        <f t="shared" si="146"/>
        <v>429.59688548095812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5.1158037168159556</v>
      </c>
      <c r="BQ168" s="23">
        <f>EXP(-LN(2)/25)*BQ167+(1-EXP(-LN(2)/25))/(LN(2)/25)*Calculateur!BL168*Calculateur!BN168*VLOOKUP('Données projet'!$B$11,Paramètres!$A$1:$I$89,3,0)*0.475*44/12</f>
        <v>0.43370925707630675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5.5495129738922619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288.3146941948645</v>
      </c>
      <c r="S169" s="62">
        <f ca="1">AVERAGE(OFFSET($R$3,0,0,'Données projet'!$E$9+1,1))-AVERAGE(OFFSET($H$3,0,0,'Données projet'!$E$9+1,1))</f>
        <v>212.90262675152454</v>
      </c>
      <c r="T169" s="62">
        <f t="shared" si="142"/>
        <v>366.51899340890498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81.048073180639847</v>
      </c>
      <c r="AO169" s="62">
        <f t="shared" si="144"/>
        <v>418.93026662539467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4.8789765814900514</v>
      </c>
      <c r="AV169" s="23">
        <f>EXP(-LN(2)/25)*AV168+(1-EXP(-LN(2)/25))/(LN(2)/25)*Calculateur!AQ169*Calculateur!AS169*VLOOKUP('Données projet'!$B$10,Paramètres!$A$1:$I$89,3,0)*0.475*44/12</f>
        <v>0.41036773711112101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5.2893443186011728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82.73499565245794</v>
      </c>
      <c r="BJ169" s="62">
        <f t="shared" si="146"/>
        <v>429.59688548095812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5.0154859262613547</v>
      </c>
      <c r="BQ169" s="23">
        <f>EXP(-LN(2)/25)*BQ168+(1-EXP(-LN(2)/25))/(LN(2)/25)*Calculateur!BL169*Calculateur!BN169*VLOOKUP('Données projet'!$B$11,Paramètres!$A$1:$I$89,3,0)*0.475*44/12</f>
        <v>0.42184945463377654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5.4373353808951315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288.4017563639207</v>
      </c>
      <c r="S170" s="62">
        <f ca="1">AVERAGE(OFFSET($R$3,0,0,'Données projet'!$E$9+1,1))-AVERAGE(OFFSET($H$3,0,0,'Données projet'!$E$9+1,1))</f>
        <v>212.90262675152454</v>
      </c>
      <c r="T170" s="62">
        <f t="shared" si="142"/>
        <v>366.51899340890498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81.048073180639847</v>
      </c>
      <c r="AO170" s="62">
        <f t="shared" si="144"/>
        <v>418.93026662539467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4.7833028266089022</v>
      </c>
      <c r="AV170" s="23">
        <f>EXP(-LN(2)/25)*AV169+(1-EXP(-LN(2)/25))/(LN(2)/25)*Calculateur!AQ170*Calculateur!AS170*VLOOKUP('Données projet'!$B$10,Paramètres!$A$1:$I$89,3,0)*0.475*44/12</f>
        <v>0.39914620975951604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5.1824490363684186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82.73499565245794</v>
      </c>
      <c r="BJ170" s="62">
        <f t="shared" si="146"/>
        <v>429.59688548095812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4.9171353063917191</v>
      </c>
      <c r="BQ170" s="23">
        <f>EXP(-LN(2)/25)*BQ169+(1-EXP(-LN(2)/25))/(LN(2)/25)*Calculateur!BL170*Calculateur!BN170*VLOOKUP('Données projet'!$B$11,Paramètres!$A$1:$I$89,3,0)*0.475*44/12</f>
        <v>0.41031395911271723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5.3274492655044368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288.4873081989856</v>
      </c>
      <c r="S171" s="62">
        <f ca="1">AVERAGE(OFFSET($R$3,0,0,'Données projet'!$E$9+1,1))-AVERAGE(OFFSET($H$3,0,0,'Données projet'!$E$9+1,1))</f>
        <v>212.90262675152454</v>
      </c>
      <c r="T171" s="62">
        <f t="shared" si="142"/>
        <v>366.51899340890498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81.048073180639847</v>
      </c>
      <c r="AO171" s="62">
        <f t="shared" si="144"/>
        <v>418.93026662539467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4.6895051757057438</v>
      </c>
      <c r="AV171" s="23">
        <f>EXP(-LN(2)/25)*AV170+(1-EXP(-LN(2)/25))/(LN(2)/25)*Calculateur!AQ171*Calculateur!AS171*VLOOKUP('Données projet'!$B$10,Paramètres!$A$1:$I$89,3,0)*0.475*44/12</f>
        <v>0.38823153566345514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5.0777367113691989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82.73499565245794</v>
      </c>
      <c r="BJ171" s="62">
        <f t="shared" si="146"/>
        <v>429.59688548095812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4.8207132821897725</v>
      </c>
      <c r="BQ171" s="23">
        <f>EXP(-LN(2)/25)*BQ170+(1-EXP(-LN(2)/25))/(LN(2)/25)*Calculateur!BL171*Calculateur!BN171*VLOOKUP('Données projet'!$B$11,Paramètres!$A$1:$I$89,3,0)*0.475*44/12</f>
        <v>0.39909390232330666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5.2198071845130789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288.5713759009775</v>
      </c>
      <c r="S172" s="62">
        <f ca="1">AVERAGE(OFFSET($R$3,0,0,'Données projet'!$E$9+1,1))-AVERAGE(OFFSET($H$3,0,0,'Données projet'!$E$9+1,1))</f>
        <v>212.90262675152454</v>
      </c>
      <c r="T172" s="62">
        <f t="shared" si="142"/>
        <v>366.51899340890498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81.048073180639847</v>
      </c>
      <c r="AO172" s="62">
        <f t="shared" si="144"/>
        <v>418.93026662539467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4.5975468395258785</v>
      </c>
      <c r="AV172" s="23">
        <f>EXP(-LN(2)/25)*AV171+(1-EXP(-LN(2)/25))/(LN(2)/25)*Calculateur!AQ172*Calculateur!AS172*VLOOKUP('Données projet'!$B$10,Paramètres!$A$1:$I$89,3,0)*0.475*44/12</f>
        <v>0.37761532390452879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4.9751621634304071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82.73499565245794</v>
      </c>
      <c r="BJ172" s="62">
        <f t="shared" si="146"/>
        <v>429.59688548095812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4.7261820350707984</v>
      </c>
      <c r="BQ172" s="23">
        <f>EXP(-LN(2)/25)*BQ171+(1-EXP(-LN(2)/25))/(LN(2)/25)*Calculateur!BL172*Calculateur!BN172*VLOOKUP('Données projet'!$B$11,Paramètres!$A$1:$I$89,3,0)*0.475*44/12</f>
        <v>0.38818065857683964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5.1143626936476378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288.65398521628697</v>
      </c>
      <c r="S173" s="62">
        <f ca="1">AVERAGE(OFFSET($R$3,0,0,'Données projet'!$E$9+1,1))-AVERAGE(OFFSET($H$3,0,0,'Données projet'!$E$9+1,1))</f>
        <v>212.90262675152454</v>
      </c>
      <c r="T173" s="62">
        <f t="shared" si="142"/>
        <v>366.51899340890498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81.048073180639847</v>
      </c>
      <c r="AO173" s="62">
        <f t="shared" si="144"/>
        <v>418.93026662539467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4.5073917502294538</v>
      </c>
      <c r="AV173" s="23">
        <f>EXP(-LN(2)/25)*AV172+(1-EXP(-LN(2)/25))/(LN(2)/25)*Calculateur!AQ173*Calculateur!AS173*VLOOKUP('Données projet'!$B$10,Paramètres!$A$1:$I$89,3,0)*0.475*44/12</f>
        <v>0.36728941301443263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4.8746811632438867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82.73499565245794</v>
      </c>
      <c r="BJ173" s="62">
        <f t="shared" si="146"/>
        <v>429.59688548095812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4.6335044880494598</v>
      </c>
      <c r="BQ173" s="23">
        <f>EXP(-LN(2)/25)*BQ172+(1-EXP(-LN(2)/25))/(LN(2)/25)*Calculateur!BL173*Calculateur!BN173*VLOOKUP('Données projet'!$B$11,Paramètres!$A$1:$I$89,3,0)*0.475*44/12</f>
        <v>0.37756583805452232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5.0110703261039822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288.73516144466259</v>
      </c>
      <c r="S174" s="62">
        <f ca="1">AVERAGE(OFFSET($R$3,0,0,'Données projet'!$E$9+1,1))-AVERAGE(OFFSET($H$3,0,0,'Données projet'!$E$9+1,1))</f>
        <v>212.90262675152454</v>
      </c>
      <c r="T174" s="62">
        <f t="shared" si="142"/>
        <v>366.51899340890498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81.048073180639847</v>
      </c>
      <c r="AO174" s="62">
        <f t="shared" si="144"/>
        <v>418.93026662539467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4.4190045472449571</v>
      </c>
      <c r="AV174" s="23">
        <f>EXP(-LN(2)/25)*AV173+(1-EXP(-LN(2)/25))/(LN(2)/25)*Calculateur!AQ174*Calculateur!AS174*VLOOKUP('Données projet'!$B$10,Paramètres!$A$1:$I$89,3,0)*0.475*44/12</f>
        <v>0.35724586470064218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4.7762504119455995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82.73499565245794</v>
      </c>
      <c r="BJ174" s="62">
        <f t="shared" si="146"/>
        <v>429.59688548095812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4.5426442911974876</v>
      </c>
      <c r="BQ174" s="23">
        <f>EXP(-LN(2)/25)*BQ173+(1-EXP(-LN(2)/25))/(LN(2)/25)*Calculateur!BL174*Calculateur!BN174*VLOOKUP('Données projet'!$B$11,Paramètres!$A$1:$I$89,3,0)*0.475*44/12</f>
        <v>0.3672412803575969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4.9098855715550842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288.81492944695873</v>
      </c>
      <c r="S175" s="62">
        <f ca="1">AVERAGE(OFFSET($R$3,0,0,'Données projet'!$E$9+1,1))-AVERAGE(OFFSET($H$3,0,0,'Données projet'!$E$9+1,1))</f>
        <v>212.90262675152454</v>
      </c>
      <c r="T175" s="62">
        <f t="shared" si="142"/>
        <v>366.51899340890498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81.048073180639847</v>
      </c>
      <c r="AO175" s="62">
        <f t="shared" si="144"/>
        <v>418.93026662539467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4.3323505634001158</v>
      </c>
      <c r="AV175" s="23">
        <f>EXP(-LN(2)/25)*AV174+(1-EXP(-LN(2)/25))/(LN(2)/25)*Calculateur!AQ175*Calculateur!AS175*VLOOKUP('Données projet'!$B$10,Paramètres!$A$1:$I$89,3,0)*0.475*44/12</f>
        <v>0.34747695774365961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4.6798275211437756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82.73499565245794</v>
      </c>
      <c r="BJ175" s="62">
        <f t="shared" si="146"/>
        <v>429.59688548095812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4.4535658073865347</v>
      </c>
      <c r="BQ175" s="23">
        <f>EXP(-LN(2)/25)*BQ174+(1-EXP(-LN(2)/25))/(LN(2)/25)*Calculateur!BL175*Calculateur!BN175*VLOOKUP('Données projet'!$B$11,Paramètres!$A$1:$I$89,3,0)*0.475*44/12</f>
        <v>0.3571990482338388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4.8107648556203735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288.89331365274955</v>
      </c>
      <c r="S176" s="62">
        <f ca="1">AVERAGE(OFFSET($R$3,0,0,'Données projet'!$E$9+1,1))-AVERAGE(OFFSET($H$3,0,0,'Données projet'!$E$9+1,1))</f>
        <v>212.90262675152454</v>
      </c>
      <c r="T176" s="62">
        <f t="shared" si="142"/>
        <v>366.51899340890498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81.048073180639847</v>
      </c>
      <c r="AO176" s="62">
        <f t="shared" si="144"/>
        <v>418.93026662539467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4.2473958113247603</v>
      </c>
      <c r="AV176" s="23">
        <f>EXP(-LN(2)/25)*AV175+(1-EXP(-LN(2)/25))/(LN(2)/25)*Calculateur!AQ176*Calculateur!AS176*VLOOKUP('Données projet'!$B$10,Paramètres!$A$1:$I$89,3,0)*0.475*44/12</f>
        <v>0.33797518206114019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4.5853709933859008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82.73499565245794</v>
      </c>
      <c r="BJ176" s="62">
        <f t="shared" si="146"/>
        <v>429.59688548095812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4.3662340983106045</v>
      </c>
      <c r="BQ176" s="23">
        <f>EXP(-LN(2)/25)*BQ175+(1-EXP(-LN(2)/25))/(LN(2)/25)*Calculateur!BL176*Calculateur!BN176*VLOOKUP('Données projet'!$B$11,Paramètres!$A$1:$I$89,3,0)*0.475*44/12</f>
        <v>0.34743142147560291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4.7136655197862076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288.97033806781081</v>
      </c>
      <c r="S177" s="62">
        <f ca="1">AVERAGE(OFFSET($R$3,0,0,'Données projet'!$E$9+1,1))-AVERAGE(OFFSET($H$3,0,0,'Données projet'!$E$9+1,1))</f>
        <v>212.90262675152454</v>
      </c>
      <c r="T177" s="62">
        <f t="shared" si="142"/>
        <v>366.51899340890498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81.048073180639847</v>
      </c>
      <c r="AO177" s="62">
        <f t="shared" si="144"/>
        <v>418.93026662539467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4.1641069701203204</v>
      </c>
      <c r="AV177" s="23">
        <f>EXP(-LN(2)/25)*AV176+(1-EXP(-LN(2)/25))/(LN(2)/25)*Calculateur!AQ177*Calculateur!AS177*VLOOKUP('Données projet'!$B$10,Paramètres!$A$1:$I$89,3,0)*0.475*44/12</f>
        <v>0.32873323293433593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4.4928402030546559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82.73499565245794</v>
      </c>
      <c r="BJ177" s="62">
        <f t="shared" si="146"/>
        <v>429.59688548095812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4.2806149107825702</v>
      </c>
      <c r="BQ177" s="23">
        <f>EXP(-LN(2)/25)*BQ176+(1-EXP(-LN(2)/25))/(LN(2)/25)*Calculateur!BL177*Calculateur!BN177*VLOOKUP('Données projet'!$B$11,Paramètres!$A$1:$I$89,3,0)*0.475*44/12</f>
        <v>0.33793089098472817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4.618545801767298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289.04602628147148</v>
      </c>
      <c r="S178" s="62">
        <f ca="1">AVERAGE(OFFSET($R$3,0,0,'Données projet'!$E$9+1,1))-AVERAGE(OFFSET($H$3,0,0,'Données projet'!$E$9+1,1))</f>
        <v>212.90262675152454</v>
      </c>
      <c r="T178" s="62">
        <f t="shared" si="142"/>
        <v>366.51899340890498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81.048073180639847</v>
      </c>
      <c r="AO178" s="62">
        <f t="shared" si="144"/>
        <v>418.93026662539467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4.0824513722907225</v>
      </c>
      <c r="AV178" s="23">
        <f>EXP(-LN(2)/25)*AV177+(1-EXP(-LN(2)/25))/(LN(2)/25)*Calculateur!AQ178*Calculateur!AS178*VLOOKUP('Données projet'!$B$10,Paramètres!$A$1:$I$89,3,0)*0.475*44/12</f>
        <v>0.3197440053924171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4.4021953776831397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82.73499565245794</v>
      </c>
      <c r="BJ178" s="62">
        <f t="shared" si="146"/>
        <v>429.59688548095812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4.1966746632994125</v>
      </c>
      <c r="BQ178" s="23">
        <f>EXP(-LN(2)/25)*BQ177+(1-EXP(-LN(2)/25))/(LN(2)/25)*Calculateur!BL178*Calculateur!BN178*VLOOKUP('Données projet'!$B$11,Paramètres!$A$1:$I$89,3,0)*0.475*44/12</f>
        <v>0.32869015299973758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4.5253648162991498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289.12040147383868</v>
      </c>
      <c r="S179" s="62">
        <f ca="1">AVERAGE(OFFSET($R$3,0,0,'Données projet'!$E$9+1,1))-AVERAGE(OFFSET($H$3,0,0,'Données projet'!$E$9+1,1))</f>
        <v>212.90262675152454</v>
      </c>
      <c r="T179" s="62">
        <f t="shared" si="142"/>
        <v>366.51899340890498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81.048073180639847</v>
      </c>
      <c r="AO179" s="62">
        <f t="shared" si="144"/>
        <v>418.93026662539467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4.0023969909295669</v>
      </c>
      <c r="AV179" s="23">
        <f>EXP(-LN(2)/25)*AV178+(1-EXP(-LN(2)/25))/(LN(2)/25)*Calculateur!AQ179*Calculateur!AS179*VLOOKUP('Données projet'!$B$10,Paramètres!$A$1:$I$89,3,0)*0.475*44/12</f>
        <v>0.31100058875035497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4.313397579679922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82.73499565245794</v>
      </c>
      <c r="BJ179" s="62">
        <f t="shared" si="146"/>
        <v>429.59688548095812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4.1143804328709042</v>
      </c>
      <c r="BQ179" s="23">
        <f>EXP(-LN(2)/25)*BQ178+(1-EXP(-LN(2)/25))/(LN(2)/25)*Calculateur!BL179*Calculateur!BN179*VLOOKUP('Données projet'!$B$11,Paramètres!$A$1:$I$89,3,0)*0.475*44/12</f>
        <v>0.31970210348089584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4.4340825363518004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289.19348642289634</v>
      </c>
      <c r="S180" s="62">
        <f ca="1">AVERAGE(OFFSET($R$3,0,0,'Données projet'!$E$9+1,1))-AVERAGE(OFFSET($H$3,0,0,'Données projet'!$E$9+1,1))</f>
        <v>212.90262675152454</v>
      </c>
      <c r="T180" s="62">
        <f t="shared" si="142"/>
        <v>366.51899340890498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81.048073180639847</v>
      </c>
      <c r="AO180" s="62">
        <f t="shared" si="144"/>
        <v>418.93026662539467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3.9239124271585522</v>
      </c>
      <c r="AV180" s="23">
        <f>EXP(-LN(2)/25)*AV179+(1-EXP(-LN(2)/25))/(LN(2)/25)*Calculateur!AQ180*Calculateur!AS180*VLOOKUP('Données projet'!$B$10,Paramètres!$A$1:$I$89,3,0)*0.475*44/12</f>
        <v>0.30249626129616636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4.2264086884547183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82.73499565245794</v>
      </c>
      <c r="BJ180" s="62">
        <f t="shared" si="146"/>
        <v>429.59688548095812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4.0336999421065745</v>
      </c>
      <c r="BQ180" s="23">
        <f>EXP(-LN(2)/25)*BQ179+(1-EXP(-LN(2)/25))/(LN(2)/25)*Calculateur!BL180*Calculateur!BN180*VLOOKUP('Données projet'!$B$11,Paramètres!$A$1:$I$89,3,0)*0.475*44/12</f>
        <v>0.31095983264880783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4.3446597747553826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289.26530351148125</v>
      </c>
      <c r="S181" s="62">
        <f ca="1">AVERAGE(OFFSET($R$3,0,0,'Données projet'!$E$9+1,1))-AVERAGE(OFFSET($H$3,0,0,'Données projet'!$E$9+1,1))</f>
        <v>212.90262675152454</v>
      </c>
      <c r="T181" s="62">
        <f t="shared" si="142"/>
        <v>366.51899340890498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81.048073180639847</v>
      </c>
      <c r="AO181" s="62">
        <f t="shared" si="144"/>
        <v>418.93026662539467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3.84696689781223</v>
      </c>
      <c r="AV181" s="23">
        <f>EXP(-LN(2)/25)*AV180+(1-EXP(-LN(2)/25))/(LN(2)/25)*Calculateur!AQ181*Calculateur!AS181*VLOOKUP('Données projet'!$B$10,Paramètres!$A$1:$I$89,3,0)*0.475*44/12</f>
        <v>0.29422448512343569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4.1411913829356655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82.73499565245794</v>
      </c>
      <c r="BJ181" s="62">
        <f t="shared" si="146"/>
        <v>429.59688548095812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3.9546015465558932</v>
      </c>
      <c r="BQ181" s="23">
        <f>EXP(-LN(2)/25)*BQ180+(1-EXP(-LN(2)/25))/(LN(2)/25)*Calculateur!BL181*Calculateur!BN181*VLOOKUP('Données projet'!$B$11,Paramètres!$A$1:$I$89,3,0)*0.475*44/12</f>
        <v>0.30245661967235932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4.2570581662282523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289.3358747341382</v>
      </c>
      <c r="S182" s="62">
        <f ca="1">AVERAGE(OFFSET($R$3,0,0,'Données projet'!$E$9+1,1))-AVERAGE(OFFSET($H$3,0,0,'Données projet'!$E$9+1,1))</f>
        <v>212.90262675152454</v>
      </c>
      <c r="T182" s="62">
        <f t="shared" si="142"/>
        <v>366.51899340890498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81.048073180639847</v>
      </c>
      <c r="AO182" s="62">
        <f t="shared" si="144"/>
        <v>418.93026662539467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3.7715302233642505</v>
      </c>
      <c r="AV182" s="23">
        <f>EXP(-LN(2)/25)*AV181+(1-EXP(-LN(2)/25))/(LN(2)/25)*Calculateur!AQ182*Calculateur!AS182*VLOOKUP('Données projet'!$B$10,Paramètres!$A$1:$I$89,3,0)*0.475*44/12</f>
        <v>0.2861789011051421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4.0577091244693921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82.73499565245794</v>
      </c>
      <c r="BJ182" s="62">
        <f t="shared" si="146"/>
        <v>429.59688548095812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3.8770542222967035</v>
      </c>
      <c r="BQ182" s="23">
        <f>EXP(-LN(2)/25)*BQ181+(1-EXP(-LN(2)/25))/(LN(2)/25)*Calculateur!BL182*Calculateur!BN182*VLOOKUP('Données projet'!$B$11,Paramètres!$A$1:$I$89,3,0)*0.475*44/12</f>
        <v>0.2941859275019163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4.1712401497986198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289.40522170385572</v>
      </c>
      <c r="S183" s="62">
        <f ca="1">AVERAGE(OFFSET($R$3,0,0,'Données projet'!$E$9+1,1))-AVERAGE(OFFSET($H$3,0,0,'Données projet'!$E$9+1,1))</f>
        <v>212.90262675152454</v>
      </c>
      <c r="T183" s="62">
        <f t="shared" si="142"/>
        <v>366.51899340890498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81.048073180639847</v>
      </c>
      <c r="AO183" s="62">
        <f t="shared" si="144"/>
        <v>418.93026662539467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3.6975728160903674</v>
      </c>
      <c r="AV183" s="23">
        <f>EXP(-LN(2)/25)*AV182+(1-EXP(-LN(2)/25))/(LN(2)/25)*Calculateur!AQ183*Calculateur!AS183*VLOOKUP('Données projet'!$B$10,Paramètres!$A$1:$I$89,3,0)*0.475*44/12</f>
        <v>0.27835332400492763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3.9759261400952948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82.73499565245794</v>
      </c>
      <c r="BJ183" s="62">
        <f t="shared" si="146"/>
        <v>429.59688548095812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3.8010275537670393</v>
      </c>
      <c r="BQ183" s="23">
        <f>EXP(-LN(2)/25)*BQ182+(1-EXP(-LN(2)/25))/(LN(2)/25)*Calculateur!BL183*Calculateur!BN183*VLOOKUP('Données projet'!$B$11,Paramètres!$A$1:$I$89,3,0)*0.475*44/12</f>
        <v>0.28614139784381082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4.0871689516108498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289.47336565868517</v>
      </c>
      <c r="S184" s="62">
        <f ca="1">AVERAGE(OFFSET($R$3,0,0,'Données projet'!$E$9+1,1))-AVERAGE(OFFSET($H$3,0,0,'Données projet'!$E$9+1,1))</f>
        <v>212.90262675152454</v>
      </c>
      <c r="T184" s="62">
        <f t="shared" si="142"/>
        <v>366.51899340890498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81.048073180639847</v>
      </c>
      <c r="AO184" s="62">
        <f t="shared" si="144"/>
        <v>418.93026662539467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3.6250656684635612</v>
      </c>
      <c r="AV184" s="23">
        <f>EXP(-LN(2)/25)*AV183+(1-EXP(-LN(2)/25))/(LN(2)/25)*Calculateur!AQ184*Calculateur!AS184*VLOOKUP('Données projet'!$B$10,Paramètres!$A$1:$I$89,3,0)*0.475*44/12</f>
        <v>0.27074173772204774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3.8958074061856087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82.73499565245794</v>
      </c>
      <c r="BJ184" s="62">
        <f t="shared" si="146"/>
        <v>429.59688548095812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3.7264917218355524</v>
      </c>
      <c r="BQ184" s="23">
        <f>EXP(-LN(2)/25)*BQ183+(1-EXP(-LN(2)/25))/(LN(2)/25)*Calculateur!BL184*Calculateur!BN184*VLOOKUP('Données projet'!$B$11,Paramètres!$A$1:$I$89,3,0)*0.475*44/12</f>
        <v>0.27831684627224967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4.0048085681078023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289.54032746824549</v>
      </c>
      <c r="S185" s="62">
        <f ca="1">AVERAGE(OFFSET($R$3,0,0,'Données projet'!$E$9+1,1))-AVERAGE(OFFSET($H$3,0,0,'Données projet'!$E$9+1,1))</f>
        <v>212.90262675152454</v>
      </c>
      <c r="T185" s="62">
        <f t="shared" si="142"/>
        <v>366.51899340890498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81.048073180639847</v>
      </c>
      <c r="AO185" s="62">
        <f t="shared" si="144"/>
        <v>418.93026662539467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3.5539803417767231</v>
      </c>
      <c r="AV185" s="23">
        <f>EXP(-LN(2)/25)*AV184+(1-EXP(-LN(2)/25))/(LN(2)/25)*Calculateur!AQ185*Calculateur!AS185*VLOOKUP('Données projet'!$B$10,Paramètres!$A$1:$I$89,3,0)*0.475*44/12</f>
        <v>0.26333829066634912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3.8173186324430723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82.73499565245794</v>
      </c>
      <c r="BJ185" s="62">
        <f t="shared" si="146"/>
        <v>429.59688548095812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3.653417492105874</v>
      </c>
      <c r="BQ185" s="23">
        <f>EXP(-LN(2)/25)*BQ184+(1-EXP(-LN(2)/25))/(LN(2)/25)*Calculateur!BL185*Calculateur!BN185*VLOOKUP('Données projet'!$B$11,Paramètres!$A$1:$I$89,3,0)*0.475*44/12</f>
        <v>0.27070625747488819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3.9241237495807622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289.60612764011404</v>
      </c>
      <c r="S186" s="62">
        <f ca="1">AVERAGE(OFFSET($R$3,0,0,'Données projet'!$E$9+1,1))-AVERAGE(OFFSET($H$3,0,0,'Données projet'!$E$9+1,1))</f>
        <v>212.90262675152454</v>
      </c>
      <c r="T186" s="62">
        <f t="shared" si="142"/>
        <v>366.51899340890498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81.048073180639847</v>
      </c>
      <c r="AO186" s="62">
        <f t="shared" si="144"/>
        <v>418.93026662539467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3.4842889549884459</v>
      </c>
      <c r="AV186" s="23">
        <f>EXP(-LN(2)/25)*AV185+(1-EXP(-LN(2)/25))/(LN(2)/25)*Calculateur!AQ186*Calculateur!AS186*VLOOKUP('Données projet'!$B$10,Paramètres!$A$1:$I$89,3,0)*0.475*44/12</f>
        <v>0.25613729125971896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3.7404262462481648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82.73499565245794</v>
      </c>
      <c r="BJ186" s="62">
        <f t="shared" si="146"/>
        <v>429.59688548095812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3.5817762034503153</v>
      </c>
      <c r="BQ186" s="23">
        <f>EXP(-LN(2)/25)*BQ185+(1-EXP(-LN(2)/25))/(LN(2)/25)*Calculateur!BL186*Calculateur!BN186*VLOOKUP('Données projet'!$B$11,Paramètres!$A$1:$I$89,3,0)*0.475*44/12</f>
        <v>0.26330378062841397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3.8450799840787293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289.67078632610782</v>
      </c>
      <c r="S187" s="62">
        <f ca="1">AVERAGE(OFFSET($R$3,0,0,'Données projet'!$E$9+1,1))-AVERAGE(OFFSET($H$3,0,0,'Données projet'!$E$9+1,1))</f>
        <v>212.90262675152454</v>
      </c>
      <c r="T187" s="62">
        <f t="shared" si="142"/>
        <v>366.51899340890498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81.048073180639847</v>
      </c>
      <c r="AO187" s="62">
        <f t="shared" si="144"/>
        <v>418.93026662539467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3.4159641737875384</v>
      </c>
      <c r="AV187" s="23">
        <f>EXP(-LN(2)/25)*AV186+(1-EXP(-LN(2)/25))/(LN(2)/25)*Calculateur!AQ187*Calculateur!AS187*VLOOKUP('Données projet'!$B$10,Paramètres!$A$1:$I$89,3,0)*0.475*44/12</f>
        <v>0.24913320356054722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3.6650973773480855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82.73499565245794</v>
      </c>
      <c r="BJ187" s="62">
        <f t="shared" si="146"/>
        <v>429.59688548095812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3.5115397567684208</v>
      </c>
      <c r="BQ187" s="23">
        <f>EXP(-LN(2)/25)*BQ186+(1-EXP(-LN(2)/25))/(LN(2)/25)*Calculateur!BL187*Calculateur!BN187*VLOOKUP('Données projet'!$B$11,Paramètres!$A$1:$I$89,3,0)*0.475*44/12</f>
        <v>0.25610372490058597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3.7676434816690065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289.73432332845482</v>
      </c>
      <c r="S188" s="62">
        <f ca="1">AVERAGE(OFFSET($R$3,0,0,'Données projet'!$E$9+1,1))-AVERAGE(OFFSET($H$3,0,0,'Données projet'!$E$9+1,1))</f>
        <v>212.90262675152454</v>
      </c>
      <c r="T188" s="62">
        <f t="shared" si="142"/>
        <v>366.51899340890498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81.048073180639847</v>
      </c>
      <c r="AO188" s="62">
        <f t="shared" si="144"/>
        <v>418.93026662539467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3.3489791998719789</v>
      </c>
      <c r="AV188" s="23">
        <f>EXP(-LN(2)/25)*AV187+(1-EXP(-LN(2)/25))/(LN(2)/25)*Calculateur!AQ188*Calculateur!AS188*VLOOKUP('Données projet'!$B$10,Paramètres!$A$1:$I$89,3,0)*0.475*44/12</f>
        <v>0.24232064300783829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3.5912998428798173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82.73499565245794</v>
      </c>
      <c r="BJ188" s="62">
        <f t="shared" si="146"/>
        <v>429.59688548095812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3.4426806039659557</v>
      </c>
      <c r="BQ188" s="23">
        <f>EXP(-LN(2)/25)*BQ187+(1-EXP(-LN(2)/25))/(LN(2)/25)*Calculateur!BL188*Calculateur!BN188*VLOOKUP('Données projet'!$B$11,Paramètres!$A$1:$I$89,3,0)*0.475*44/12</f>
        <v>0.24910055507526987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3.6917811590412257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289.79675810585849</v>
      </c>
      <c r="S189" s="62">
        <f ca="1">AVERAGE(OFFSET($R$3,0,0,'Données projet'!$E$9+1,1))-AVERAGE(OFFSET($H$3,0,0,'Données projet'!$E$9+1,1))</f>
        <v>212.90262675152454</v>
      </c>
      <c r="T189" s="62">
        <f t="shared" si="142"/>
        <v>366.51899340890498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81.048073180639847</v>
      </c>
      <c r="AO189" s="62">
        <f t="shared" si="144"/>
        <v>418.93026662539467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3.2833077604381038</v>
      </c>
      <c r="AV189" s="23">
        <f>EXP(-LN(2)/25)*AV188+(1-EXP(-LN(2)/25))/(LN(2)/25)*Calculateur!AQ189*Calculateur!AS189*VLOOKUP('Données projet'!$B$10,Paramètres!$A$1:$I$89,3,0)*0.475*44/12</f>
        <v>0.23569437228170018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3.519002132719804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82.73499565245794</v>
      </c>
      <c r="BJ189" s="62">
        <f t="shared" si="146"/>
        <v>429.59688548095812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3.3751717371500107</v>
      </c>
      <c r="BQ189" s="23">
        <f>EXP(-LN(2)/25)*BQ188+(1-EXP(-LN(2)/25))/(LN(2)/25)*Calculateur!BL189*Calculateur!BN189*VLOOKUP('Données projet'!$B$11,Paramètres!$A$1:$I$89,3,0)*0.475*44/12</f>
        <v>0.24228888729710776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3.6174606244471184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289.85810977945749</v>
      </c>
      <c r="S190" s="62">
        <f ca="1">AVERAGE(OFFSET($R$3,0,0,'Données projet'!$E$9+1,1))-AVERAGE(OFFSET($H$3,0,0,'Données projet'!$E$9+1,1))</f>
        <v>212.90262675152454</v>
      </c>
      <c r="T190" s="62">
        <f t="shared" si="142"/>
        <v>366.51899340890498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81.048073180639847</v>
      </c>
      <c r="AO190" s="62">
        <f t="shared" si="144"/>
        <v>418.93026662539467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3.2189240978759042</v>
      </c>
      <c r="AV190" s="23">
        <f>EXP(-LN(2)/25)*AV189+(1-EXP(-LN(2)/25))/(LN(2)/25)*Calculateur!AQ190*Calculateur!AS190*VLOOKUP('Données projet'!$B$10,Paramètres!$A$1:$I$89,3,0)*0.475*44/12</f>
        <v>0.22924929727702872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3.4481733951529328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82.73499565245794</v>
      </c>
      <c r="BJ190" s="62">
        <f t="shared" si="146"/>
        <v>429.59688548095812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3.3089866780359838</v>
      </c>
      <c r="BQ190" s="23">
        <f>EXP(-LN(2)/25)*BQ189+(1-EXP(-LN(2)/25))/(LN(2)/25)*Calculateur!BL190*Calculateur!BN190*VLOOKUP('Données projet'!$B$11,Paramètres!$A$1:$I$89,3,0)*0.475*44/12</f>
        <v>0.23566348493254952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3.5446501629685332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289.91839713868131</v>
      </c>
      <c r="S191" s="62">
        <f ca="1">AVERAGE(OFFSET($R$3,0,0,'Données projet'!$E$9+1,1))-AVERAGE(OFFSET($H$3,0,0,'Données projet'!$E$9+1,1))</f>
        <v>212.90262675152454</v>
      </c>
      <c r="T191" s="62">
        <f t="shared" si="142"/>
        <v>366.51899340890498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81.048073180639847</v>
      </c>
      <c r="AO191" s="62">
        <f t="shared" si="144"/>
        <v>418.93026662539467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3.1558029596663926</v>
      </c>
      <c r="AV191" s="23">
        <f>EXP(-LN(2)/25)*AV190+(1-EXP(-LN(2)/25))/(LN(2)/25)*Calculateur!AQ191*Calculateur!AS191*VLOOKUP('Données projet'!$B$10,Paramètres!$A$1:$I$89,3,0)*0.475*44/12</f>
        <v>0.22298046318729178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3.3787834228536844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82.73499565245794</v>
      </c>
      <c r="BJ191" s="62">
        <f t="shared" si="146"/>
        <v>429.59688548095812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3.244099467562283</v>
      </c>
      <c r="BQ191" s="23">
        <f>EXP(-LN(2)/25)*BQ190+(1-EXP(-LN(2)/25))/(LN(2)/25)*Calculateur!BL191*Calculateur!BN191*VLOOKUP('Données projet'!$B$11,Paramètres!$A$1:$I$89,3,0)*0.475*44/12</f>
        <v>0.22921925454406489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3.473318722106348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289.97763864700494</v>
      </c>
      <c r="S192" s="62">
        <f ca="1">AVERAGE(OFFSET($R$3,0,0,'Données projet'!$E$9+1,1))-AVERAGE(OFFSET($H$3,0,0,'Données projet'!$E$9+1,1))</f>
        <v>212.90262675152454</v>
      </c>
      <c r="T192" s="62">
        <f t="shared" si="142"/>
        <v>366.51899340890498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81.048073180639847</v>
      </c>
      <c r="AO192" s="62">
        <f t="shared" si="144"/>
        <v>418.93026662539467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3.0939195884770769</v>
      </c>
      <c r="AV192" s="23">
        <f>EXP(-LN(2)/25)*AV191+(1-EXP(-LN(2)/25))/(LN(2)/25)*Calculateur!AQ192*Calculateur!AS192*VLOOKUP('Données projet'!$B$10,Paramètres!$A$1:$I$89,3,0)*0.475*44/12</f>
        <v>0.21688305069540237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3.3108026391724792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82.73499565245794</v>
      </c>
      <c r="BJ192" s="62">
        <f t="shared" si="146"/>
        <v>429.59688548095812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3.180484655708681</v>
      </c>
      <c r="BQ192" s="23">
        <f>EXP(-LN(2)/25)*BQ191+(1-EXP(-LN(2)/25))/(LN(2)/25)*Calculateur!BL192*Calculateur!BN192*VLOOKUP('Données projet'!$B$11,Paramètres!$A$1:$I$89,3,0)*0.475*44/12</f>
        <v>0.22295124197444072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3.4034358976831216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290.03585244760336</v>
      </c>
      <c r="S193" s="62">
        <f ca="1">AVERAGE(OFFSET($R$3,0,0,'Données projet'!$E$9+1,1))-AVERAGE(OFFSET($H$3,0,0,'Données projet'!$E$9+1,1))</f>
        <v>212.90262675152454</v>
      </c>
      <c r="T193" s="62">
        <f t="shared" si="142"/>
        <v>366.51899340890498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81.048073180639847</v>
      </c>
      <c r="AO193" s="62">
        <f t="shared" si="144"/>
        <v>418.93026662539467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3.0332497124516542</v>
      </c>
      <c r="AV193" s="23">
        <f>EXP(-LN(2)/25)*AV192+(1-EXP(-LN(2)/25))/(LN(2)/25)*Calculateur!AQ193*Calculateur!AS193*VLOOKUP('Données projet'!$B$10,Paramètres!$A$1:$I$89,3,0)*0.475*44/12</f>
        <v>0.21095237226875266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3.2442020847204067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82.73499565245794</v>
      </c>
      <c r="BJ193" s="62">
        <f t="shared" si="146"/>
        <v>429.59688548095812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3.118117291514324</v>
      </c>
      <c r="BQ193" s="23">
        <f>EXP(-LN(2)/25)*BQ192+(1-EXP(-LN(2)/25))/(LN(2)/25)*Calculateur!BL193*Calculateur!BN193*VLOOKUP('Données projet'!$B$11,Paramètres!$A$1:$I$89,3,0)*0.475*44/12</f>
        <v>0.21685462853815338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3.3349719200524772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290.09305636890792</v>
      </c>
      <c r="S194" s="62">
        <f ca="1">AVERAGE(OFFSET($R$3,0,0,'Données projet'!$E$9+1,1))-AVERAGE(OFFSET($H$3,0,0,'Données projet'!$E$9+1,1))</f>
        <v>212.90262675152454</v>
      </c>
      <c r="T194" s="62">
        <f t="shared" si="142"/>
        <v>366.51899340890498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81.048073180639847</v>
      </c>
      <c r="AO194" s="62">
        <f t="shared" si="144"/>
        <v>418.93026662539467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2.9737695356901197</v>
      </c>
      <c r="AV194" s="23">
        <f>EXP(-LN(2)/25)*AV193+(1-EXP(-LN(2)/25))/(LN(2)/25)*Calculateur!AQ194*Calculateur!AS194*VLOOKUP('Données projet'!$B$10,Paramètres!$A$1:$I$89,3,0)*0.475*44/12</f>
        <v>0.20518386855556051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3.1789534042456804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82.73499565245794</v>
      </c>
      <c r="BJ194" s="62">
        <f t="shared" si="146"/>
        <v>429.59688548095812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3.0569729132914825</v>
      </c>
      <c r="BQ194" s="23">
        <f>EXP(-LN(2)/25)*BQ193+(1-EXP(-LN(2)/25))/(LN(2)/25)*Calculateur!BL194*Calculateur!BN194*VLOOKUP('Données projet'!$B$11,Paramètres!$A$1:$I$89,3,0)*0.475*44/12</f>
        <v>0.21092472731688827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3.2678976406083708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290.14926793006674</v>
      </c>
      <c r="S195" s="62">
        <f ca="1">AVERAGE(OFFSET($R$3,0,0,'Données projet'!$E$9+1,1))-AVERAGE(OFFSET($H$3,0,0,'Données projet'!$E$9+1,1))</f>
        <v>212.90262675152454</v>
      </c>
      <c r="T195" s="62">
        <f t="shared" si="142"/>
        <v>366.51899340890498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81.048073180639847</v>
      </c>
      <c r="AO195" s="62">
        <f t="shared" si="144"/>
        <v>418.93026662539467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2.9154557289155534</v>
      </c>
      <c r="AV195" s="23">
        <f>EXP(-LN(2)/25)*AV194+(1-EXP(-LN(2)/25))/(LN(2)/25)*Calculateur!AQ195*Calculateur!AS195*VLOOKUP('Données projet'!$B$10,Paramètres!$A$1:$I$89,3,0)*0.475*44/12</f>
        <v>0.19957310487975802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3.1150288337953116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82.73499565245794</v>
      </c>
      <c r="BJ195" s="62">
        <f t="shared" si="146"/>
        <v>429.59688548095812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2.9970275390312024</v>
      </c>
      <c r="BQ195" s="23">
        <f>EXP(-LN(2)/25)*BQ194+(1-EXP(-LN(2)/25))/(LN(2)/25)*Calculateur!BL195*Calculateur!BN195*VLOOKUP('Données projet'!$B$11,Paramètres!$A$1:$I$89,3,0)*0.475*44/12</f>
        <v>0.20515697955635862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3.2021845185875613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290.20450434630959</v>
      </c>
      <c r="S196" s="62">
        <f ca="1">AVERAGE(OFFSET($R$3,0,0,'Données projet'!$E$9+1,1))-AVERAGE(OFFSET($H$3,0,0,'Données projet'!$E$9+1,1))</f>
        <v>212.90262675152454</v>
      </c>
      <c r="T196" s="62">
        <f t="shared" si="142"/>
        <v>366.51899340890498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81.048073180639847</v>
      </c>
      <c r="AO196" s="62">
        <f t="shared" si="144"/>
        <v>418.93026662539467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2.8582854203239263</v>
      </c>
      <c r="AV196" s="23">
        <f>EXP(-LN(2)/25)*AV195+(1-EXP(-LN(2)/25))/(LN(2)/25)*Calculateur!AQ196*Calculateur!AS196*VLOOKUP('Données projet'!$B$10,Paramètres!$A$1:$I$89,3,0)*0.475*44/12</f>
        <v>0.19411576783172757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3.0524011881556539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82.73499565245794</v>
      </c>
      <c r="BJ196" s="62">
        <f t="shared" si="146"/>
        <v>429.59688548095812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2.9382576569970986</v>
      </c>
      <c r="BQ196" s="23">
        <f>EXP(-LN(2)/25)*BQ195+(1-EXP(-LN(2)/25))/(LN(2)/25)*Calculateur!BL196*Calculateur!BN196*VLOOKUP('Données projet'!$B$11,Paramètres!$A$1:$I$89,3,0)*0.475*44/12</f>
        <v>0.19954695116165333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3.1378046081587518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290.25878253422081</v>
      </c>
      <c r="S197" s="62">
        <f ca="1">AVERAGE(OFFSET($R$3,0,0,'Données projet'!$E$9+1,1))-AVERAGE(OFFSET($H$3,0,0,'Données projet'!$E$9+1,1))</f>
        <v>212.90262675152454</v>
      </c>
      <c r="T197" s="62">
        <f t="shared" ref="T197:T203" si="204">$T$3</f>
        <v>366.51899340890498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81.048073180639847</v>
      </c>
      <c r="AO197" s="62">
        <f t="shared" ref="AO197:AO203" si="205">$AO$3</f>
        <v>418.93026662539467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2.8022361866133356</v>
      </c>
      <c r="AV197" s="23">
        <f>EXP(-LN(2)/25)*AV196+(1-EXP(-LN(2)/25))/(LN(2)/25)*Calculateur!AQ197*Calculateur!AS197*VLOOKUP('Données projet'!$B$10,Paramètres!$A$1:$I$89,3,0)*0.475*44/12</f>
        <v>0.18880766195226439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2.9910438485655999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82.73499565245794</v>
      </c>
      <c r="BJ197" s="62">
        <f t="shared" ref="BJ197:BJ203" si="206">$BJ$3</f>
        <v>429.59688548095812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2.8806402165035951</v>
      </c>
      <c r="BQ197" s="23">
        <f>EXP(-LN(2)/25)*BQ196+(1-EXP(-LN(2)/25))/(LN(2)/25)*Calculateur!BL197*Calculateur!BN197*VLOOKUP('Données projet'!$B$11,Paramètres!$A$1:$I$89,3,0)*0.475*44/12</f>
        <v>0.19409032928841982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3.0747305457920149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290.31211911691958</v>
      </c>
      <c r="S198" s="62">
        <f ca="1">AVERAGE(OFFSET($R$3,0,0,'Données projet'!$E$9+1,1))-AVERAGE(OFFSET($H$3,0,0,'Données projet'!$E$9+1,1))</f>
        <v>212.90262675152454</v>
      </c>
      <c r="T198" s="62">
        <f t="shared" si="204"/>
        <v>366.51899340890498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81.048073180639847</v>
      </c>
      <c r="AO198" s="62">
        <f t="shared" si="205"/>
        <v>418.93026662539467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2.7472860441891531</v>
      </c>
      <c r="AV198" s="23">
        <f>EXP(-LN(2)/25)*AV197+(1-EXP(-LN(2)/25))/(LN(2)/25)*Calculateur!AQ198*Calculateur!AS198*VLOOKUP('Données projet'!$B$10,Paramètres!$A$1:$I$89,3,0)*0.475*44/12</f>
        <v>0.18364470650721632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2.9309307506963695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82.73499565245794</v>
      </c>
      <c r="BJ198" s="62">
        <f t="shared" si="206"/>
        <v>429.59688548095812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2.8241526188750008</v>
      </c>
      <c r="BQ198" s="23">
        <f>EXP(-LN(2)/25)*BQ197+(1-EXP(-LN(2)/25))/(LN(2)/25)*Calculateur!BL198*Calculateur!BN198*VLOOKUP('Données projet'!$B$11,Paramètres!$A$1:$I$89,3,0)*0.475*44/12</f>
        <v>0.18878291902726116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3.012935537902262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290.36453042915127</v>
      </c>
      <c r="S199" s="62">
        <f ca="1">AVERAGE(OFFSET($R$3,0,0,'Données projet'!$E$9+1,1))-AVERAGE(OFFSET($H$3,0,0,'Données projet'!$E$9+1,1))</f>
        <v>212.90262675152454</v>
      </c>
      <c r="T199" s="62">
        <f t="shared" si="204"/>
        <v>366.51899340890498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81.048073180639847</v>
      </c>
      <c r="AO199" s="62">
        <f t="shared" si="205"/>
        <v>418.93026662539467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2.6934134405416312</v>
      </c>
      <c r="AV199" s="23">
        <f>EXP(-LN(2)/25)*AV198+(1-EXP(-LN(2)/25))/(LN(2)/25)*Calculateur!AQ199*Calculateur!AS199*VLOOKUP('Données projet'!$B$10,Paramètres!$A$1:$I$89,3,0)*0.475*44/12</f>
        <v>0.17862293235032109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2.8720363728919525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82.73499565245794</v>
      </c>
      <c r="BJ199" s="62">
        <f t="shared" si="206"/>
        <v>429.59688548095812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2.7687727085818707</v>
      </c>
      <c r="BQ199" s="23">
        <f>EXP(-LN(2)/25)*BQ198+(1-EXP(-LN(2)/25))/(LN(2)/25)*Calculateur!BL199*Calculateur!BN199*VLOOKUP('Données projet'!$B$11,Paramètres!$A$1:$I$89,3,0)*0.475*44/12</f>
        <v>0.18362064017879845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2.9523933487606691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290.41603252228987</v>
      </c>
      <c r="S200" s="62">
        <f ca="1">AVERAGE(OFFSET($R$3,0,0,'Données projet'!$E$9+1,1))-AVERAGE(OFFSET($H$3,0,0,'Données projet'!$E$9+1,1))</f>
        <v>212.90262675152454</v>
      </c>
      <c r="T200" s="62">
        <f t="shared" si="204"/>
        <v>366.51899340890498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81.048073180639847</v>
      </c>
      <c r="AO200" s="62">
        <f t="shared" si="205"/>
        <v>418.93026662539467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2.6405972457925935</v>
      </c>
      <c r="AV200" s="23">
        <f>EXP(-LN(2)/25)*AV199+(1-EXP(-LN(2)/25))/(LN(2)/25)*Calculateur!AQ200*Calculateur!AS200*VLOOKUP('Données projet'!$B$10,Paramètres!$A$1:$I$89,3,0)*0.475*44/12</f>
        <v>0.1737384788718298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2.8143357246644234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82.73499565245794</v>
      </c>
      <c r="BJ200" s="62">
        <f t="shared" si="206"/>
        <v>429.59688548095812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2.714478764551179</v>
      </c>
      <c r="BQ200" s="23">
        <f>EXP(-LN(2)/25)*BQ199+(1-EXP(-LN(2)/25))/(LN(2)/25)*Calculateur!BL200*Calculateur!BN200*VLOOKUP('Données projet'!$B$11,Paramètres!$A$1:$I$89,3,0)*0.475*44/12</f>
        <v>0.1785995241169194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2.8930782886680984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290.46664116925399</v>
      </c>
      <c r="S201" s="62">
        <f ca="1">AVERAGE(OFFSET($R$3,0,0,'Données projet'!$E$9+1,1))-AVERAGE(OFFSET($H$3,0,0,'Données projet'!$E$9+1,1))</f>
        <v>212.90262675152454</v>
      </c>
      <c r="T201" s="62">
        <f t="shared" si="204"/>
        <v>366.51899340890498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81.048073180639847</v>
      </c>
      <c r="AO201" s="62">
        <f t="shared" si="205"/>
        <v>418.93026662539467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2.5888167444078864</v>
      </c>
      <c r="AV201" s="23">
        <f>EXP(-LN(2)/25)*AV200+(1-EXP(-LN(2)/25))/(LN(2)/25)*Calculateur!AQ201*Calculateur!AS201*VLOOKUP('Données projet'!$B$10,Paramètres!$A$1:$I$89,3,0)*0.475*44/12</f>
        <v>0.16898759103057009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2.7578043354384567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82.73499565245794</v>
      </c>
      <c r="BJ201" s="62">
        <f t="shared" si="206"/>
        <v>429.59688548095812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2.6612494916468932</v>
      </c>
      <c r="BQ201" s="23">
        <f>EXP(-LN(2)/25)*BQ200+(1-EXP(-LN(2)/25))/(LN(2)/25)*Calculateur!BL201*Calculateur!BN201*VLOOKUP('Données projet'!$B$11,Paramètres!$A$1:$I$89,3,0)*0.475*44/12</f>
        <v>0.17371571073780145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2.8349652023846947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290.51637186933721</v>
      </c>
      <c r="S202" s="62">
        <f ca="1">AVERAGE(OFFSET($R$3,0,0,'Données projet'!$E$9+1,1))-AVERAGE(OFFSET($H$3,0,0,'Données projet'!$E$9+1,1))</f>
        <v>212.90262675152454</v>
      </c>
      <c r="T202" s="62">
        <f t="shared" si="204"/>
        <v>366.51899340890498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81.048073180639847</v>
      </c>
      <c r="AO202" s="62">
        <f t="shared" si="205"/>
        <v>418.93026662539467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2.5380516270723463</v>
      </c>
      <c r="AV202" s="23">
        <f>EXP(-LN(2)/25)*AV201+(1-EXP(-LN(2)/25))/(LN(2)/25)*Calculateur!AQ202*Calculateur!AS202*VLOOKUP('Données projet'!$B$10,Paramètres!$A$1:$I$89,3,0)*0.475*44/12</f>
        <v>0.16436661646716796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2.7024182435395141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82.73499565245794</v>
      </c>
      <c r="BJ202" s="62">
        <f t="shared" si="206"/>
        <v>429.59688548095812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2.6090640123176096</v>
      </c>
      <c r="BQ202" s="23">
        <f>EXP(-LN(2)/25)*BQ201+(1-EXP(-LN(2)/25))/(LN(2)/25)*Calculateur!BL202*Calculateur!BN202*VLOOKUP('Données projet'!$B$11,Paramètres!$A$1:$I$89,3,0)*0.475*44/12</f>
        <v>0.16896544549236409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2.7780294578099736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290.56523985295519</v>
      </c>
      <c r="S203" s="62">
        <f ca="1">AVERAGE(OFFSET($R$3,0,0,'Données projet'!$E$9+1,1))-AVERAGE(OFFSET($H$3,0,0,'Données projet'!$E$9+1,1))</f>
        <v>212.90262675152454</v>
      </c>
      <c r="T203" s="62">
        <f t="shared" si="204"/>
        <v>366.51899340890498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81.048073180639847</v>
      </c>
      <c r="AO203" s="62">
        <f t="shared" si="205"/>
        <v>418.93026662539467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2.4882819827240921</v>
      </c>
      <c r="AV203" s="23">
        <f>EXP(-LN(2)/25)*AV202+(1-EXP(-LN(2)/25))/(LN(2)/25)*Calculateur!AQ203*Calculateur!AS203*VLOOKUP('Données projet'!$B$10,Paramètres!$A$1:$I$89,3,0)*0.475*44/12</f>
        <v>0.15987200269620855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2.6481539854203007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82.73499565245794</v>
      </c>
      <c r="BJ203" s="62">
        <f t="shared" si="206"/>
        <v>429.59688548095812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2.5579018584079738</v>
      </c>
      <c r="BQ203" s="23">
        <f>EXP(-LN(2)/25)*BQ202+(1-EXP(-LN(2)/25))/(LN(2)/25)*Calculateur!BL203*Calculateur!BN203*VLOOKUP('Données projet'!$B$11,Paramètres!$A$1:$I$89,3,0)*0.475*44/12</f>
        <v>0.16434507649986879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2.7222469349078424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1.3846407653603228</v>
      </c>
      <c r="BA205" s="88">
        <f>EXP(LN('Données projet'!B88)/'Données projet'!A88)</f>
        <v>1.3872364009933253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3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3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3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3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3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3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3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3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37" t="s">
        <v>191</v>
      </c>
      <c r="C2" s="338"/>
      <c r="D2" s="338"/>
      <c r="E2" s="338"/>
      <c r="F2" s="338"/>
      <c r="G2" s="33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36"/>
      <c r="C4" s="336"/>
      <c r="D4" s="336"/>
      <c r="E4" s="336"/>
      <c r="F4" s="336"/>
      <c r="G4" s="33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K23" sqref="K2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37" t="s">
        <v>271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9.9975000000000005</v>
      </c>
      <c r="C6" s="156">
        <f ca="1">IF(OR('Données projet'!B9="",'Données projet'!C9="",'Données projet'!C9=0%),0,Calculateur!S3)</f>
        <v>212.90262675152454</v>
      </c>
      <c r="D6" s="156">
        <f>IF(OR('Données projet'!B9="",'Données projet'!C9="",'Données projet'!C9=0%),0,Calculateur!T3)</f>
        <v>366.51899340890498</v>
      </c>
      <c r="E6" s="156">
        <f ca="1">MIN(C6,D6)</f>
        <v>212.90262675152454</v>
      </c>
      <c r="F6" s="156">
        <f ca="1">E6*B6</f>
        <v>2128.4940109483668</v>
      </c>
      <c r="G6" s="156">
        <f ca="1">F6*(100%-'Données projet'!$C$24)*(100%-'Données projet'!$C$25)*(100%-'Données projet'!$C$26)*(100%-'Données projet'!$C$27)</f>
        <v>1819.8623793608538</v>
      </c>
      <c r="H6" s="157">
        <f>IF(OR('Données projet'!B9="",'Données projet'!C9="",'Données projet'!C9=0%),0,AVERAGE(Calculateur!$AC$3:$AC$33)*B6)</f>
        <v>81.850029139449887</v>
      </c>
      <c r="I6" s="158">
        <f>H6*(100%-'Données projet'!$C$24)*(100%-'Données projet'!$C$25)*(100%-'Données projet'!$C$26)*(100%-'Données projet'!$C$27)</f>
        <v>69.981774914229661</v>
      </c>
      <c r="J6" s="159">
        <f>IF(OR('Données projet'!B9="",'Données projet'!C9="",'Données projet'!C9=0%),0,SUM(Calculateur!$V$3:$V$33)*VLOOKUP('Données projet'!$B$9,Paramètres!$A$1:$I$89,9,0)*B6)</f>
        <v>642.93922500000008</v>
      </c>
      <c r="K6" s="160">
        <f>J6*(100%-'Données projet'!$C$24)*(100%-'Données projet'!$C$25)*(100%-'Données projet'!$C$26)*(100%-'Données projet'!$C$27)</f>
        <v>549.713037375</v>
      </c>
      <c r="L6" s="161">
        <f ca="1">G6+I6+K6</f>
        <v>2439.5571916500835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I-45/51</v>
      </c>
      <c r="B7" s="163">
        <f>'Données projet'!D10</f>
        <v>0.49020000000000002</v>
      </c>
      <c r="C7" s="156">
        <f ca="1">IF(OR('Données projet'!B10="",'Données projet'!C10="",'Données projet'!C10=0%),0,Calculateur!AN3)</f>
        <v>81.048073180639847</v>
      </c>
      <c r="D7" s="156">
        <f>IF(OR('Données projet'!B10="",'Données projet'!C10="",'Données projet'!C10=0%),0,Calculateur!AO3)</f>
        <v>418.93026662539467</v>
      </c>
      <c r="E7" s="156">
        <f t="shared" ref="E7:E15" ca="1" si="0">MIN(C7,D7)</f>
        <v>81.048073180639847</v>
      </c>
      <c r="F7" s="156">
        <f t="shared" ref="F7:F15" ca="1" si="1">E7*B7</f>
        <v>39.729765473149655</v>
      </c>
      <c r="G7" s="156">
        <f ca="1">F7*(100%-'Données projet'!$C$24)*(100%-'Données projet'!$C$25)*(100%-'Données projet'!$C$26)*(100%-'Données projet'!$C$27)</f>
        <v>33.968949479542957</v>
      </c>
      <c r="H7" s="164">
        <f>IF(OR('Données projet'!B10="",'Données projet'!C10="",'Données projet'!C10=0%),0,AVERAGE(Calculateur!$AX$3:$AX$33)*B7)</f>
        <v>21.089838764082419</v>
      </c>
      <c r="I7" s="158">
        <f>H7*(100%-'Données projet'!$C$24)*(100%-'Données projet'!$C$25)*(100%-'Données projet'!$C$26)*(100%-'Données projet'!$C$27)</f>
        <v>18.031812143290466</v>
      </c>
      <c r="J7" s="159">
        <f>IF(OR('Données projet'!B10="",'Données projet'!C10="",'Données projet'!C10=0%),0,SUM(Calculateur!$AQ$3:$AQ$33)*VLOOKUP('Données projet'!$B$10,Paramètres!$A$1:$I$89,9,0)*B7)</f>
        <v>176.71710000000002</v>
      </c>
      <c r="K7" s="160">
        <f>J7*(100%-'Données projet'!$C$24)*(100%-'Données projet'!$C$25)*(100%-'Données projet'!$C$26)*(100%-'Données projet'!$C$27)</f>
        <v>151.09312050000003</v>
      </c>
      <c r="L7" s="161">
        <f t="shared" ref="L7:L15" ca="1" si="2">G7+I7+K7</f>
        <v>203.09388212283346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Koster</v>
      </c>
      <c r="B8" s="163">
        <f>'Données projet'!D11</f>
        <v>2.3994</v>
      </c>
      <c r="C8" s="156">
        <f ca="1">IF(OR('Données projet'!B11="",'Données projet'!C11="",'Données projet'!C11=0%),0,Calculateur!BI3)</f>
        <v>82.73499565245794</v>
      </c>
      <c r="D8" s="156">
        <f>IF(OR('Données projet'!B11="",'Données projet'!C11="",'Données projet'!C11=0%),0,Calculateur!BJ3)</f>
        <v>429.59688548095812</v>
      </c>
      <c r="E8" s="156">
        <f t="shared" ca="1" si="0"/>
        <v>82.73499565245794</v>
      </c>
      <c r="F8" s="156">
        <f t="shared" ca="1" si="1"/>
        <v>198.51434856850759</v>
      </c>
      <c r="G8" s="156">
        <f ca="1">F8*(100%-'Données projet'!$C$24)*(100%-'Données projet'!$C$25)*(100%-'Données projet'!$C$26)*(100%-'Données projet'!$C$27)</f>
        <v>169.729768026074</v>
      </c>
      <c r="H8" s="164">
        <f>IF(OR('Données projet'!B11="",'Données projet'!C11="",'Données projet'!C11=0%),0,AVERAGE(Calculateur!$BS$3:$BS$33)*B8)</f>
        <v>106.1174705928393</v>
      </c>
      <c r="I8" s="158">
        <f>H8*(100%-'Données projet'!$C$24)*(100%-'Données projet'!$C$25)*(100%-'Données projet'!$C$26)*(100%-'Données projet'!$C$27)</f>
        <v>90.730437356877601</v>
      </c>
      <c r="J8" s="159">
        <f>IF(OR('Données projet'!B11="",'Données projet'!C11="",'Données projet'!C11=0%),0,SUM(Calculateur!$BL$3:$BL$33)*VLOOKUP('Données projet'!$B$11,Paramètres!$A$1:$I$89,9,0)*B8)</f>
        <v>894.64028400000007</v>
      </c>
      <c r="K8" s="160">
        <f>J8*(100%-'Données projet'!$C$24)*(100%-'Données projet'!$C$25)*(100%-'Données projet'!$C$26)*(100%-'Données projet'!$C$27)</f>
        <v>764.91744282000002</v>
      </c>
      <c r="L8" s="161">
        <f t="shared" ca="1" si="2"/>
        <v>1025.3776482029516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2366.7381249900241</v>
      </c>
      <c r="G16" s="175">
        <f t="shared" ca="1" si="3"/>
        <v>2023.5610968664707</v>
      </c>
      <c r="H16" s="176">
        <f t="shared" si="3"/>
        <v>209.05733849637159</v>
      </c>
      <c r="I16" s="176">
        <f t="shared" si="3"/>
        <v>178.74402441439773</v>
      </c>
      <c r="J16" s="177">
        <f t="shared" si="3"/>
        <v>1714.2966090000002</v>
      </c>
      <c r="K16" s="177">
        <f t="shared" si="3"/>
        <v>1465.7236006950002</v>
      </c>
      <c r="L16" s="178">
        <f t="shared" ca="1" si="3"/>
        <v>3668.0287219758684</v>
      </c>
      <c r="M16" s="25">
        <f ca="1">L16/12.9</f>
        <v>284.34331178107504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40" t="s">
        <v>246</v>
      </c>
      <c r="G17" s="341"/>
      <c r="H17" s="341"/>
      <c r="I17" s="341"/>
      <c r="J17" s="341"/>
      <c r="K17" s="341"/>
      <c r="L17" s="34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42"/>
      <c r="G18" s="342"/>
      <c r="H18" s="342"/>
      <c r="I18" s="342"/>
      <c r="J18" s="342"/>
      <c r="K18" s="342"/>
      <c r="L18" s="34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I-45/51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Koster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cellWatches>
    <cellWatch r="L16"/>
  </cellWatch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6" zoomScale="90" zoomScaleNormal="90" workbookViewId="0">
      <selection activeCell="T23" sqref="T23:V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37" t="s">
        <v>272</v>
      </c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6" t="s">
        <v>315</v>
      </c>
      <c r="I4" s="346"/>
      <c r="K4" s="343" t="s">
        <v>253</v>
      </c>
      <c r="L4" s="34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54" t="s">
        <v>310</v>
      </c>
      <c r="S7" s="355"/>
      <c r="T7" s="355"/>
      <c r="U7" s="355"/>
      <c r="V7" s="35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3632.5641648935562</v>
      </c>
      <c r="U10" s="190">
        <f>'Données projet'!D9</f>
        <v>9.9975000000000005</v>
      </c>
      <c r="V10" s="189">
        <f>U10*T10</f>
        <v>36316.560238523329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I-45/51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9508.8077457882246</v>
      </c>
      <c r="U11" s="190">
        <f>'Données projet'!D10</f>
        <v>0.49020000000000002</v>
      </c>
      <c r="V11" s="189">
        <f t="shared" ref="V11" si="0">U11*T11</f>
        <v>4661.217556985388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Koster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9834.8240113581069</v>
      </c>
      <c r="U12" s="190">
        <f>'Données projet'!D11</f>
        <v>2.3994</v>
      </c>
      <c r="V12" s="189">
        <f t="shared" ref="V12:V19" si="1">U12*T12</f>
        <v>23597.67673285264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7"/>
      <c r="H16" s="203"/>
      <c r="I16" s="204"/>
      <c r="J16" s="216"/>
      <c r="K16" s="225"/>
      <c r="L16" s="343" t="s">
        <v>254</v>
      </c>
      <c r="M16" s="34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7"/>
      <c r="J17" s="216"/>
      <c r="K17" s="225"/>
      <c r="L17" s="314" t="s">
        <v>289</v>
      </c>
      <c r="M17" s="31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7"/>
      <c r="J18" s="216"/>
      <c r="K18" s="225"/>
      <c r="L18" s="314" t="s">
        <v>255</v>
      </c>
      <c r="M18" s="31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7"/>
      <c r="H19" s="232" t="s">
        <v>178</v>
      </c>
      <c r="I19" s="232" t="s">
        <v>287</v>
      </c>
      <c r="J19" s="260"/>
      <c r="K19" s="183"/>
      <c r="L19" s="343" t="s">
        <v>288</v>
      </c>
      <c r="M19" s="34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7"/>
      <c r="H20" s="203">
        <v>0</v>
      </c>
      <c r="I20" s="204">
        <v>3525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1046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161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>
        <v>8</v>
      </c>
      <c r="D23" s="194">
        <f>B23*C23</f>
        <v>120</v>
      </c>
      <c r="E23" s="206"/>
      <c r="F23" s="261"/>
      <c r="H23" s="203">
        <v>3</v>
      </c>
      <c r="I23" s="204">
        <v>276</v>
      </c>
      <c r="K23" s="225"/>
      <c r="L23" s="345" t="s">
        <v>260</v>
      </c>
      <c r="M23" s="345"/>
      <c r="N23" s="345"/>
      <c r="O23" s="25"/>
      <c r="P23" s="25"/>
      <c r="Q23" s="265"/>
      <c r="R23" s="25"/>
      <c r="S23" s="185" t="s">
        <v>264</v>
      </c>
      <c r="T23" s="35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-572.84398855705513</v>
      </c>
      <c r="U23" s="359"/>
      <c r="V23" s="35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>
        <v>4</v>
      </c>
      <c r="I24" s="204">
        <v>161</v>
      </c>
      <c r="K24" s="225"/>
      <c r="O24" s="25"/>
      <c r="P24" s="25"/>
      <c r="Q24" s="265"/>
      <c r="R24" s="25"/>
      <c r="S24" s="185" t="s">
        <v>261</v>
      </c>
      <c r="T24" s="36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60"/>
      <c r="V24" s="36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>
        <v>25</v>
      </c>
      <c r="D25" s="194">
        <f t="shared" si="2"/>
        <v>1350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61">
        <f ca="1">T23-T24</f>
        <v>-572.84398855705513</v>
      </c>
      <c r="U25" s="361"/>
      <c r="V25" s="36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48" t="s">
        <v>258</v>
      </c>
      <c r="M26" s="349"/>
      <c r="N26" s="349"/>
      <c r="O26" s="349"/>
      <c r="P26" s="350"/>
      <c r="Q26" s="265"/>
      <c r="R26" s="25"/>
      <c r="S26" s="198" t="s">
        <v>265</v>
      </c>
      <c r="T26" s="358" t="str">
        <f ca="1">IF(T25&lt;0,"Votre projet est additionnel","Votre projet n'est pas additionnel")</f>
        <v>Votre projet est additionnel</v>
      </c>
      <c r="U26" s="358"/>
      <c r="V26" s="35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>
        <v>45</v>
      </c>
      <c r="D27" s="194">
        <f t="shared" si="2"/>
        <v>15210</v>
      </c>
      <c r="E27" s="206"/>
      <c r="F27" s="264"/>
      <c r="G27" s="259"/>
      <c r="H27" s="203"/>
      <c r="I27" s="204"/>
      <c r="K27" s="225"/>
      <c r="L27" s="351"/>
      <c r="M27" s="352"/>
      <c r="N27" s="352"/>
      <c r="O27" s="352"/>
      <c r="P27" s="353"/>
      <c r="Q27" s="265"/>
      <c r="R27" s="25"/>
      <c r="S27" s="357" t="s">
        <v>267</v>
      </c>
      <c r="T27" s="357"/>
      <c r="U27" s="357"/>
      <c r="V27" s="35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I-45/51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350</v>
      </c>
      <c r="C54" s="204">
        <v>60</v>
      </c>
      <c r="D54" s="191">
        <f>B54*C54</f>
        <v>21000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Koster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18</v>
      </c>
      <c r="B85" s="193">
        <f>'Données projet'!D88</f>
        <v>362</v>
      </c>
      <c r="C85" s="204">
        <v>60</v>
      </c>
      <c r="D85" s="191">
        <f>B85*C85</f>
        <v>21720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9BA4-452E-4D8D-AC7D-78402E44DFD8}">
  <dimension ref="B1:M28"/>
  <sheetViews>
    <sheetView workbookViewId="0">
      <selection activeCell="E25" sqref="E25"/>
    </sheetView>
  </sheetViews>
  <sheetFormatPr baseColWidth="10" defaultColWidth="11.42578125" defaultRowHeight="15" x14ac:dyDescent="0.25"/>
  <cols>
    <col min="1" max="1" width="1.85546875" style="302" customWidth="1"/>
    <col min="2" max="2" width="23" style="302" bestFit="1" customWidth="1"/>
    <col min="3" max="12" width="16.7109375" style="302" customWidth="1"/>
    <col min="13" max="16384" width="11.42578125" style="302"/>
  </cols>
  <sheetData>
    <row r="1" spans="2:13" ht="30.75" customHeight="1" thickBot="1" x14ac:dyDescent="0.3">
      <c r="B1" s="362" t="s">
        <v>324</v>
      </c>
      <c r="C1" s="363"/>
      <c r="D1" s="364"/>
    </row>
    <row r="2" spans="2:13" ht="27.75" customHeight="1" thickBot="1" x14ac:dyDescent="0.3"/>
    <row r="3" spans="2:13" ht="24.95" customHeight="1" x14ac:dyDescent="0.25">
      <c r="B3" s="307" t="s">
        <v>325</v>
      </c>
      <c r="C3" s="292" t="str">
        <f>'Données projet'!B9</f>
        <v>Pin maritime</v>
      </c>
      <c r="D3" s="292" t="str">
        <f>'Données projet'!B10</f>
        <v>Peuplier I-45/51</v>
      </c>
      <c r="E3" s="292" t="str">
        <f>'Données projet'!B11</f>
        <v>Peuplier Koster</v>
      </c>
      <c r="F3" s="292">
        <f>'Données projet'!B12</f>
        <v>0</v>
      </c>
      <c r="G3" s="292">
        <f>'Données projet'!B13</f>
        <v>0</v>
      </c>
      <c r="H3" s="292">
        <f>'Données projet'!B14</f>
        <v>0</v>
      </c>
      <c r="I3" s="292">
        <f>'Données projet'!B15</f>
        <v>0</v>
      </c>
      <c r="J3" s="292">
        <f>'Données projet'!B16</f>
        <v>0</v>
      </c>
      <c r="K3" s="292">
        <f>'Données projet'!B17</f>
        <v>0</v>
      </c>
      <c r="L3" s="295">
        <f>'Données projet'!B18</f>
        <v>0</v>
      </c>
      <c r="M3" s="298" t="s">
        <v>328</v>
      </c>
    </row>
    <row r="4" spans="2:13" ht="24.95" customHeight="1" x14ac:dyDescent="0.25">
      <c r="B4" s="308" t="s">
        <v>326</v>
      </c>
      <c r="C4" s="300">
        <f>'Données projet'!$D$9</f>
        <v>9.9975000000000005</v>
      </c>
      <c r="D4" s="300">
        <f>'Données projet'!$D$10</f>
        <v>0.49020000000000002</v>
      </c>
      <c r="E4" s="300">
        <f>'Données projet'!$D$11</f>
        <v>2.3994</v>
      </c>
      <c r="F4" s="300">
        <f>'Données projet'!$D$12</f>
        <v>0</v>
      </c>
      <c r="G4" s="300">
        <f>'Données projet'!$D$13</f>
        <v>0</v>
      </c>
      <c r="H4" s="300">
        <f>'Données projet'!$D$14</f>
        <v>0</v>
      </c>
      <c r="I4" s="300">
        <f>'Données projet'!$D$15</f>
        <v>0</v>
      </c>
      <c r="J4" s="300">
        <f>'Données projet'!$D$16</f>
        <v>0</v>
      </c>
      <c r="K4" s="300">
        <f>'Données projet'!$D$17</f>
        <v>0</v>
      </c>
      <c r="L4" s="301">
        <f>'Données projet'!$D$18</f>
        <v>0</v>
      </c>
      <c r="M4" s="304">
        <f>IF(SUM(C4:L4)=0,"",SUM(C4:L4))</f>
        <v>12.8871</v>
      </c>
    </row>
    <row r="5" spans="2:13" ht="24.95" customHeight="1" x14ac:dyDescent="0.25">
      <c r="B5" s="308" t="s">
        <v>327</v>
      </c>
      <c r="C5" s="292"/>
      <c r="D5" s="293"/>
      <c r="E5" s="293"/>
      <c r="F5" s="293"/>
      <c r="G5" s="293"/>
      <c r="H5" s="293"/>
      <c r="I5" s="293"/>
      <c r="J5" s="293"/>
      <c r="K5" s="293"/>
      <c r="L5" s="296"/>
      <c r="M5" s="299"/>
    </row>
    <row r="6" spans="2:13" ht="24.95" customHeight="1" x14ac:dyDescent="0.25">
      <c r="B6" s="308" t="s">
        <v>329</v>
      </c>
      <c r="C6" s="288"/>
      <c r="D6" s="288"/>
      <c r="E6" s="288"/>
      <c r="F6" s="288"/>
      <c r="G6" s="288"/>
      <c r="H6" s="288"/>
      <c r="I6" s="288"/>
      <c r="J6" s="288"/>
      <c r="K6" s="288"/>
      <c r="L6" s="297"/>
      <c r="M6" s="305" t="str">
        <f>IF(SUM(C6:L6)=0,"",SUM(C6:L6))</f>
        <v/>
      </c>
    </row>
    <row r="7" spans="2:13" ht="24.95" customHeight="1" x14ac:dyDescent="0.25">
      <c r="B7" s="308" t="s">
        <v>249</v>
      </c>
      <c r="C7" s="288"/>
      <c r="D7" s="288"/>
      <c r="E7" s="288"/>
      <c r="F7" s="288"/>
      <c r="G7" s="288"/>
      <c r="H7" s="288"/>
      <c r="I7" s="288"/>
      <c r="J7" s="288"/>
      <c r="K7" s="288"/>
      <c r="L7" s="297"/>
      <c r="M7" s="306" t="str">
        <f>IF(SUM(C7:L7)=0,"",SUM(C7:L7))</f>
        <v/>
      </c>
    </row>
    <row r="8" spans="2:13" ht="24.95" customHeight="1" x14ac:dyDescent="0.25">
      <c r="B8" s="308" t="s">
        <v>330</v>
      </c>
      <c r="C8" s="294"/>
      <c r="D8" s="294"/>
      <c r="E8" s="294"/>
      <c r="F8" s="294"/>
      <c r="G8" s="294"/>
      <c r="H8" s="294"/>
      <c r="I8" s="288"/>
      <c r="J8" s="288"/>
      <c r="K8" s="288"/>
      <c r="L8" s="297"/>
      <c r="M8" s="306"/>
    </row>
    <row r="9" spans="2:13" ht="24.95" customHeight="1" thickBot="1" x14ac:dyDescent="0.3">
      <c r="B9" s="309" t="s">
        <v>331</v>
      </c>
      <c r="C9" s="310" t="str">
        <f>IF(C7=0,"",IFERROR((C7-C4)*REE!L6/REE!$B$6,""))</f>
        <v/>
      </c>
      <c r="D9" s="310" t="str">
        <f>IF(D7=0,"",IFERROR((D7-D4)*REE!L7/REE!$B$6,""))</f>
        <v/>
      </c>
      <c r="E9" s="310" t="str">
        <f>IF(E7=0,"",IFERROR((E7-E4)*REE!L8/REE!$B$6,""))</f>
        <v/>
      </c>
      <c r="F9" s="310" t="str">
        <f>IF(F7=0,"",IFERROR((F7-F4)*REE!L9/REE!$B$6,""))</f>
        <v/>
      </c>
      <c r="G9" s="310" t="str">
        <f>IF(G7=0,"",IFERROR((G7-G4)*REE!L10/REE!$B$6,""))</f>
        <v/>
      </c>
      <c r="H9" s="310" t="str">
        <f>IF(H7=0,"",IFERROR((H7-H4)*REE!L11/REE!$B$6,""))</f>
        <v/>
      </c>
      <c r="I9" s="310" t="str">
        <f>IF(I7=0,"",IFERROR((I7-I4)*REE!L12/REE!$B$6,""))</f>
        <v/>
      </c>
      <c r="J9" s="310" t="str">
        <f>IF(J7=0,"",IFERROR((J7-J4)*REE!L13/REE!$B$6,""))</f>
        <v/>
      </c>
      <c r="K9" s="310" t="str">
        <f>IF(K7=0,"",IFERROR((K7-K4)*REE!L14/REE!$B$6,""))</f>
        <v/>
      </c>
      <c r="L9" s="310" t="str">
        <f>IF(L7=0,"",IFERROR((L7-L4)*REE!L15/REE!$B$6,""))</f>
        <v/>
      </c>
      <c r="M9" s="311" t="str">
        <f>IF(SUM(C9:L9)=0,"",SUM(C9:L9))</f>
        <v/>
      </c>
    </row>
    <row r="12" spans="2:13" x14ac:dyDescent="0.25">
      <c r="D12" s="303"/>
    </row>
    <row r="13" spans="2:13" x14ac:dyDescent="0.25">
      <c r="D13" s="303"/>
    </row>
    <row r="14" spans="2:13" x14ac:dyDescent="0.25">
      <c r="D14" s="303"/>
    </row>
    <row r="15" spans="2:13" x14ac:dyDescent="0.25">
      <c r="D15" s="303"/>
    </row>
    <row r="16" spans="2:13" x14ac:dyDescent="0.25">
      <c r="D16" s="303"/>
    </row>
    <row r="17" spans="4:4" x14ac:dyDescent="0.25">
      <c r="D17" s="303"/>
    </row>
    <row r="18" spans="4:4" x14ac:dyDescent="0.25">
      <c r="D18" s="303"/>
    </row>
    <row r="19" spans="4:4" x14ac:dyDescent="0.25">
      <c r="D19" s="303"/>
    </row>
    <row r="20" spans="4:4" x14ac:dyDescent="0.25">
      <c r="D20" s="303"/>
    </row>
    <row r="21" spans="4:4" x14ac:dyDescent="0.25">
      <c r="D21" s="303"/>
    </row>
    <row r="22" spans="4:4" x14ac:dyDescent="0.25">
      <c r="D22" s="303"/>
    </row>
    <row r="23" spans="4:4" x14ac:dyDescent="0.25">
      <c r="D23" s="303"/>
    </row>
    <row r="24" spans="4:4" x14ac:dyDescent="0.25">
      <c r="D24" s="303"/>
    </row>
    <row r="25" spans="4:4" x14ac:dyDescent="0.25">
      <c r="D25" s="303"/>
    </row>
    <row r="26" spans="4:4" x14ac:dyDescent="0.25">
      <c r="D26" s="303"/>
    </row>
    <row r="27" spans="4:4" x14ac:dyDescent="0.25">
      <c r="D27" s="303"/>
    </row>
    <row r="28" spans="4:4" x14ac:dyDescent="0.25">
      <c r="D28" s="303"/>
    </row>
  </sheetData>
  <mergeCells count="1">
    <mergeCell ref="B1:D1"/>
  </mergeCells>
  <conditionalFormatting sqref="C9:M9">
    <cfRule type="cellIs" dxfId="0" priority="1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vérification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2024-10-23T07:21:20Z</dcterms:modified>
</cp:coreProperties>
</file>