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COURTIN Florent/la chapelle bertrand PROJET REVISE/01_Dossier_en_cours/"/>
    </mc:Choice>
  </mc:AlternateContent>
  <xr:revisionPtr revIDLastSave="114" documentId="8_{21B502A3-8AE9-49A6-92B4-669DED1D4448}" xr6:coauthVersionLast="47" xr6:coauthVersionMax="47" xr10:uidLastSave="{FCBA31CC-5D6B-4AC8-94E5-70ED601F3305}"/>
  <bookViews>
    <workbookView minimized="1" xWindow="7870" yWindow="1360" windowWidth="8630" windowHeight="426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A33" i="2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W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Y154" i="2"/>
  <c r="ED154" i="2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HI156" i="2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H160" i="2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DI163" i="2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FS175" i="2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W178" i="2"/>
  <c r="HG178" i="2"/>
  <c r="EB178" i="2"/>
  <c r="ED177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D184" i="2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EV189" i="2"/>
  <c r="HH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Y192" i="2"/>
  <c r="ED192" i="2"/>
  <c r="EA193" i="2"/>
  <c r="EB193" i="2"/>
  <c r="DI192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FS202" i="2"/>
  <c r="EY201" i="2"/>
  <c r="HH202" i="2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FD82" i="2" a="1"/>
  <c r="FD82" i="2" s="1"/>
  <c r="HJ202" i="2"/>
  <c r="AX200" i="2"/>
  <c r="DN31" i="2" l="1" a="1"/>
  <c r="DN31" i="2" s="1"/>
  <c r="DN152" i="2" a="1"/>
  <c r="DN152" i="2" s="1"/>
  <c r="DN168" i="2" a="1"/>
  <c r="DN168" i="2" s="1"/>
  <c r="EI178" i="2" a="1"/>
  <c r="EI178" i="2" s="1"/>
  <c r="EI34" i="2" a="1"/>
  <c r="EI34" i="2" s="1"/>
  <c r="EI145" i="2" a="1"/>
  <c r="EI145" i="2" s="1"/>
  <c r="EI87" i="2" a="1"/>
  <c r="EI87" i="2" s="1"/>
  <c r="EI150" i="2" a="1"/>
  <c r="EI150" i="2" s="1"/>
  <c r="EI20" i="2" a="1"/>
  <c r="EI20" i="2" s="1"/>
  <c r="BC185" i="2" a="1"/>
  <c r="BC185" i="2" s="1"/>
  <c r="BC143" i="2" a="1"/>
  <c r="BC143" i="2" s="1"/>
  <c r="BC31" i="2" a="1"/>
  <c r="BC31" i="2" s="1"/>
  <c r="BC84" i="2" a="1"/>
  <c r="BC84" i="2" s="1"/>
  <c r="BC68" i="2" a="1"/>
  <c r="BC68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43" i="2" a="1"/>
  <c r="FD43" i="2" s="1"/>
  <c r="FD64" i="2" a="1"/>
  <c r="FD64" i="2" s="1"/>
  <c r="FD131" i="2" a="1"/>
  <c r="FD131" i="2" s="1"/>
  <c r="FD189" i="2" a="1"/>
  <c r="FD189" i="2" s="1"/>
  <c r="FD187" i="2" a="1"/>
  <c r="FD187" i="2" s="1"/>
  <c r="FD14" i="2" a="1"/>
  <c r="FD14" i="2" s="1"/>
  <c r="FD167" i="2" a="1"/>
  <c r="FD167" i="2" s="1"/>
  <c r="FD194" i="2" a="1"/>
  <c r="FD194" i="2" s="1"/>
  <c r="FD48" i="2" a="1"/>
  <c r="FD48" i="2" s="1"/>
  <c r="EI162" i="2" a="1"/>
  <c r="EI162" i="2" s="1"/>
  <c r="EI165" i="2" a="1"/>
  <c r="EI165" i="2" s="1"/>
  <c r="EI71" i="2" a="1"/>
  <c r="EI71" i="2" s="1"/>
  <c r="EI106" i="2" a="1"/>
  <c r="EI106" i="2" s="1"/>
  <c r="EI57" i="2" a="1"/>
  <c r="EI57" i="2" s="1"/>
  <c r="EI29" i="2" a="1"/>
  <c r="EI29" i="2" s="1"/>
  <c r="EI36" i="2" a="1"/>
  <c r="EI36" i="2" s="1"/>
  <c r="EI153" i="2" a="1"/>
  <c r="EI153" i="2" s="1"/>
  <c r="EI170" i="2" a="1"/>
  <c r="EI170" i="2" s="1"/>
  <c r="EI166" i="2" a="1"/>
  <c r="EI166" i="2" s="1"/>
  <c r="EI16" i="2" a="1"/>
  <c r="EI16" i="2" s="1"/>
  <c r="EI198" i="2" a="1"/>
  <c r="EI198" i="2" s="1"/>
  <c r="EI195" i="2" a="1"/>
  <c r="EI195" i="2" s="1"/>
  <c r="EI109" i="2" a="1"/>
  <c r="EI109" i="2" s="1"/>
  <c r="EI38" i="2" a="1"/>
  <c r="EI38" i="2" s="1"/>
  <c r="EI113" i="2" a="1"/>
  <c r="EI113" i="2" s="1"/>
  <c r="EI128" i="2" a="1"/>
  <c r="EI128" i="2" s="1"/>
  <c r="EY202" i="2"/>
  <c r="BC7" i="2" a="1"/>
  <c r="BC7" i="2" s="1"/>
  <c r="BD7" i="2" s="1"/>
  <c r="BC151" i="2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T203" i="2"/>
  <c r="ED203" i="2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96" i="2" l="1"/>
  <c r="FJ6" i="2"/>
  <c r="FJ60" i="2"/>
  <c r="FJ166" i="2"/>
  <c r="FJ153" i="2"/>
  <c r="FJ120" i="2"/>
  <c r="FJ98" i="2"/>
  <c r="FJ92" i="2"/>
  <c r="FJ50" i="2"/>
  <c r="FJ8" i="2"/>
  <c r="FJ186" i="2"/>
  <c r="FJ51" i="2"/>
  <c r="FJ164" i="2"/>
  <c r="FJ173" i="2"/>
  <c r="FJ67" i="2"/>
  <c r="FJ83" i="2"/>
  <c r="FJ10" i="2"/>
  <c r="FJ90" i="2"/>
  <c r="FJ103" i="2"/>
  <c r="FJ38" i="2"/>
  <c r="FJ76" i="2"/>
  <c r="FJ135" i="2"/>
  <c r="FJ162" i="2"/>
  <c r="FJ170" i="2"/>
  <c r="FJ72" i="2"/>
  <c r="FJ9" i="2"/>
  <c r="FJ49" i="2"/>
  <c r="FJ20" i="2"/>
  <c r="FJ85" i="2"/>
  <c r="FJ104" i="2"/>
  <c r="FJ203" i="2"/>
  <c r="FJ93" i="2"/>
  <c r="FJ102" i="2"/>
  <c r="FJ138" i="2"/>
  <c r="FJ87" i="2"/>
  <c r="FJ129" i="2"/>
  <c r="FJ36" i="2"/>
  <c r="FJ79" i="2"/>
  <c r="FJ181" i="2"/>
  <c r="FJ25" i="2"/>
  <c r="FJ192" i="2"/>
  <c r="FJ114" i="2"/>
  <c r="FJ152" i="2"/>
  <c r="FJ74" i="2"/>
  <c r="FJ155" i="2"/>
  <c r="FJ158" i="2"/>
  <c r="FJ159" i="2"/>
  <c r="FJ22" i="2"/>
  <c r="FJ32" i="2"/>
  <c r="FJ178" i="2"/>
  <c r="FJ160" i="2"/>
  <c r="FJ47" i="2"/>
  <c r="FJ94" i="2"/>
  <c r="FJ66" i="2"/>
  <c r="FJ188" i="2"/>
  <c r="FJ112" i="2"/>
  <c r="FJ43" i="2"/>
  <c r="FJ16" i="2"/>
  <c r="FJ182" i="2"/>
  <c r="FJ154" i="2"/>
  <c r="FJ167" i="2"/>
  <c r="FJ180" i="2"/>
  <c r="FJ70" i="2"/>
  <c r="FJ7" i="2"/>
  <c r="FJ143" i="2"/>
  <c r="FJ168" i="2"/>
  <c r="FJ136" i="2"/>
  <c r="FJ147" i="2"/>
  <c r="FJ99" i="2"/>
  <c r="FJ56" i="2"/>
  <c r="FJ24" i="2"/>
  <c r="FJ107" i="2"/>
  <c r="FJ65" i="2"/>
  <c r="FJ95" i="2"/>
  <c r="FJ23" i="2"/>
  <c r="FJ40" i="2"/>
  <c r="FJ122" i="2"/>
  <c r="FJ171" i="2"/>
  <c r="FJ111" i="2"/>
  <c r="FJ62" i="2"/>
  <c r="FJ88" i="2"/>
  <c r="FJ48" i="2"/>
  <c r="FJ123" i="2"/>
  <c r="FJ179" i="2"/>
  <c r="FJ29" i="2"/>
  <c r="FJ157" i="2"/>
  <c r="FJ137" i="2"/>
  <c r="FJ172" i="2"/>
  <c r="FJ198" i="2"/>
  <c r="FJ34" i="2"/>
  <c r="FJ169" i="2"/>
  <c r="FJ5" i="2"/>
  <c r="FJ126" i="2"/>
  <c r="FJ77" i="2"/>
  <c r="FJ45" i="2"/>
  <c r="FJ183" i="2"/>
  <c r="FJ35" i="2"/>
  <c r="FJ145" i="2"/>
  <c r="FJ113" i="2"/>
  <c r="FJ151" i="2"/>
  <c r="FJ100" i="2"/>
  <c r="FJ191" i="2"/>
  <c r="FJ116" i="2"/>
  <c r="FJ156" i="2"/>
  <c r="FJ68" i="2"/>
  <c r="FJ142" i="2"/>
  <c r="FJ161" i="2"/>
  <c r="FJ14" i="2"/>
  <c r="FJ124" i="2"/>
  <c r="FJ46" i="2"/>
  <c r="FJ75" i="2"/>
  <c r="FJ71" i="2"/>
  <c r="FJ195" i="2"/>
  <c r="FJ150" i="2"/>
  <c r="FJ12" i="2"/>
  <c r="FJ141" i="2"/>
  <c r="FJ69" i="2"/>
  <c r="FJ202" i="2"/>
  <c r="FJ59" i="2"/>
  <c r="FJ15" i="2"/>
  <c r="FJ197" i="2"/>
  <c r="FJ127" i="2"/>
  <c r="FJ30" i="2"/>
  <c r="FJ132" i="2"/>
  <c r="FJ193" i="2"/>
  <c r="FJ184" i="2"/>
  <c r="FJ199" i="2"/>
  <c r="FJ174" i="2"/>
  <c r="FJ97" i="2"/>
  <c r="FJ28" i="2"/>
  <c r="FJ80" i="2"/>
  <c r="FJ81" i="2"/>
  <c r="FJ18" i="2"/>
  <c r="FJ146" i="2"/>
  <c r="FJ149" i="2"/>
  <c r="FJ128" i="2"/>
  <c r="FJ27" i="2"/>
  <c r="FJ26" i="2"/>
  <c r="FJ11" i="2"/>
  <c r="FJ58" i="2"/>
  <c r="FJ140" i="2"/>
  <c r="FJ118" i="2"/>
  <c r="FJ125" i="2"/>
  <c r="FJ21" i="2"/>
  <c r="FJ121" i="2"/>
  <c r="FJ106" i="2"/>
  <c r="FJ91" i="2"/>
  <c r="FJ63" i="2"/>
  <c r="FJ134" i="2"/>
  <c r="FJ131" i="2"/>
  <c r="FJ19" i="2"/>
  <c r="FJ61" i="2"/>
  <c r="FJ110" i="2"/>
  <c r="FJ109" i="2"/>
  <c r="FJ133" i="2"/>
  <c r="FJ52" i="2"/>
  <c r="FJ101" i="2"/>
  <c r="FJ44" i="2"/>
  <c r="FJ189" i="2"/>
  <c r="FJ3" i="2"/>
  <c r="C13" i="4" s="1"/>
  <c r="E13" i="4" s="1"/>
  <c r="F13" i="4" s="1"/>
  <c r="G13" i="4" s="1"/>
  <c r="L13" i="4" s="1"/>
  <c r="FJ201" i="2"/>
  <c r="FJ96" i="2"/>
  <c r="FJ57" i="2"/>
  <c r="FJ176" i="2"/>
  <c r="FJ4" i="2"/>
  <c r="FJ13" i="2"/>
  <c r="FJ177" i="2"/>
  <c r="FJ187" i="2"/>
  <c r="FJ55" i="2"/>
  <c r="FJ144" i="2"/>
  <c r="FJ139" i="2"/>
  <c r="FJ130" i="2"/>
  <c r="FJ194" i="2"/>
  <c r="FJ163" i="2"/>
  <c r="FJ175" i="2"/>
  <c r="FJ17" i="2"/>
  <c r="FJ84" i="2"/>
  <c r="FJ119" i="2"/>
  <c r="FJ115" i="2"/>
  <c r="FJ39" i="2"/>
  <c r="FJ42" i="2"/>
  <c r="FJ82" i="2"/>
  <c r="FJ37" i="2"/>
  <c r="FJ41" i="2"/>
  <c r="FJ185" i="2"/>
  <c r="FJ86" i="2"/>
  <c r="FJ33" i="2"/>
  <c r="FJ89" i="2"/>
  <c r="FJ78" i="2"/>
  <c r="FJ200" i="2"/>
  <c r="FJ31" i="2"/>
  <c r="FJ64" i="2"/>
  <c r="FJ105" i="2"/>
  <c r="FJ73" i="2"/>
  <c r="FJ190" i="2"/>
  <c r="FJ53" i="2"/>
  <c r="FJ54" i="2"/>
  <c r="FJ165" i="2"/>
  <c r="FJ108" i="2"/>
  <c r="FJ117" i="2"/>
  <c r="FJ148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80" i="2" l="1"/>
  <c r="CD155" i="2"/>
  <c r="CD26" i="2"/>
  <c r="CD153" i="2"/>
  <c r="CD64" i="2"/>
  <c r="CD101" i="2"/>
  <c r="CD87" i="2"/>
  <c r="CD86" i="2"/>
  <c r="CD132" i="2"/>
  <c r="CD66" i="2"/>
  <c r="CD61" i="2"/>
  <c r="CD10" i="2"/>
  <c r="CD107" i="2"/>
  <c r="CD32" i="2"/>
  <c r="CD38" i="2"/>
  <c r="CD159" i="2"/>
  <c r="CD189" i="2"/>
  <c r="CD96" i="2"/>
  <c r="CD34" i="2"/>
  <c r="CD142" i="2"/>
  <c r="CD171" i="2"/>
  <c r="CD84" i="2"/>
  <c r="CD102" i="2"/>
  <c r="CD25" i="2"/>
  <c r="CD170" i="2"/>
  <c r="CD158" i="2"/>
  <c r="CD190" i="2"/>
  <c r="CD52" i="2"/>
  <c r="CD73" i="2"/>
  <c r="CD20" i="2"/>
  <c r="CD177" i="2"/>
  <c r="CD57" i="2"/>
  <c r="CD29" i="2"/>
  <c r="CD8" i="2"/>
  <c r="CD68" i="2"/>
  <c r="CD135" i="2"/>
  <c r="CD9" i="2"/>
  <c r="CD141" i="2"/>
  <c r="CD169" i="2"/>
  <c r="CD108" i="2"/>
  <c r="CD128" i="2"/>
  <c r="CD13" i="2"/>
  <c r="CD116" i="2"/>
  <c r="CD150" i="2"/>
  <c r="CD201" i="2"/>
  <c r="CD147" i="2"/>
  <c r="CD192" i="2"/>
  <c r="CD152" i="2"/>
  <c r="CD191" i="2"/>
  <c r="CD98" i="2"/>
  <c r="CD15" i="2"/>
  <c r="CD162" i="2"/>
  <c r="CD167" i="2"/>
  <c r="CD94" i="2"/>
  <c r="CD76" i="2"/>
  <c r="CD109" i="2"/>
  <c r="CD21" i="2"/>
  <c r="CD39" i="2"/>
  <c r="CD130" i="2"/>
  <c r="CD200" i="2"/>
  <c r="CD129" i="2"/>
  <c r="CD43" i="2"/>
  <c r="CD40" i="2"/>
  <c r="CD91" i="2"/>
  <c r="CD46" i="2"/>
  <c r="CD62" i="2"/>
  <c r="CD45" i="2"/>
  <c r="CD50" i="2"/>
  <c r="CD138" i="2"/>
  <c r="CD166" i="2"/>
  <c r="CD31" i="2"/>
  <c r="CD124" i="2"/>
  <c r="CD97" i="2"/>
  <c r="CD72" i="2"/>
  <c r="CD42" i="2"/>
  <c r="CD53" i="2"/>
  <c r="CD47" i="2"/>
  <c r="CD93" i="2"/>
  <c r="CD137" i="2"/>
  <c r="CD182" i="2"/>
  <c r="CD181" i="2"/>
  <c r="CD173" i="2"/>
  <c r="CD19" i="2"/>
  <c r="CD11" i="2"/>
  <c r="CD30" i="2"/>
  <c r="CD144" i="2"/>
  <c r="CD59" i="2"/>
  <c r="CD83" i="2"/>
  <c r="CD172" i="2"/>
  <c r="CD176" i="2"/>
  <c r="CD156" i="2"/>
  <c r="CD82" i="2"/>
  <c r="CD75" i="2"/>
  <c r="CD148" i="2"/>
  <c r="CD186" i="2"/>
  <c r="CD193" i="2"/>
  <c r="CD151" i="2"/>
  <c r="CD122" i="2"/>
  <c r="CD5" i="2"/>
  <c r="CD136" i="2"/>
  <c r="CD54" i="2"/>
  <c r="CD80" i="2"/>
  <c r="CD22" i="2"/>
  <c r="CD23" i="2"/>
  <c r="CD139" i="2"/>
  <c r="CD14" i="2"/>
  <c r="CD70" i="2"/>
  <c r="CD67" i="2"/>
  <c r="CD81" i="2"/>
  <c r="CD28" i="2"/>
  <c r="CD121" i="2"/>
  <c r="CD99" i="2"/>
  <c r="CD134" i="2"/>
  <c r="CD163" i="2"/>
  <c r="CD103" i="2"/>
  <c r="CD4" i="2"/>
  <c r="CD157" i="2"/>
  <c r="CD195" i="2"/>
  <c r="CD18" i="2"/>
  <c r="CD160" i="2"/>
  <c r="CD77" i="2"/>
  <c r="CD127" i="2"/>
  <c r="CD146" i="2"/>
  <c r="CD106" i="2"/>
  <c r="CD90" i="2"/>
  <c r="CD49" i="2"/>
  <c r="CD44" i="2"/>
  <c r="CD188" i="2"/>
  <c r="CD56" i="2"/>
  <c r="CD199" i="2"/>
  <c r="CD165" i="2"/>
  <c r="CD41" i="2"/>
  <c r="CD187" i="2"/>
  <c r="CD197" i="2"/>
  <c r="CD95" i="2"/>
  <c r="CD100" i="2"/>
  <c r="CD196" i="2"/>
  <c r="CD145" i="2"/>
  <c r="CD16" i="2"/>
  <c r="CD78" i="2"/>
  <c r="CD105" i="2"/>
  <c r="CD92" i="2"/>
  <c r="CD175" i="2"/>
  <c r="CD89" i="2"/>
  <c r="CD123" i="2"/>
  <c r="CD118" i="2"/>
  <c r="CD112" i="2"/>
  <c r="CD27" i="2"/>
  <c r="CD113" i="2"/>
  <c r="CD63" i="2"/>
  <c r="CD198" i="2"/>
  <c r="CD120" i="2"/>
  <c r="CD85" i="2"/>
  <c r="CD143" i="2"/>
  <c r="CD65" i="2"/>
  <c r="CD79" i="2"/>
  <c r="CD33" i="2"/>
  <c r="CD110" i="2"/>
  <c r="CD88" i="2"/>
  <c r="CD125" i="2"/>
  <c r="CD149" i="2"/>
  <c r="CD71" i="2"/>
  <c r="CD140" i="2"/>
  <c r="CD164" i="2"/>
  <c r="CD178" i="2"/>
  <c r="CD17" i="2"/>
  <c r="CD168" i="2"/>
  <c r="CD161" i="2"/>
  <c r="CD24" i="2"/>
  <c r="CD179" i="2"/>
  <c r="CD37" i="2"/>
  <c r="CD104" i="2"/>
  <c r="CD6" i="2"/>
  <c r="CD194" i="2"/>
  <c r="CD115" i="2"/>
  <c r="CD111" i="2"/>
  <c r="CD35" i="2"/>
  <c r="CD60" i="2"/>
  <c r="CD203" i="2"/>
  <c r="CD131" i="2"/>
  <c r="CD183" i="2"/>
  <c r="CD117" i="2"/>
  <c r="CD58" i="2"/>
  <c r="CD119" i="2"/>
  <c r="CD133" i="2"/>
  <c r="CD48" i="2"/>
  <c r="CD3" i="2"/>
  <c r="C9" i="4" s="1"/>
  <c r="E9" i="4" s="1"/>
  <c r="F9" i="4" s="1"/>
  <c r="G9" i="4" s="1"/>
  <c r="L9" i="4" s="1"/>
  <c r="CD51" i="2"/>
  <c r="CD12" i="2"/>
  <c r="CD55" i="2"/>
  <c r="CD74" i="2"/>
  <c r="CD126" i="2"/>
  <c r="CD185" i="2"/>
  <c r="CD69" i="2"/>
  <c r="CD184" i="2"/>
  <c r="CD154" i="2"/>
  <c r="CD202" i="2"/>
  <c r="CD36" i="2"/>
  <c r="CD114" i="2"/>
  <c r="CD174" i="2"/>
  <c r="CD7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<sst xmlns="http://schemas.openxmlformats.org/spreadsheetml/2006/main" count="1196" uniqueCount="337">
  <si>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</si>
  <si>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</si>
  <si>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</si>
  <si>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</si>
  <si>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</si>
  <si>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</si>
  <si>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</si>
  <si>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</si>
  <si>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</si>
  <si>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</si>
  <si>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</si>
  <si>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</si>
  <si>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</si>
  <si>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</si>
  <si>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</si>
  <si>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</si>
  <si>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</si>
  <si>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</si>
  <si>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</si>
  <si>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</si>
  <si>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</si>
  <si>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</si>
  <si>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</si>
  <si>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</si>
  <si>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</si>
  <si>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</si>
  <si>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</si>
  <si>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</si>
  <si>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</si>
  <si>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</si>
  <si>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</si>
  <si>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</si>
  <si>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</si>
  <si>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</si>
  <si>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</si>
  <si>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</si>
  <si>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</si>
  <si>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</si>
  <si>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</si>
  <si>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</si>
  <si>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</si>
  <si>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</si>
  <si>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</si>
  <si>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</si>
  <si>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</si>
  <si>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</si>
  <si>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</si>
  <si>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</si>
  <si>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</si>
  <si>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</si>
  <si>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</si>
  <si>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</si>
  <si>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</si>
  <si>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</si>
  <si>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</si>
  <si>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</si>
  <si>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</si>
  <si>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</si>
  <si>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</si>
  <si>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</si>
  <si>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</si>
  <si>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</si>
  <si>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</si>
  <si>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</si>
  <si>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</si>
  <si>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</si>
  <si>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</si>
  <si>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</si>
  <si>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</si>
  <si>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</si>
  <si>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</si>
  <si>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</si>
  <si>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</si>
  <si>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</si>
  <si>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</si>
  <si>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</si>
  <si>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</si>
  <si>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</si>
  <si>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</si>
  <si>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</si>
  <si>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</si>
  <si>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</si>
  <si>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</si>
  <si>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</si>
  <si>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</si>
  <si>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</si>
  <si>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</si>
  <si>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</si>
  <si>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</si>
  <si>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</si>
  <si>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</si>
  <si>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</si>
  <si>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</si>
  <si>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</si>
  <si>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</si>
  <si>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</si>
  <si>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</si>
  <si>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</si>
  <si>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</si>
  <si>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</si>
  <si>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</si>
  <si>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</si>
  <si>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</si>
  <si>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</si>
  <si>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</si>
  <si>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</si>
  <si>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</si>
  <si>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</si>
  <si>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</si>
  <si>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</si>
  <si>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</si>
  <si>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</si>
  <si>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</si>
  <si>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</si>
  <si>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</si>
  <si>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</si>
  <si>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</si>
  <si>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</si>
  <si>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</si>
  <si>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</si>
  <si>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</si>
  <si>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</si>
  <si>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</si>
  <si>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</si>
  <si>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</si>
  <si>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</si>
  <si>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</si>
  <si>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</si>
  <si>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</si>
  <si>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</si>
  <si>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</si>
  <si>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</si>
  <si>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</si>
  <si>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</si>
  <si>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</si>
  <si>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</si>
  <si>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</si>
  <si>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</si>
  <si>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</si>
  <si>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</si>
  <si>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</si>
  <si>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</si>
  <si>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</si>
  <si>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</si>
  <si>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</si>
  <si>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</si>
  <si>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</si>
  <si>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</si>
  <si>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</si>
  <si>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</si>
  <si>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</si>
  <si>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</si>
  <si>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</si>
  <si>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</si>
  <si>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</si>
  <si>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</si>
  <si>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</si>
  <si>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</si>
  <si>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</si>
  <si>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</si>
  <si>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</si>
  <si>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</si>
  <si>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</si>
  <si>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</si>
  <si>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</si>
  <si>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</si>
  <si>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</si>
  <si>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</si>
  <si>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</si>
  <si>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</si>
  <si>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</si>
  <si>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</si>
  <si>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</si>
  <si>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</si>
  <si>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</si>
  <si>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</si>
  <si>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</si>
  <si>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</si>
  <si>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</si>
  <si>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</si>
  <si>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</si>
  <si>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</si>
  <si>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</si>
  <si>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</si>
  <si>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</si>
  <si>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</si>
  <si>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</si>
  <si>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</si>
  <si>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</si>
  <si>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</si>
  <si>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</si>
  <si>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</si>
  <si>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</si>
  <si>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</si>
  <si>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</si>
  <si>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</si>
  <si>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</si>
  <si>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</si>
  <si>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</si>
  <si>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</si>
  <si>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</si>
  <si>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</si>
  <si>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</si>
  <si>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</si>
  <si>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</si>
  <si>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</si>
  <si>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</si>
  <si>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</si>
  <si>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</si>
  <si>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</si>
  <si>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</si>
  <si>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</si>
  <si>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</si>
  <si>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</si>
  <si>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</si>
  <si>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</si>
  <si>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</si>
  <si>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</si>
  <si>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</si>
  <si>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</si>
  <si>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</si>
  <si>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</si>
  <si>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</si>
  <si>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</si>
  <si>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</si>
  <si>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</si>
  <si>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</si>
  <si>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</si>
  <si>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</si>
  <si>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</si>
  <si>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</si>
  <si>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</si>
  <si>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</si>
  <si>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</si>
  <si>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</si>
  <si>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</si>
  <si>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</si>
  <si>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</si>
  <si>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</si>
  <si>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</si>
  <si>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</si>
  <si>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</si>
  <si>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</si>
  <si>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</si>
  <si>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</si>
  <si>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</si>
  <si>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</si>
  <si>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</si>
  <si>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</si>
  <si>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</si>
  <si>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</si>
  <si>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</si>
  <si>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</si>
  <si>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</si>
  <si>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</si>
  <si>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</si>
  <si>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</si>
  <si>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</si>
  <si>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</si>
  <si>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</si>
  <si>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</si>
  <si>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</si>
  <si>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</si>
  <si>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</si>
  <si>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</si>
  <si>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</si>
  <si>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</si>
  <si>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</si>
  <si>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</si>
  <si>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</si>
  <si>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</si>
  <si>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</si>
  <si>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</si>
  <si>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</si>
  <si>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</si>
  <si>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</si>
  <si>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</si>
  <si>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</si>
  <si>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</si>
  <si>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</si>
  <si>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</si>
  <si>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</si>
  <si>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</si>
  <si>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</si>
  <si>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</si>
  <si>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</si>
  <si>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</si>
  <si>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</si>
  <si>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</si>
  <si>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</si>
  <si>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</si>
  <si>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</si>
  <si>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</si>
  <si>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</si>
  <si>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</si>
  <si>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</si>
  <si>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</si>
  <si>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</si>
  <si>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</si>
  <si>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</si>
  <si>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</si>
  <si>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</si>
  <si>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</si>
  <si>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</si>
  <si>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</si>
  <si>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</si>
  <si>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</si>
  <si>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</si>
  <si>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</si>
  <si>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</si>
  <si>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</si>
  <si>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</si>
  <si>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</si>
  <si>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</si>
  <si>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</si>
  <si>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</si>
  <si>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</si>
  <si>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</si>
  <si>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</si>
  <si>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</si>
  <si>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</si>
  <si>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</si>
  <si>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</si>
  <si>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</si>
  <si>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</si>
  <si>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54</t>
  </si>
  <si>
    <t>26</t>
  </si>
  <si>
    <t>27</t>
  </si>
  <si>
    <t>24</t>
  </si>
  <si>
    <t>23</t>
  </si>
  <si>
    <t>21</t>
  </si>
  <si>
    <t>20</t>
  </si>
  <si>
    <t>18</t>
  </si>
  <si>
    <t>16</t>
  </si>
  <si>
    <t>15</t>
  </si>
  <si>
    <t>14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</si>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</sst>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3 3" xfId="3" xr:uid="{B5DAF93A-7C0A-4FF1-859C-DAD70E8724B7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2.9974315763059121</c:v>
                </c:pt>
                <c:pt idx="2">
                  <c:v>3.4845337529671969</c:v>
                </c:pt>
                <c:pt idx="3">
                  <c:v>4.0510782789769495</c:v>
                </c:pt>
                <c:pt idx="4">
                  <c:v>4.710065438094821</c:v>
                </c:pt>
                <c:pt idx="5">
                  <c:v>5.476629669407739</c:v>
                </c:pt>
                <c:pt idx="6">
                  <c:v>6.3683909445411908</c:v>
                </c:pt>
                <c:pt idx="7">
                  <c:v>7.4058641541603079</c:v>
                </c:pt>
                <c:pt idx="8">
                  <c:v>8.6129361044315829</c:v>
                </c:pt>
                <c:pt idx="9">
                  <c:v>10.017421316663141</c:v>
                </c:pt>
                <c:pt idx="10">
                  <c:v>11.65170968060495</c:v>
                </c:pt>
                <c:pt idx="11">
                  <c:v>13.553521177953826</c:v>
                </c:pt>
                <c:pt idx="12">
                  <c:v>15.766785418909523</c:v>
                </c:pt>
                <c:pt idx="13">
                  <c:v>18.342666681188227</c:v>
                </c:pt>
                <c:pt idx="14">
                  <c:v>21.340758577754681</c:v>
                </c:pt>
                <c:pt idx="15">
                  <c:v>24.830476488412277</c:v>
                </c:pt>
                <c:pt idx="16">
                  <c:v>28.892680566663927</c:v>
                </c:pt>
                <c:pt idx="17">
                  <c:v>33.621567588223691</c:v>
                </c:pt>
                <c:pt idx="18">
                  <c:v>39.126876271110284</c:v>
                </c:pt>
                <c:pt idx="19">
                  <c:v>45.536458120973201</c:v>
                </c:pt>
                <c:pt idx="20">
                  <c:v>52.999274516109828</c:v>
                </c:pt>
                <c:pt idx="21">
                  <c:v>61.68889085100674</c:v>
                </c:pt>
                <c:pt idx="22">
                  <c:v>71.807550346181259</c:v>
                </c:pt>
                <c:pt idx="23">
                  <c:v>83.590923886895695</c:v>
                </c:pt>
                <c:pt idx="24">
                  <c:v>97.313648302293402</c:v>
                </c:pt>
                <c:pt idx="25">
                  <c:v>113.29578422289764</c:v>
                </c:pt>
                <c:pt idx="26">
                  <c:v>131.91034650556398</c:v>
                </c:pt>
                <c:pt idx="27">
                  <c:v>153.59208571306985</c:v>
                </c:pt>
                <c:pt idx="28">
                  <c:v>178.84772889012743</c:v>
                </c:pt>
                <c:pt idx="29">
                  <c:v>208.26792260030109</c:v>
                </c:pt>
                <c:pt idx="30">
                  <c:v>242.5411617098018</c:v>
                </c:pt>
                <c:pt idx="31">
                  <c:v>260.72829270329612</c:v>
                </c:pt>
                <c:pt idx="32">
                  <c:v>278.88678027782959</c:v>
                </c:pt>
                <c:pt idx="33">
                  <c:v>297.01875151773726</c:v>
                </c:pt>
                <c:pt idx="34">
                  <c:v>315.12605256353282</c:v>
                </c:pt>
                <c:pt idx="35">
                  <c:v>267.74028625230409</c:v>
                </c:pt>
                <c:pt idx="36">
                  <c:v>289.08283935417683</c:v>
                </c:pt>
                <c:pt idx="37">
                  <c:v>310.39017749785035</c:v>
                </c:pt>
                <c:pt idx="38">
                  <c:v>331.66505692962431</c:v>
                </c:pt>
                <c:pt idx="39">
                  <c:v>352.90985146607812</c:v>
                </c:pt>
                <c:pt idx="40">
                  <c:v>374.12662586444998</c:v>
                </c:pt>
                <c:pt idx="41">
                  <c:v>395.31719166884869</c:v>
                </c:pt>
                <c:pt idx="42">
                  <c:v>416.48315045167465</c:v>
                </c:pt>
                <c:pt idx="43">
                  <c:v>340.30251384897196</c:v>
                </c:pt>
                <c:pt idx="44">
                  <c:v>361.8199020438098</c:v>
                </c:pt>
                <c:pt idx="45">
                  <c:v>383.30932376432725</c:v>
                </c:pt>
                <c:pt idx="46">
                  <c:v>404.77256638639187</c:v>
                </c:pt>
                <c:pt idx="47">
                  <c:v>426.21121236078301</c:v>
                </c:pt>
                <c:pt idx="48">
                  <c:v>447.62667204523387</c:v>
                </c:pt>
                <c:pt idx="49">
                  <c:v>469.02020992565139</c:v>
                </c:pt>
                <c:pt idx="50">
                  <c:v>490.39296580436968</c:v>
                </c:pt>
                <c:pt idx="51">
                  <c:v>398.61363500790065</c:v>
                </c:pt>
                <c:pt idx="52">
                  <c:v>419.44768263313517</c:v>
                </c:pt>
                <c:pt idx="53">
                  <c:v>440.25944463759407</c:v>
                </c:pt>
                <c:pt idx="54">
                  <c:v>461.05012196058482</c:v>
                </c:pt>
                <c:pt idx="55">
                  <c:v>481.82079846571759</c:v>
                </c:pt>
                <c:pt idx="56">
                  <c:v>502.57245701188526</c:v>
                </c:pt>
                <c:pt idx="57">
                  <c:v>523.30599273245093</c:v>
                </c:pt>
                <c:pt idx="58">
                  <c:v>544.02222410117713</c:v>
                </c:pt>
                <c:pt idx="59">
                  <c:v>461.88622201650156</c:v>
                </c:pt>
                <c:pt idx="60">
                  <c:v>481.71745820316823</c:v>
                </c:pt>
                <c:pt idx="61">
                  <c:v>501.53135361473227</c:v>
                </c:pt>
                <c:pt idx="62">
                  <c:v>521.32868923852891</c:v>
                </c:pt>
                <c:pt idx="63">
                  <c:v>541.11018195217696</c:v>
                </c:pt>
                <c:pt idx="64">
                  <c:v>560.87649198510837</c:v>
                </c:pt>
                <c:pt idx="65">
                  <c:v>580.62822927408149</c:v>
                </c:pt>
                <c:pt idx="66">
                  <c:v>600.36595890940828</c:v>
                </c:pt>
                <c:pt idx="67">
                  <c:v>502.94070414101151</c:v>
                </c:pt>
                <c:pt idx="68">
                  <c:v>521.59004623311682</c:v>
                </c:pt>
                <c:pt idx="69">
                  <c:v>540.2253370655734</c:v>
                </c:pt>
                <c:pt idx="70">
                  <c:v>558.84712923056668</c:v>
                </c:pt>
                <c:pt idx="71">
                  <c:v>577.45593551729269</c:v>
                </c:pt>
                <c:pt idx="72">
                  <c:v>596.05223299534885</c:v>
                </c:pt>
                <c:pt idx="73">
                  <c:v>614.63646656233891</c:v>
                </c:pt>
                <c:pt idx="74">
                  <c:v>633.20905204038047</c:v>
                </c:pt>
                <c:pt idx="75">
                  <c:v>537.81290608181098</c:v>
                </c:pt>
                <c:pt idx="76">
                  <c:v>555.33744368026464</c:v>
                </c:pt>
                <c:pt idx="77">
                  <c:v>572.85040048774454</c:v>
                </c:pt>
                <c:pt idx="78">
                  <c:v>590.35218015811222</c:v>
                </c:pt>
                <c:pt idx="79">
                  <c:v>607.84316047689174</c:v>
                </c:pt>
                <c:pt idx="80">
                  <c:v>625.32369573093172</c:v>
                </c:pt>
                <c:pt idx="81">
                  <c:v>642.79411879949566</c:v>
                </c:pt>
                <c:pt idx="82">
                  <c:v>660.25474300635346</c:v>
                </c:pt>
                <c:pt idx="83">
                  <c:v>590.76891945364571</c:v>
                </c:pt>
                <c:pt idx="84">
                  <c:v>607.60320673099829</c:v>
                </c:pt>
                <c:pt idx="85">
                  <c:v>624.42781422919745</c:v>
                </c:pt>
                <c:pt idx="86">
                  <c:v>641.24303930474116</c:v>
                </c:pt>
                <c:pt idx="87">
                  <c:v>658.04916245917707</c:v>
                </c:pt>
                <c:pt idx="88">
                  <c:v>674.84644870935722</c:v>
                </c:pt>
                <c:pt idx="89">
                  <c:v>691.63514881427307</c:v>
                </c:pt>
                <c:pt idx="90">
                  <c:v>708.41550037667423</c:v>
                </c:pt>
                <c:pt idx="91">
                  <c:v>623.61207641403485</c:v>
                </c:pt>
                <c:pt idx="92">
                  <c:v>639.82816810516135</c:v>
                </c:pt>
                <c:pt idx="93">
                  <c:v>656.03577424959133</c:v>
                </c:pt>
                <c:pt idx="94">
                  <c:v>672.23513386177876</c:v>
                </c:pt>
                <c:pt idx="95">
                  <c:v>688.4264735062676</c:v>
                </c:pt>
                <c:pt idx="96">
                  <c:v>704.61000822975029</c:v>
                </c:pt>
                <c:pt idx="97">
                  <c:v>720.78594240311315</c:v>
                </c:pt>
                <c:pt idx="98">
                  <c:v>736.95447048402605</c:v>
                </c:pt>
                <c:pt idx="99">
                  <c:v>753.11577770918359</c:v>
                </c:pt>
                <c:pt idx="100">
                  <c:v>769.27004072409318</c:v>
                </c:pt>
                <c:pt idx="101">
                  <c:v>648.73133604022132</c:v>
                </c:pt>
                <c:pt idx="102">
                  <c:v>664.25964876321927</c:v>
                </c:pt>
                <c:pt idx="103">
                  <c:v>679.78049469737095</c:v>
                </c:pt>
                <c:pt idx="104">
                  <c:v>695.29406821897646</c:v>
                </c:pt>
                <c:pt idx="105">
                  <c:v>710.80055432967572</c:v>
                </c:pt>
                <c:pt idx="106">
                  <c:v>726.30012930743453</c:v>
                </c:pt>
                <c:pt idx="107">
                  <c:v>741.792961299117</c:v>
                </c:pt>
                <c:pt idx="108">
                  <c:v>757.2792108610189</c:v>
                </c:pt>
                <c:pt idx="109">
                  <c:v>772.75903145292807</c:v>
                </c:pt>
                <c:pt idx="110">
                  <c:v>788.23256989057256</c:v>
                </c:pt>
                <c:pt idx="111">
                  <c:v>696.89521268770659</c:v>
                </c:pt>
                <c:pt idx="112">
                  <c:v>712.19597420058608</c:v>
                </c:pt>
                <c:pt idx="113">
                  <c:v>727.49002122858758</c:v>
                </c:pt>
                <c:pt idx="114">
                  <c:v>742.77751470651219</c:v>
                </c:pt>
                <c:pt idx="115">
                  <c:v>758.05860840987009</c:v>
                </c:pt>
                <c:pt idx="116">
                  <c:v>773.3334494142282</c:v>
                </c:pt>
                <c:pt idx="117">
                  <c:v>788.60217851640891</c:v>
                </c:pt>
                <c:pt idx="118">
                  <c:v>803.86493062140528</c:v>
                </c:pt>
                <c:pt idx="119">
                  <c:v>819.12183509840895</c:v>
                </c:pt>
                <c:pt idx="120">
                  <c:v>834.37301610896054</c:v>
                </c:pt>
                <c:pt idx="121">
                  <c:v>754.05224956693019</c:v>
                </c:pt>
                <c:pt idx="122">
                  <c:v>769.32462263062769</c:v>
                </c:pt>
                <c:pt idx="123">
                  <c:v>784.59085071610809</c:v>
                </c:pt>
                <c:pt idx="124">
                  <c:v>799.85107013031484</c:v>
                </c:pt>
                <c:pt idx="125">
                  <c:v>815.10541155969076</c:v>
                </c:pt>
                <c:pt idx="126">
                  <c:v>830.35400040493721</c:v>
                </c:pt>
                <c:pt idx="127">
                  <c:v>845.59695708992922</c:v>
                </c:pt>
                <c:pt idx="128">
                  <c:v>860.83439734722162</c:v>
                </c:pt>
                <c:pt idx="129">
                  <c:v>876.06643248231092</c:v>
                </c:pt>
                <c:pt idx="130">
                  <c:v>891.29316961858092</c:v>
                </c:pt>
                <c:pt idx="131">
                  <c:v>797.47582945186105</c:v>
                </c:pt>
                <c:pt idx="132">
                  <c:v>812.83739401357309</c:v>
                </c:pt>
                <c:pt idx="133">
                  <c:v>828.1931069270812</c:v>
                </c:pt>
                <c:pt idx="134">
                  <c:v>843.54309187193212</c:v>
                </c:pt>
                <c:pt idx="135">
                  <c:v>858.8874676638942</c:v>
                </c:pt>
                <c:pt idx="136">
                  <c:v>874.22634853148111</c:v>
                </c:pt>
                <c:pt idx="137">
                  <c:v>889.55984437208008</c:v>
                </c:pt>
                <c:pt idx="138">
                  <c:v>904.88806098952307</c:v>
                </c:pt>
                <c:pt idx="139">
                  <c:v>920.21110031473916</c:v>
                </c:pt>
                <c:pt idx="140">
                  <c:v>935.52906061096826</c:v>
                </c:pt>
                <c:pt idx="141">
                  <c:v>843.75965135904744</c:v>
                </c:pt>
                <c:pt idx="142">
                  <c:v>859.12164849895373</c:v>
                </c:pt>
                <c:pt idx="143">
                  <c:v>874.47813974063922</c:v>
                </c:pt>
                <c:pt idx="144">
                  <c:v>889.82923529548418</c:v>
                </c:pt>
                <c:pt idx="145">
                  <c:v>905.17504126615529</c:v>
                </c:pt>
                <c:pt idx="146">
                  <c:v>920.51565986826063</c:v>
                </c:pt>
                <c:pt idx="147">
                  <c:v>935.85118963647767</c:v>
                </c:pt>
                <c:pt idx="148">
                  <c:v>951.18172561648464</c:v>
                </c:pt>
                <c:pt idx="149">
                  <c:v>966.50735954388858</c:v>
                </c:pt>
                <c:pt idx="150">
                  <c:v>981.82818001123132</c:v>
                </c:pt>
                <c:pt idx="151">
                  <c:v>619.88518748723288</c:v>
                </c:pt>
                <c:pt idx="152">
                  <c:v>630.02135794064941</c:v>
                </c:pt>
                <c:pt idx="153">
                  <c:v>640.15415577029569</c:v>
                </c:pt>
                <c:pt idx="154">
                  <c:v>420.15937943019213</c:v>
                </c:pt>
                <c:pt idx="155">
                  <c:v>426.03161851040153</c:v>
                </c:pt>
                <c:pt idx="156">
                  <c:v>431.90211664565783</c:v>
                </c:pt>
                <c:pt idx="157">
                  <c:v>294.62699092336368</c:v>
                </c:pt>
                <c:pt idx="158">
                  <c:v>298.10830475285957</c:v>
                </c:pt>
                <c:pt idx="159">
                  <c:v>301.58871245387519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3.6730282214288827</c:v>
                </c:pt>
                <c:pt idx="2">
                  <c:v>5.0830721403463937</c:v>
                </c:pt>
                <c:pt idx="3">
                  <c:v>7.036679533704671</c:v>
                </c:pt>
                <c:pt idx="4">
                  <c:v>9.7442075368743222</c:v>
                </c:pt>
                <c:pt idx="5">
                  <c:v>13.497714670318894</c:v>
                </c:pt>
                <c:pt idx="6">
                  <c:v>18.702798513212141</c:v>
                </c:pt>
                <c:pt idx="7">
                  <c:v>25.92287762963684</c:v>
                </c:pt>
                <c:pt idx="8">
                  <c:v>35.940795178890447</c:v>
                </c:pt>
                <c:pt idx="9">
                  <c:v>49.844538070800986</c:v>
                </c:pt>
                <c:pt idx="10">
                  <c:v>69.146536639181463</c:v>
                </c:pt>
                <c:pt idx="11">
                  <c:v>89.481359471532414</c:v>
                </c:pt>
                <c:pt idx="12">
                  <c:v>109.69969907041973</c:v>
                </c:pt>
                <c:pt idx="13">
                  <c:v>129.82617251251659</c:v>
                </c:pt>
                <c:pt idx="14">
                  <c:v>149.87707112836947</c:v>
                </c:pt>
                <c:pt idx="15">
                  <c:v>169.8639461155727</c:v>
                </c:pt>
                <c:pt idx="16">
                  <c:v>195.22253928938787</c:v>
                </c:pt>
                <c:pt idx="17">
                  <c:v>220.50453226750395</c:v>
                </c:pt>
                <c:pt idx="18">
                  <c:v>245.71994542966834</c:v>
                </c:pt>
                <c:pt idx="19">
                  <c:v>270.87657100003173</c:v>
                </c:pt>
                <c:pt idx="20">
                  <c:v>295.98063417932605</c:v>
                </c:pt>
                <c:pt idx="21">
                  <c:v>197.48280714753739</c:v>
                </c:pt>
                <c:pt idx="22">
                  <c:v>220.50453226750395</c:v>
                </c:pt>
                <c:pt idx="23">
                  <c:v>243.47106182824413</c:v>
                </c:pt>
                <c:pt idx="24">
                  <c:v>266.38833386373528</c:v>
                </c:pt>
                <c:pt idx="25">
                  <c:v>289.26118046969754</c:v>
                </c:pt>
                <c:pt idx="26">
                  <c:v>252.91325418581559</c:v>
                </c:pt>
                <c:pt idx="27">
                  <c:v>274.91455293818166</c:v>
                </c:pt>
                <c:pt idx="28">
                  <c:v>296.87630238617862</c:v>
                </c:pt>
                <c:pt idx="29">
                  <c:v>318.80183833443067</c:v>
                </c:pt>
                <c:pt idx="30">
                  <c:v>340.6940002860228</c:v>
                </c:pt>
                <c:pt idx="31">
                  <c:v>300.90606654813729</c:v>
                </c:pt>
                <c:pt idx="32">
                  <c:v>321.48425180635394</c:v>
                </c:pt>
                <c:pt idx="33">
                  <c:v>342.03330890235503</c:v>
                </c:pt>
                <c:pt idx="34">
                  <c:v>362.55523309892413</c:v>
                </c:pt>
                <c:pt idx="35">
                  <c:v>383.05177541071208</c:v>
                </c:pt>
                <c:pt idx="36">
                  <c:v>342.4797194558883</c:v>
                </c:pt>
                <c:pt idx="37">
                  <c:v>362.10938015631001</c:v>
                </c:pt>
                <c:pt idx="38">
                  <c:v>381.71578669021255</c:v>
                </c:pt>
                <c:pt idx="39">
                  <c:v>401.30030091052237</c:v>
                </c:pt>
                <c:pt idx="40">
                  <c:v>420.864140955106</c:v>
                </c:pt>
                <c:pt idx="41">
                  <c:v>378.59808340312696</c:v>
                </c:pt>
                <c:pt idx="42">
                  <c:v>396.40615590256056</c:v>
                </c:pt>
                <c:pt idx="43">
                  <c:v>414.19690225230175</c:v>
                </c:pt>
                <c:pt idx="44">
                  <c:v>431.97117107689922</c:v>
                </c:pt>
                <c:pt idx="45">
                  <c:v>449.72973549516246</c:v>
                </c:pt>
                <c:pt idx="46">
                  <c:v>408.416756548705</c:v>
                </c:pt>
                <c:pt idx="47">
                  <c:v>424.86338979756653</c:v>
                </c:pt>
                <c:pt idx="48">
                  <c:v>441.29632927906988</c:v>
                </c:pt>
                <c:pt idx="49">
                  <c:v>457.71615652908685</c:v>
                </c:pt>
                <c:pt idx="50">
                  <c:v>474.12340797215165</c:v>
                </c:pt>
                <c:pt idx="51">
                  <c:v>435.52411678963432</c:v>
                </c:pt>
                <c:pt idx="52">
                  <c:v>450.17350463671522</c:v>
                </c:pt>
                <c:pt idx="53">
                  <c:v>464.81269749872439</c:v>
                </c:pt>
                <c:pt idx="54">
                  <c:v>479.44206160972567</c:v>
                </c:pt>
                <c:pt idx="55">
                  <c:v>494.06193903689768</c:v>
                </c:pt>
                <c:pt idx="56">
                  <c:v>456.38529460741091</c:v>
                </c:pt>
                <c:pt idx="57">
                  <c:v>469.69022691951341</c:v>
                </c:pt>
                <c:pt idx="58">
                  <c:v>482.98713293042402</c:v>
                </c:pt>
                <c:pt idx="59">
                  <c:v>496.27626470453976</c:v>
                </c:pt>
                <c:pt idx="60">
                  <c:v>509.55785970842743</c:v>
                </c:pt>
                <c:pt idx="61">
                  <c:v>475.45318983876706</c:v>
                </c:pt>
                <c:pt idx="62">
                  <c:v>487.86070439311379</c:v>
                </c:pt>
                <c:pt idx="63">
                  <c:v>500.26152412217448</c:v>
                </c:pt>
                <c:pt idx="64">
                  <c:v>512.65583834806694</c:v>
                </c:pt>
                <c:pt idx="65">
                  <c:v>525.04382649327351</c:v>
                </c:pt>
                <c:pt idx="66">
                  <c:v>491.84740297234742</c:v>
                </c:pt>
                <c:pt idx="67">
                  <c:v>502.91798999726456</c:v>
                </c:pt>
                <c:pt idx="68">
                  <c:v>513.98342229938953</c:v>
                </c:pt>
                <c:pt idx="69">
                  <c:v>525.04382649327351</c:v>
                </c:pt>
                <c:pt idx="70">
                  <c:v>536.099323424212</c:v>
                </c:pt>
                <c:pt idx="71">
                  <c:v>506.01682508175622</c:v>
                </c:pt>
                <c:pt idx="72">
                  <c:v>515.75342165232314</c:v>
                </c:pt>
                <c:pt idx="73">
                  <c:v>525.48613980439268</c:v>
                </c:pt>
                <c:pt idx="74">
                  <c:v>535.21506150486687</c:v>
                </c:pt>
                <c:pt idx="75">
                  <c:v>544.94026549750731</c:v>
                </c:pt>
                <c:pt idx="76">
                  <c:v>518.4081804575975</c:v>
                </c:pt>
                <c:pt idx="77">
                  <c:v>527.25531469060445</c:v>
                </c:pt>
                <c:pt idx="78">
                  <c:v>536.099323424212</c:v>
                </c:pt>
                <c:pt idx="79">
                  <c:v>544.94026549750731</c:v>
                </c:pt>
                <c:pt idx="80">
                  <c:v>553.77819768444851</c:v>
                </c:pt>
                <c:pt idx="81">
                  <c:v>528.58211378930434</c:v>
                </c:pt>
                <c:pt idx="82">
                  <c:v>536.54144288093755</c:v>
                </c:pt>
                <c:pt idx="83">
                  <c:v>544.49829034246511</c:v>
                </c:pt>
                <c:pt idx="84">
                  <c:v>552.45269756028677</c:v>
                </c:pt>
                <c:pt idx="85">
                  <c:v>560.40470463156919</c:v>
                </c:pt>
                <c:pt idx="86">
                  <c:v>536.099323424212</c:v>
                </c:pt>
                <c:pt idx="87">
                  <c:v>542.7303143394812</c:v>
                </c:pt>
                <c:pt idx="88">
                  <c:v>549.35960435614891</c:v>
                </c:pt>
                <c:pt idx="89">
                  <c:v>555.98721690157754</c:v>
                </c:pt>
                <c:pt idx="90">
                  <c:v>562.61317479886077</c:v>
                </c:pt>
                <c:pt idx="91">
                  <c:v>542.7303143394812</c:v>
                </c:pt>
                <c:pt idx="92">
                  <c:v>549.35960435614891</c:v>
                </c:pt>
                <c:pt idx="93">
                  <c:v>555.98721690157754</c:v>
                </c:pt>
                <c:pt idx="94">
                  <c:v>562.61317479886077</c:v>
                </c:pt>
                <c:pt idx="95">
                  <c:v>569.23750028949542</c:v>
                </c:pt>
                <c:pt idx="96">
                  <c:v>549.35960435614891</c:v>
                </c:pt>
                <c:pt idx="97">
                  <c:v>555.98721690157754</c:v>
                </c:pt>
                <c:pt idx="98">
                  <c:v>562.61317479886077</c:v>
                </c:pt>
                <c:pt idx="99">
                  <c:v>569.23750028949542</c:v>
                </c:pt>
                <c:pt idx="100">
                  <c:v>575.86021505494898</c:v>
                </c:pt>
                <c:pt idx="101">
                  <c:v>549.35960435614891</c:v>
                </c:pt>
                <c:pt idx="102">
                  <c:v>549.35960435614891</c:v>
                </c:pt>
                <c:pt idx="103">
                  <c:v>549.35960435614891</c:v>
                </c:pt>
                <c:pt idx="104">
                  <c:v>549.35960435614891</c:v>
                </c:pt>
                <c:pt idx="105">
                  <c:v>549.35960435614891</c:v>
                </c:pt>
                <c:pt idx="106">
                  <c:v>549.35960435614891</c:v>
                </c:pt>
                <c:pt idx="107">
                  <c:v>549.35960435614891</c:v>
                </c:pt>
                <c:pt idx="108">
                  <c:v>549.35960435614891</c:v>
                </c:pt>
                <c:pt idx="109">
                  <c:v>549.35960435614891</c:v>
                </c:pt>
                <c:pt idx="110">
                  <c:v>549.35960435614891</c:v>
                </c:pt>
                <c:pt idx="111">
                  <c:v>549.35960435614891</c:v>
                </c:pt>
                <c:pt idx="112">
                  <c:v>549.35960435614891</c:v>
                </c:pt>
                <c:pt idx="113">
                  <c:v>549.35960435614891</c:v>
                </c:pt>
                <c:pt idx="114">
                  <c:v>549.35960435614891</c:v>
                </c:pt>
                <c:pt idx="115">
                  <c:v>549.35960435614891</c:v>
                </c:pt>
                <c:pt idx="116">
                  <c:v>549.35960435614891</c:v>
                </c:pt>
                <c:pt idx="117">
                  <c:v>549.35960435614891</c:v>
                </c:pt>
                <c:pt idx="118">
                  <c:v>549.35960435614891</c:v>
                </c:pt>
                <c:pt idx="119">
                  <c:v>549.35960435614891</c:v>
                </c:pt>
                <c:pt idx="120">
                  <c:v>549.35960435614891</c:v>
                </c:pt>
                <c:pt idx="121">
                  <c:v>549.35960435614891</c:v>
                </c:pt>
                <c:pt idx="122">
                  <c:v>549.35960435614891</c:v>
                </c:pt>
                <c:pt idx="123">
                  <c:v>549.35960435614891</c:v>
                </c:pt>
                <c:pt idx="124">
                  <c:v>549.35960435614891</c:v>
                </c:pt>
                <c:pt idx="125">
                  <c:v>549.35960435614891</c:v>
                </c:pt>
                <c:pt idx="126">
                  <c:v>549.35960435614891</c:v>
                </c:pt>
                <c:pt idx="127">
                  <c:v>549.35960435614891</c:v>
                </c:pt>
                <c:pt idx="128">
                  <c:v>549.35960435614891</c:v>
                </c:pt>
                <c:pt idx="129">
                  <c:v>549.35960435614891</c:v>
                </c:pt>
                <c:pt idx="130">
                  <c:v>549.35960435614891</c:v>
                </c:pt>
                <c:pt idx="131">
                  <c:v>549.35960435614891</c:v>
                </c:pt>
                <c:pt idx="132">
                  <c:v>549.35960435614891</c:v>
                </c:pt>
                <c:pt idx="133">
                  <c:v>549.35960435614891</c:v>
                </c:pt>
                <c:pt idx="134">
                  <c:v>549.35960435614891</c:v>
                </c:pt>
                <c:pt idx="135">
                  <c:v>549.35960435614891</c:v>
                </c:pt>
                <c:pt idx="136">
                  <c:v>549.35960435614891</c:v>
                </c:pt>
                <c:pt idx="137">
                  <c:v>549.35960435614891</c:v>
                </c:pt>
                <c:pt idx="138">
                  <c:v>549.35960435614891</c:v>
                </c:pt>
                <c:pt idx="139">
                  <c:v>549.35960435614891</c:v>
                </c:pt>
                <c:pt idx="140">
                  <c:v>549.35960435614891</c:v>
                </c:pt>
                <c:pt idx="141">
                  <c:v>549.35960435614891</c:v>
                </c:pt>
                <c:pt idx="142">
                  <c:v>549.35960435614891</c:v>
                </c:pt>
                <c:pt idx="143">
                  <c:v>549.35960435614891</c:v>
                </c:pt>
                <c:pt idx="144">
                  <c:v>549.35960435614891</c:v>
                </c:pt>
                <c:pt idx="145">
                  <c:v>549.35960435614891</c:v>
                </c:pt>
                <c:pt idx="146">
                  <c:v>549.35960435614891</c:v>
                </c:pt>
                <c:pt idx="147">
                  <c:v>549.35960435614891</c:v>
                </c:pt>
                <c:pt idx="148">
                  <c:v>549.35960435614891</c:v>
                </c:pt>
                <c:pt idx="149">
                  <c:v>549.35960435614891</c:v>
                </c:pt>
                <c:pt idx="150">
                  <c:v>549.35960435614891</c:v>
                </c:pt>
                <c:pt idx="151">
                  <c:v>549.35960435614891</c:v>
                </c:pt>
                <c:pt idx="152">
                  <c:v>549.35960435614891</c:v>
                </c:pt>
                <c:pt idx="153">
                  <c:v>549.35960435614891</c:v>
                </c:pt>
                <c:pt idx="154">
                  <c:v>549.35960435614891</c:v>
                </c:pt>
                <c:pt idx="155">
                  <c:v>549.35960435614891</c:v>
                </c:pt>
                <c:pt idx="156">
                  <c:v>549.35960435614891</c:v>
                </c:pt>
                <c:pt idx="157">
                  <c:v>549.35960435614891</c:v>
                </c:pt>
                <c:pt idx="158">
                  <c:v>549.35960435614891</c:v>
                </c:pt>
                <c:pt idx="159">
                  <c:v>549.35960435614891</c:v>
                </c:pt>
                <c:pt idx="160">
                  <c:v>549.35960435614891</c:v>
                </c:pt>
                <c:pt idx="161">
                  <c:v>549.35960435614891</c:v>
                </c:pt>
                <c:pt idx="162">
                  <c:v>549.35960435614891</c:v>
                </c:pt>
                <c:pt idx="163">
                  <c:v>549.35960435614891</c:v>
                </c:pt>
                <c:pt idx="164">
                  <c:v>549.35960435614891</c:v>
                </c:pt>
                <c:pt idx="165">
                  <c:v>549.35960435614891</c:v>
                </c:pt>
                <c:pt idx="166">
                  <c:v>549.35960435614891</c:v>
                </c:pt>
                <c:pt idx="167">
                  <c:v>549.35960435614891</c:v>
                </c:pt>
                <c:pt idx="168">
                  <c:v>549.35960435614891</c:v>
                </c:pt>
                <c:pt idx="169">
                  <c:v>549.35960435614891</c:v>
                </c:pt>
                <c:pt idx="170">
                  <c:v>549.35960435614891</c:v>
                </c:pt>
                <c:pt idx="171">
                  <c:v>549.35960435614891</c:v>
                </c:pt>
                <c:pt idx="172">
                  <c:v>549.35960435614891</c:v>
                </c:pt>
                <c:pt idx="173">
                  <c:v>549.35960435614891</c:v>
                </c:pt>
                <c:pt idx="174">
                  <c:v>549.35960435614891</c:v>
                </c:pt>
                <c:pt idx="175">
                  <c:v>549.35960435614891</c:v>
                </c:pt>
                <c:pt idx="176">
                  <c:v>549.35960435614891</c:v>
                </c:pt>
                <c:pt idx="177">
                  <c:v>549.35960435614891</c:v>
                </c:pt>
                <c:pt idx="178">
                  <c:v>549.35960435614891</c:v>
                </c:pt>
                <c:pt idx="179">
                  <c:v>549.35960435614891</c:v>
                </c:pt>
                <c:pt idx="180">
                  <c:v>549.35960435614891</c:v>
                </c:pt>
                <c:pt idx="181">
                  <c:v>549.35960435614891</c:v>
                </c:pt>
                <c:pt idx="182">
                  <c:v>549.35960435614891</c:v>
                </c:pt>
                <c:pt idx="183">
                  <c:v>549.35960435614891</c:v>
                </c:pt>
                <c:pt idx="184">
                  <c:v>549.35960435614891</c:v>
                </c:pt>
                <c:pt idx="185">
                  <c:v>549.35960435614891</c:v>
                </c:pt>
                <c:pt idx="186">
                  <c:v>549.35960435614891</c:v>
                </c:pt>
                <c:pt idx="187">
                  <c:v>549.35960435614891</c:v>
                </c:pt>
                <c:pt idx="188">
                  <c:v>549.35960435614891</c:v>
                </c:pt>
                <c:pt idx="189">
                  <c:v>549.35960435614891</c:v>
                </c:pt>
                <c:pt idx="190">
                  <c:v>549.35960435614891</c:v>
                </c:pt>
                <c:pt idx="191">
                  <c:v>549.35960435614891</c:v>
                </c:pt>
                <c:pt idx="192">
                  <c:v>549.35960435614891</c:v>
                </c:pt>
                <c:pt idx="193">
                  <c:v>549.35960435614891</c:v>
                </c:pt>
                <c:pt idx="194">
                  <c:v>549.35960435614891</c:v>
                </c:pt>
                <c:pt idx="195">
                  <c:v>549.35960435614891</c:v>
                </c:pt>
                <c:pt idx="196">
                  <c:v>549.35960435614891</c:v>
                </c:pt>
                <c:pt idx="197">
                  <c:v>549.35960435614891</c:v>
                </c:pt>
                <c:pt idx="198">
                  <c:v>549.35960435614891</c:v>
                </c:pt>
                <c:pt idx="199">
                  <c:v>549.35960435614891</c:v>
                </c:pt>
                <c:pt idx="200">
                  <c:v>549.35960435614891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1.441468154121673</c:v>
                </c:pt>
                <c:pt idx="2">
                  <c:v>1.6957208537039292</c:v>
                </c:pt>
                <c:pt idx="3">
                  <c:v>1.9949892594181386</c:v>
                </c:pt>
                <c:pt idx="4">
                  <c:v>2.3472719020392354</c:v>
                </c:pt>
                <c:pt idx="5">
                  <c:v>2.7619932755529937</c:v>
                </c:pt>
                <c:pt idx="6">
                  <c:v>3.2502588485029515</c:v>
                </c:pt>
                <c:pt idx="7">
                  <c:v>3.8251558119301077</c:v>
                </c:pt>
                <c:pt idx="8">
                  <c:v>4.5021077886415286</c:v>
                </c:pt>
                <c:pt idx="9">
                  <c:v>5.29929321118823</c:v>
                </c:pt>
                <c:pt idx="10">
                  <c:v>6.2381388264415483</c:v>
                </c:pt>
                <c:pt idx="11">
                  <c:v>7.3439018515223218</c:v>
                </c:pt>
                <c:pt idx="12">
                  <c:v>8.6463567463446651</c:v>
                </c:pt>
                <c:pt idx="13">
                  <c:v>10.180605449864411</c:v>
                </c:pt>
                <c:pt idx="14">
                  <c:v>11.988033330229662</c:v>
                </c:pt>
                <c:pt idx="15">
                  <c:v>14.117437117888235</c:v>
                </c:pt>
                <c:pt idx="16">
                  <c:v>16.626355836934533</c:v>
                </c:pt>
                <c:pt idx="17">
                  <c:v>19.582641355465775</c:v>
                </c:pt>
                <c:pt idx="18">
                  <c:v>23.066311796307406</c:v>
                </c:pt>
                <c:pt idx="19">
                  <c:v>27.171738869314861</c:v>
                </c:pt>
                <c:pt idx="20">
                  <c:v>32.010229423179624</c:v>
                </c:pt>
                <c:pt idx="21">
                  <c:v>37.713072425430433</c:v>
                </c:pt>
                <c:pt idx="22">
                  <c:v>44.435135468041288</c:v>
                </c:pt>
                <c:pt idx="23">
                  <c:v>52.359110121916132</c:v>
                </c:pt>
                <c:pt idx="24">
                  <c:v>61.700523451012309</c:v>
                </c:pt>
                <c:pt idx="25">
                  <c:v>72.713654247708348</c:v>
                </c:pt>
                <c:pt idx="26">
                  <c:v>85.698517658213859</c:v>
                </c:pt>
                <c:pt idx="27">
                  <c:v>101.00911153126857</c:v>
                </c:pt>
                <c:pt idx="28">
                  <c:v>119.06315287356641</c:v>
                </c:pt>
                <c:pt idx="29">
                  <c:v>140.35357421057691</c:v>
                </c:pt>
                <c:pt idx="30">
                  <c:v>165.46209858933361</c:v>
                </c:pt>
                <c:pt idx="31">
                  <c:v>180.37531130925277</c:v>
                </c:pt>
                <c:pt idx="32">
                  <c:v>195.25965305600531</c:v>
                </c:pt>
                <c:pt idx="33">
                  <c:v>210.1176354178375</c:v>
                </c:pt>
                <c:pt idx="34">
                  <c:v>224.95138540725247</c:v>
                </c:pt>
                <c:pt idx="35">
                  <c:v>239.76272637885847</c:v>
                </c:pt>
                <c:pt idx="36">
                  <c:v>254.55323786732421</c:v>
                </c:pt>
                <c:pt idx="37">
                  <c:v>269.32430076831633</c:v>
                </c:pt>
                <c:pt idx="38">
                  <c:v>284.07713207620867</c:v>
                </c:pt>
                <c:pt idx="39">
                  <c:v>298.81281202057824</c:v>
                </c:pt>
                <c:pt idx="40">
                  <c:v>313.53230556526472</c:v>
                </c:pt>
                <c:pt idx="41">
                  <c:v>328.23647965620523</c:v>
                </c:pt>
                <c:pt idx="42">
                  <c:v>342.92611721533916</c:v>
                </c:pt>
                <c:pt idx="43">
                  <c:v>252.69188827494608</c:v>
                </c:pt>
                <c:pt idx="44">
                  <c:v>267.77517870928619</c:v>
                </c:pt>
                <c:pt idx="45">
                  <c:v>282.83933776674911</c:v>
                </c:pt>
                <c:pt idx="46">
                  <c:v>297.88552793675626</c:v>
                </c:pt>
                <c:pt idx="47">
                  <c:v>312.9147846588009</c:v>
                </c:pt>
                <c:pt idx="48">
                  <c:v>327.9280357721243</c:v>
                </c:pt>
                <c:pt idx="49">
                  <c:v>342.92611721533916</c:v>
                </c:pt>
                <c:pt idx="50">
                  <c:v>357.90978583474572</c:v>
                </c:pt>
                <c:pt idx="51">
                  <c:v>271.34204554150392</c:v>
                </c:pt>
                <c:pt idx="52">
                  <c:v>285.64929127720171</c:v>
                </c:pt>
                <c:pt idx="53">
                  <c:v>299.94050355190836</c:v>
                </c:pt>
                <c:pt idx="54">
                  <c:v>314.21655398110437</c:v>
                </c:pt>
                <c:pt idx="55">
                  <c:v>328.47822849648918</c:v>
                </c:pt>
                <c:pt idx="56">
                  <c:v>342.72623920213914</c:v>
                </c:pt>
                <c:pt idx="57">
                  <c:v>356.96123415522806</c:v>
                </c:pt>
                <c:pt idx="58">
                  <c:v>371.18380550457067</c:v>
                </c:pt>
                <c:pt idx="59">
                  <c:v>304.62568108718875</c:v>
                </c:pt>
                <c:pt idx="60">
                  <c:v>318.37140468335463</c:v>
                </c:pt>
                <c:pt idx="61">
                  <c:v>332.10399154325262</c:v>
                </c:pt>
                <c:pt idx="62">
                  <c:v>345.82406144357378</c:v>
                </c:pt>
                <c:pt idx="63">
                  <c:v>359.53218096280187</c:v>
                </c:pt>
                <c:pt idx="64">
                  <c:v>373.22886994447708</c:v>
                </c:pt>
                <c:pt idx="65">
                  <c:v>386.91460696193946</c:v>
                </c:pt>
                <c:pt idx="66">
                  <c:v>400.58983396938879</c:v>
                </c:pt>
                <c:pt idx="67">
                  <c:v>334.56234499431707</c:v>
                </c:pt>
                <c:pt idx="68">
                  <c:v>347.58921398922945</c:v>
                </c:pt>
                <c:pt idx="69">
                  <c:v>360.60536965360353</c:v>
                </c:pt>
                <c:pt idx="70">
                  <c:v>373.61125321420667</c:v>
                </c:pt>
                <c:pt idx="71">
                  <c:v>386.60727266779986</c:v>
                </c:pt>
                <c:pt idx="72">
                  <c:v>399.59380634031049</c:v>
                </c:pt>
                <c:pt idx="73">
                  <c:v>412.57120595911402</c:v>
                </c:pt>
                <c:pt idx="74">
                  <c:v>425.53979931856065</c:v>
                </c:pt>
                <c:pt idx="75">
                  <c:v>438.49989260360843</c:v>
                </c:pt>
                <c:pt idx="76">
                  <c:v>372.73009632089071</c:v>
                </c:pt>
                <c:pt idx="77">
                  <c:v>384.94591420463718</c:v>
                </c:pt>
                <c:pt idx="78">
                  <c:v>397.15331113234402</c:v>
                </c:pt>
                <c:pt idx="79">
                  <c:v>409.35258244760729</c:v>
                </c:pt>
                <c:pt idx="80">
                  <c:v>421.54400445252281</c:v>
                </c:pt>
                <c:pt idx="81">
                  <c:v>433.72783616220175</c:v>
                </c:pt>
                <c:pt idx="82">
                  <c:v>445.90432085185313</c:v>
                </c:pt>
                <c:pt idx="83">
                  <c:v>458.0736874260661</c:v>
                </c:pt>
                <c:pt idx="84">
                  <c:v>390.06655478761263</c:v>
                </c:pt>
                <c:pt idx="85">
                  <c:v>401.36171850241954</c:v>
                </c:pt>
                <c:pt idx="86">
                  <c:v>412.65000564672431</c:v>
                </c:pt>
                <c:pt idx="87">
                  <c:v>423.93163088258734</c:v>
                </c:pt>
                <c:pt idx="88">
                  <c:v>435.20679651287583</c:v>
                </c:pt>
                <c:pt idx="89">
                  <c:v>446.47569350143129</c:v>
                </c:pt>
                <c:pt idx="90">
                  <c:v>457.73850238486631</c:v>
                </c:pt>
                <c:pt idx="91">
                  <c:v>468.99539408994207</c:v>
                </c:pt>
                <c:pt idx="92">
                  <c:v>247.126098837624</c:v>
                </c:pt>
                <c:pt idx="93">
                  <c:v>254.74438600725</c:v>
                </c:pt>
                <c:pt idx="94">
                  <c:v>262.35751683486995</c:v>
                </c:pt>
                <c:pt idx="95">
                  <c:v>269.96566222771571</c:v>
                </c:pt>
                <c:pt idx="96">
                  <c:v>277.56898266245923</c:v>
                </c:pt>
                <c:pt idx="97">
                  <c:v>285.16762909642085</c:v>
                </c:pt>
                <c:pt idx="98">
                  <c:v>292.76174377648596</c:v>
                </c:pt>
                <c:pt idx="99">
                  <c:v>300.35146095962563</c:v>
                </c:pt>
                <c:pt idx="100">
                  <c:v>307.936907556721</c:v>
                </c:pt>
                <c:pt idx="101">
                  <c:v>315.51820370957972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3.3133072682289328</c:v>
                </c:pt>
                <c:pt idx="2">
                  <c:v>3.8071130279752921</c:v>
                </c:pt>
                <c:pt idx="3">
                  <c:v>4.3747749787817023</c:v>
                </c:pt>
                <c:pt idx="4">
                  <c:v>5.0273762561533006</c:v>
                </c:pt>
                <c:pt idx="5">
                  <c:v>5.7776683505211226</c:v>
                </c:pt>
                <c:pt idx="6">
                  <c:v>6.6403229722451913</c:v>
                </c:pt>
                <c:pt idx="7">
                  <c:v>7.6322220411458659</c:v>
                </c:pt>
                <c:pt idx="8">
                  <c:v>8.772791585569566</c:v>
                </c:pt>
                <c:pt idx="9">
                  <c:v>10.084386215775401</c:v>
                </c:pt>
                <c:pt idx="10">
                  <c:v>11.592731850278296</c:v>
                </c:pt>
                <c:pt idx="11">
                  <c:v>13.327435542170837</c:v>
                </c:pt>
                <c:pt idx="12">
                  <c:v>15.322572598967932</c:v>
                </c:pt>
                <c:pt idx="13">
                  <c:v>17.617362741384344</c:v>
                </c:pt>
                <c:pt idx="14">
                  <c:v>20.256948835034304</c:v>
                </c:pt>
                <c:pt idx="15">
                  <c:v>23.293293790506635</c:v>
                </c:pt>
                <c:pt idx="16">
                  <c:v>26.786213603322697</c:v>
                </c:pt>
                <c:pt idx="17">
                  <c:v>30.804567244019239</c:v>
                </c:pt>
                <c:pt idx="18">
                  <c:v>35.427627265466121</c:v>
                </c:pt>
                <c:pt idx="19">
                  <c:v>40.74665863347397</c:v>
                </c:pt>
                <c:pt idx="20">
                  <c:v>46.866737481506902</c:v>
                </c:pt>
                <c:pt idx="21">
                  <c:v>53.90884632592357</c:v>
                </c:pt>
                <c:pt idx="22">
                  <c:v>62.012287852686683</c:v>
                </c:pt>
                <c:pt idx="23">
                  <c:v>71.337465812994239</c:v>
                </c:pt>
                <c:pt idx="24">
                  <c:v>82.069088974215262</c:v>
                </c:pt>
                <c:pt idx="25">
                  <c:v>94.419862614269732</c:v>
                </c:pt>
                <c:pt idx="26">
                  <c:v>108.63474189564882</c:v>
                </c:pt>
                <c:pt idx="27">
                  <c:v>124.99583280970047</c:v>
                </c:pt>
                <c:pt idx="28">
                  <c:v>143.82803947335998</c:v>
                </c:pt>
                <c:pt idx="29">
                  <c:v>165.50557165534136</c:v>
                </c:pt>
                <c:pt idx="30">
                  <c:v>190.45944381390083</c:v>
                </c:pt>
                <c:pt idx="31">
                  <c:v>203.95158297704143</c:v>
                </c:pt>
                <c:pt idx="32">
                  <c:v>217.42307597518854</c:v>
                </c:pt>
                <c:pt idx="33">
                  <c:v>230.87538276130991</c:v>
                </c:pt>
                <c:pt idx="34">
                  <c:v>244.30977913233937</c:v>
                </c:pt>
                <c:pt idx="35">
                  <c:v>257.72738902615339</c:v>
                </c:pt>
                <c:pt idx="36">
                  <c:v>271.12920973227432</c:v>
                </c:pt>
                <c:pt idx="37">
                  <c:v>284.51613185174932</c:v>
                </c:pt>
                <c:pt idx="38">
                  <c:v>297.88895530051474</c:v>
                </c:pt>
                <c:pt idx="39">
                  <c:v>311.24840228656717</c:v>
                </c:pt>
                <c:pt idx="40">
                  <c:v>324.59512794116785</c:v>
                </c:pt>
                <c:pt idx="41">
                  <c:v>337.9297291091687</c:v>
                </c:pt>
                <c:pt idx="42">
                  <c:v>351.25275167876026</c:v>
                </c:pt>
                <c:pt idx="43">
                  <c:v>274.38624521120965</c:v>
                </c:pt>
                <c:pt idx="44">
                  <c:v>291.83201038343526</c:v>
                </c:pt>
                <c:pt idx="45">
                  <c:v>309.25449082687032</c:v>
                </c:pt>
                <c:pt idx="46">
                  <c:v>326.6551826851591</c:v>
                </c:pt>
                <c:pt idx="47">
                  <c:v>344.03540969595639</c:v>
                </c:pt>
                <c:pt idx="48">
                  <c:v>361.39635094606319</c:v>
                </c:pt>
                <c:pt idx="49">
                  <c:v>378.7390630123561</c:v>
                </c:pt>
                <c:pt idx="50">
                  <c:v>396.06449783435875</c:v>
                </c:pt>
                <c:pt idx="51">
                  <c:v>342.19791680986697</c:v>
                </c:pt>
                <c:pt idx="52">
                  <c:v>359.77301989765584</c:v>
                </c:pt>
                <c:pt idx="53">
                  <c:v>377.32934861941914</c:v>
                </c:pt>
                <c:pt idx="54">
                  <c:v>394.86789914931973</c:v>
                </c:pt>
                <c:pt idx="55">
                  <c:v>412.38957197343302</c:v>
                </c:pt>
                <c:pt idx="56">
                  <c:v>429.89518484027673</c:v>
                </c:pt>
                <c:pt idx="57">
                  <c:v>447.38548349193542</c:v>
                </c:pt>
                <c:pt idx="58">
                  <c:v>464.86115062974795</c:v>
                </c:pt>
                <c:pt idx="59">
                  <c:v>394.95531567269285</c:v>
                </c:pt>
                <c:pt idx="60">
                  <c:v>411.91213646565626</c:v>
                </c:pt>
                <c:pt idx="61">
                  <c:v>428.85389679753411</c:v>
                </c:pt>
                <c:pt idx="62">
                  <c:v>445.78127515501961</c:v>
                </c:pt>
                <c:pt idx="63">
                  <c:v>462.6948943134293</c:v>
                </c:pt>
                <c:pt idx="64">
                  <c:v>479.59532782254018</c:v>
                </c:pt>
                <c:pt idx="65">
                  <c:v>496.48310553078545</c:v>
                </c:pt>
                <c:pt idx="66">
                  <c:v>513.35871831889983</c:v>
                </c:pt>
                <c:pt idx="67">
                  <c:v>434.95348588149722</c:v>
                </c:pt>
                <c:pt idx="68">
                  <c:v>451.15527665029282</c:v>
                </c:pt>
                <c:pt idx="69">
                  <c:v>467.34462738537769</c:v>
                </c:pt>
                <c:pt idx="70">
                  <c:v>483.52202953477035</c:v>
                </c:pt>
                <c:pt idx="71">
                  <c:v>499.68793899246788</c:v>
                </c:pt>
                <c:pt idx="72">
                  <c:v>515.84277976140663</c:v>
                </c:pt>
                <c:pt idx="73">
                  <c:v>531.98694713382667</c:v>
                </c:pt>
                <c:pt idx="74">
                  <c:v>548.12081046562605</c:v>
                </c:pt>
                <c:pt idx="75">
                  <c:v>474.99151141444844</c:v>
                </c:pt>
                <c:pt idx="76">
                  <c:v>490.76395767313505</c:v>
                </c:pt>
                <c:pt idx="77">
                  <c:v>506.52565650577748</c:v>
                </c:pt>
                <c:pt idx="78">
                  <c:v>522.27698929809401</c:v>
                </c:pt>
                <c:pt idx="79">
                  <c:v>538.01831256571893</c:v>
                </c:pt>
                <c:pt idx="80">
                  <c:v>553.74996027120858</c:v>
                </c:pt>
                <c:pt idx="81">
                  <c:v>569.472245864157</c:v>
                </c:pt>
                <c:pt idx="82">
                  <c:v>585.18546408439624</c:v>
                </c:pt>
                <c:pt idx="83">
                  <c:v>600.88989256154105</c:v>
                </c:pt>
                <c:pt idx="84">
                  <c:v>616.58579323870833</c:v>
                </c:pt>
                <c:pt idx="85">
                  <c:v>517.93568557372157</c:v>
                </c:pt>
                <c:pt idx="86">
                  <c:v>532.99877245105586</c:v>
                </c:pt>
                <c:pt idx="87">
                  <c:v>548.0529076431236</c:v>
                </c:pt>
                <c:pt idx="88">
                  <c:v>563.09837156382127</c:v>
                </c:pt>
                <c:pt idx="89">
                  <c:v>578.1354284274239</c:v>
                </c:pt>
                <c:pt idx="90">
                  <c:v>593.16432759016993</c:v>
                </c:pt>
                <c:pt idx="91">
                  <c:v>608.18530474887336</c:v>
                </c:pt>
                <c:pt idx="92">
                  <c:v>623.19858301502518</c:v>
                </c:pt>
                <c:pt idx="93">
                  <c:v>638.20437388006769</c:v>
                </c:pt>
                <c:pt idx="94">
                  <c:v>653.20287808521778</c:v>
                </c:pt>
                <c:pt idx="95">
                  <c:v>554.28071714317628</c:v>
                </c:pt>
                <c:pt idx="96">
                  <c:v>568.89090202650596</c:v>
                </c:pt>
                <c:pt idx="97">
                  <c:v>583.49324795312771</c:v>
                </c:pt>
                <c:pt idx="98">
                  <c:v>598.08797864133612</c:v>
                </c:pt>
                <c:pt idx="99">
                  <c:v>612.67530600615544</c:v>
                </c:pt>
                <c:pt idx="100">
                  <c:v>627.25543105409599</c:v>
                </c:pt>
                <c:pt idx="101">
                  <c:v>641.82854469043889</c:v>
                </c:pt>
                <c:pt idx="102">
                  <c:v>656.39482844943029</c:v>
                </c:pt>
                <c:pt idx="103">
                  <c:v>670.95445515633082</c:v>
                </c:pt>
                <c:pt idx="104">
                  <c:v>685.50758952904687</c:v>
                </c:pt>
                <c:pt idx="105">
                  <c:v>589.50801299803118</c:v>
                </c:pt>
                <c:pt idx="106">
                  <c:v>603.89483215765915</c:v>
                </c:pt>
                <c:pt idx="107">
                  <c:v>618.27453346145262</c:v>
                </c:pt>
                <c:pt idx="108">
                  <c:v>632.6473056911201</c:v>
                </c:pt>
                <c:pt idx="109">
                  <c:v>647.01332835605024</c:v>
                </c:pt>
                <c:pt idx="110">
                  <c:v>661.37277234876785</c:v>
                </c:pt>
                <c:pt idx="111">
                  <c:v>675.72580054054197</c:v>
                </c:pt>
                <c:pt idx="112">
                  <c:v>690.07256832378789</c:v>
                </c:pt>
                <c:pt idx="113">
                  <c:v>704.41322410705209</c:v>
                </c:pt>
                <c:pt idx="114">
                  <c:v>718.74790976761608</c:v>
                </c:pt>
                <c:pt idx="115">
                  <c:v>630.59776715400778</c:v>
                </c:pt>
                <c:pt idx="116">
                  <c:v>645.03395304374965</c:v>
                </c:pt>
                <c:pt idx="117">
                  <c:v>659.46347341928447</c:v>
                </c:pt>
                <c:pt idx="118">
                  <c:v>673.88649458681436</c:v>
                </c:pt>
                <c:pt idx="119">
                  <c:v>688.30317515778961</c:v>
                </c:pt>
                <c:pt idx="120">
                  <c:v>702.71366656197733</c:v>
                </c:pt>
                <c:pt idx="121">
                  <c:v>717.1181135162841</c:v>
                </c:pt>
                <c:pt idx="122">
                  <c:v>731.51665445398328</c:v>
                </c:pt>
                <c:pt idx="123">
                  <c:v>745.9094219184135</c:v>
                </c:pt>
                <c:pt idx="124">
                  <c:v>760.29654292473822</c:v>
                </c:pt>
                <c:pt idx="125">
                  <c:v>679.50243256694148</c:v>
                </c:pt>
                <c:pt idx="126">
                  <c:v>694.05029193524354</c:v>
                </c:pt>
                <c:pt idx="127">
                  <c:v>708.5919064109504</c:v>
                </c:pt>
                <c:pt idx="128">
                  <c:v>723.12742211751947</c:v>
                </c:pt>
                <c:pt idx="129">
                  <c:v>737.65697882929317</c:v>
                </c:pt>
                <c:pt idx="130">
                  <c:v>752.18071036957383</c:v>
                </c:pt>
                <c:pt idx="131">
                  <c:v>766.69874497637738</c:v>
                </c:pt>
                <c:pt idx="132">
                  <c:v>781.21120563906879</c:v>
                </c:pt>
                <c:pt idx="133">
                  <c:v>795.71821040870338</c:v>
                </c:pt>
                <c:pt idx="134">
                  <c:v>810.21987268458099</c:v>
                </c:pt>
                <c:pt idx="135">
                  <c:v>725.2770826150645</c:v>
                </c:pt>
                <c:pt idx="136">
                  <c:v>739.96527477356869</c:v>
                </c:pt>
                <c:pt idx="137">
                  <c:v>754.64753431673216</c:v>
                </c:pt>
                <c:pt idx="138">
                  <c:v>769.32399283984614</c:v>
                </c:pt>
                <c:pt idx="139">
                  <c:v>783.99477651202449</c:v>
                </c:pt>
                <c:pt idx="140">
                  <c:v>798.6600063993875</c:v>
                </c:pt>
                <c:pt idx="141">
                  <c:v>813.31979876329342</c:v>
                </c:pt>
                <c:pt idx="142">
                  <c:v>827.97426533597161</c:v>
                </c:pt>
                <c:pt idx="143">
                  <c:v>842.62351357564637</c:v>
                </c:pt>
                <c:pt idx="144">
                  <c:v>857.26764690301331</c:v>
                </c:pt>
                <c:pt idx="145">
                  <c:v>771.36215106943348</c:v>
                </c:pt>
                <c:pt idx="146">
                  <c:v>786.30022448520879</c:v>
                </c:pt>
                <c:pt idx="147">
                  <c:v>801.23255850589555</c:v>
                </c:pt>
                <c:pt idx="148">
                  <c:v>816.1592750711294</c:v>
                </c:pt>
                <c:pt idx="149">
                  <c:v>831.08049130064774</c:v>
                </c:pt>
                <c:pt idx="150">
                  <c:v>845.99631976969283</c:v>
                </c:pt>
                <c:pt idx="151">
                  <c:v>860.90686876400571</c:v>
                </c:pt>
                <c:pt idx="152">
                  <c:v>875.81224251625474</c:v>
                </c:pt>
                <c:pt idx="153">
                  <c:v>890.71254142554665</c:v>
                </c:pt>
                <c:pt idx="154">
                  <c:v>905.60786226150549</c:v>
                </c:pt>
                <c:pt idx="155">
                  <c:v>821.60959391001506</c:v>
                </c:pt>
                <c:pt idx="156">
                  <c:v>836.74454515600394</c:v>
                </c:pt>
                <c:pt idx="157">
                  <c:v>851.87399449297448</c:v>
                </c:pt>
                <c:pt idx="158">
                  <c:v>866.99805330821835</c:v>
                </c:pt>
                <c:pt idx="159">
                  <c:v>882.11682878996351</c:v>
                </c:pt>
                <c:pt idx="160">
                  <c:v>897.23042415639884</c:v>
                </c:pt>
                <c:pt idx="161">
                  <c:v>912.33893886847864</c:v>
                </c:pt>
                <c:pt idx="162">
                  <c:v>927.44246882791538</c:v>
                </c:pt>
                <c:pt idx="163">
                  <c:v>942.54110656161936</c:v>
                </c:pt>
                <c:pt idx="164">
                  <c:v>957.63494139372108</c:v>
                </c:pt>
                <c:pt idx="165">
                  <c:v>866.15414531144688</c:v>
                </c:pt>
                <c:pt idx="166">
                  <c:v>881.4581373234347</c:v>
                </c:pt>
                <c:pt idx="167">
                  <c:v>896.75681717001089</c:v>
                </c:pt>
                <c:pt idx="168">
                  <c:v>912.05028814999378</c:v>
                </c:pt>
                <c:pt idx="169">
                  <c:v>927.33864981922181</c:v>
                </c:pt>
                <c:pt idx="170">
                  <c:v>942.62199818690806</c:v>
                </c:pt>
                <c:pt idx="171">
                  <c:v>957.90042589861469</c:v>
                </c:pt>
                <c:pt idx="172">
                  <c:v>973.17402240695981</c:v>
                </c:pt>
                <c:pt idx="173">
                  <c:v>988.44287413106349</c:v>
                </c:pt>
                <c:pt idx="174">
                  <c:v>1003.7070646056436</c:v>
                </c:pt>
                <c:pt idx="175">
                  <c:v>625.65697074560728</c:v>
                </c:pt>
                <c:pt idx="176">
                  <c:v>635.49468501009198</c:v>
                </c:pt>
                <c:pt idx="177">
                  <c:v>645.32925241103214</c:v>
                </c:pt>
                <c:pt idx="178">
                  <c:v>441.87227467560047</c:v>
                </c:pt>
                <c:pt idx="179">
                  <c:v>447.95377249861309</c:v>
                </c:pt>
                <c:pt idx="180">
                  <c:v>454.03350334407213</c:v>
                </c:pt>
                <c:pt idx="181">
                  <c:v>315.1260525635314</c:v>
                </c:pt>
                <c:pt idx="182">
                  <c:v>318.87383268826136</c:v>
                </c:pt>
                <c:pt idx="183">
                  <c:v>322.62063759617996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C5" sqref="C5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2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5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229</v>
      </c>
      <c r="C9" s="32">
        <v>0.38700000000000001</v>
      </c>
      <c r="D9" s="33">
        <f t="shared" ref="D9:D18" si="0">C9*$C$5</f>
        <v>1.9350000000000001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21</v>
      </c>
      <c r="C10" s="32">
        <v>0.126</v>
      </c>
      <c r="D10" s="33">
        <f t="shared" si="0"/>
        <v>0.63</v>
      </c>
      <c r="E10" s="34">
        <v>159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136</v>
      </c>
      <c r="C11" s="32">
        <v>8.0000000000000002E-3</v>
      </c>
      <c r="D11" s="33">
        <f t="shared" si="0"/>
        <v>0.04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126</v>
      </c>
      <c r="C12" s="32">
        <v>0.23699999999999999</v>
      </c>
      <c r="D12" s="33">
        <f t="shared" si="0"/>
        <v>1.1850000000000001</v>
      </c>
      <c r="E12" s="34">
        <v>101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 t="s">
        <v>150</v>
      </c>
      <c r="C13" s="32">
        <v>0.186</v>
      </c>
      <c r="D13" s="33">
        <f t="shared" si="0"/>
        <v>0.92999999999999994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 t="s">
        <v>169</v>
      </c>
      <c r="C14" s="32">
        <v>2.8000000000000001E-2</v>
      </c>
      <c r="D14" s="33">
        <f t="shared" si="0"/>
        <v>0.14000000000000001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0.97199999999999998</v>
      </c>
      <c r="D19" s="38">
        <f>SUM(D9:D18)</f>
        <v>4.8599999999999994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0.05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6" t="s">
        <v>45</v>
      </c>
      <c r="D34" s="266"/>
      <c r="E34" s="267" t="s">
        <v>46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Chêne pubescent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6" t="s">
        <v>45</v>
      </c>
      <c r="D60" s="266"/>
      <c r="E60" s="267" t="s">
        <v>46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30</v>
      </c>
      <c r="B62" s="258">
        <v>108.42307692307691</v>
      </c>
      <c r="C62" s="258" t="s">
        <v>56</v>
      </c>
      <c r="D62" s="258">
        <v>0</v>
      </c>
      <c r="E62" s="259">
        <v>0</v>
      </c>
      <c r="F62" s="259">
        <v>0</v>
      </c>
      <c r="G62" s="259">
        <v>0</v>
      </c>
      <c r="H62" s="259">
        <v>0</v>
      </c>
      <c r="I62" s="53">
        <f>IFERROR(B62/A62,"")</f>
        <v>3.6141025641025637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34</v>
      </c>
      <c r="B63" s="258">
        <v>141.78846153846152</v>
      </c>
      <c r="C63" s="258">
        <v>1</v>
      </c>
      <c r="D63" s="258">
        <v>31.615384615384613</v>
      </c>
      <c r="E63" s="259">
        <v>0</v>
      </c>
      <c r="F63" s="259">
        <v>0</v>
      </c>
      <c r="G63" s="259">
        <v>0</v>
      </c>
      <c r="H63" s="259">
        <v>1</v>
      </c>
      <c r="I63" s="49">
        <f>IF(A63&lt;&gt;0,(B63-(B62-D62))/(A63-A62),"")</f>
        <v>8.3413461538461533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42</v>
      </c>
      <c r="B64" s="258">
        <v>188.66025641025641</v>
      </c>
      <c r="C64" s="258">
        <v>2</v>
      </c>
      <c r="D64" s="258">
        <v>45.198717948717949</v>
      </c>
      <c r="E64" s="259">
        <v>0</v>
      </c>
      <c r="F64" s="259">
        <v>0</v>
      </c>
      <c r="G64" s="259">
        <v>0</v>
      </c>
      <c r="H64" s="259">
        <v>1</v>
      </c>
      <c r="I64" s="49">
        <f>IF(A64&lt;&gt;0,(B64-(B63-D63))/(A64-A63),"")</f>
        <v>9.8108974358974379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50</v>
      </c>
      <c r="B65" s="258">
        <v>223</v>
      </c>
      <c r="C65" s="258">
        <v>3</v>
      </c>
      <c r="D65" s="258">
        <v>52.282051282051285</v>
      </c>
      <c r="E65" s="259">
        <v>0</v>
      </c>
      <c r="F65" s="259">
        <v>0</v>
      </c>
      <c r="G65" s="259">
        <v>0</v>
      </c>
      <c r="H65" s="259">
        <v>1</v>
      </c>
      <c r="I65" s="49">
        <f>IF(A65&lt;&gt;0,(B65-(B64-D64))/(A65-A64),"")</f>
        <v>9.9423076923076934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58</v>
      </c>
      <c r="B66" s="258">
        <v>247.98717948717947</v>
      </c>
      <c r="C66" s="258">
        <v>4</v>
      </c>
      <c r="D66" s="258">
        <v>47.467948717948715</v>
      </c>
      <c r="E66" s="259">
        <v>0</v>
      </c>
      <c r="F66" s="259">
        <v>0</v>
      </c>
      <c r="G66" s="259">
        <v>0</v>
      </c>
      <c r="H66" s="259">
        <v>1</v>
      </c>
      <c r="I66" s="49">
        <f t="shared" ref="I66:I81" si="2">IF(A66&lt;&gt;0,(B66-(B65-D65))/(A66-A65),"")</f>
        <v>9.6586538461538431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66</v>
      </c>
      <c r="B67" s="258">
        <v>274.29487179487177</v>
      </c>
      <c r="C67" s="258">
        <v>5</v>
      </c>
      <c r="D67" s="258">
        <v>54.141025641025635</v>
      </c>
      <c r="E67" s="260">
        <v>0.7</v>
      </c>
      <c r="F67" s="260">
        <v>0</v>
      </c>
      <c r="G67" s="260">
        <v>0</v>
      </c>
      <c r="H67" s="260">
        <v>0.3</v>
      </c>
      <c r="I67" s="49">
        <f t="shared" si="2"/>
        <v>9.2219551282051242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74</v>
      </c>
      <c r="B68" s="258">
        <v>289.65384615384613</v>
      </c>
      <c r="C68" s="258">
        <v>6</v>
      </c>
      <c r="D68" s="258">
        <v>52.737179487179482</v>
      </c>
      <c r="E68" s="260">
        <v>0.7</v>
      </c>
      <c r="F68" s="260">
        <v>0</v>
      </c>
      <c r="G68" s="260">
        <v>0</v>
      </c>
      <c r="H68" s="260">
        <v>0.3</v>
      </c>
      <c r="I68" s="49">
        <f t="shared" si="2"/>
        <v>8.6875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82</v>
      </c>
      <c r="B69" s="261">
        <v>302.31410256410254</v>
      </c>
      <c r="C69" s="261">
        <v>7</v>
      </c>
      <c r="D69" s="261">
        <v>40.371794871794869</v>
      </c>
      <c r="E69" s="260">
        <v>0.7</v>
      </c>
      <c r="F69" s="260">
        <v>0</v>
      </c>
      <c r="G69" s="260">
        <v>0</v>
      </c>
      <c r="H69" s="260">
        <v>0.3</v>
      </c>
      <c r="I69" s="49">
        <f t="shared" si="2"/>
        <v>8.1746794871794854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90</v>
      </c>
      <c r="B70" s="261">
        <v>324.88461538461536</v>
      </c>
      <c r="C70" s="261">
        <v>8</v>
      </c>
      <c r="D70" s="261">
        <v>47.307692307692307</v>
      </c>
      <c r="E70" s="260">
        <v>0.7</v>
      </c>
      <c r="F70" s="260">
        <v>0</v>
      </c>
      <c r="G70" s="260">
        <v>0</v>
      </c>
      <c r="H70" s="260">
        <v>0.3</v>
      </c>
      <c r="I70" s="49">
        <f t="shared" si="2"/>
        <v>7.8677884615384599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100</v>
      </c>
      <c r="B71" s="50">
        <v>353.44871794871796</v>
      </c>
      <c r="C71" s="50">
        <v>9</v>
      </c>
      <c r="D71" s="50">
        <v>63.801282051282051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7.5871794871794922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110</v>
      </c>
      <c r="B72" s="50">
        <v>362.35897435897431</v>
      </c>
      <c r="C72" s="50">
        <v>10</v>
      </c>
      <c r="D72" s="50">
        <v>50.051282051282051</v>
      </c>
      <c r="E72" s="51">
        <v>0.7</v>
      </c>
      <c r="F72" s="51">
        <v>0</v>
      </c>
      <c r="G72" s="51">
        <v>0</v>
      </c>
      <c r="H72" s="51">
        <v>0.3</v>
      </c>
      <c r="I72" s="49">
        <f t="shared" si="2"/>
        <v>7.2711538461538394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120</v>
      </c>
      <c r="B73" s="50">
        <v>384.05769230769226</v>
      </c>
      <c r="C73" s="50">
        <v>11</v>
      </c>
      <c r="D73" s="50">
        <v>44.929487179487182</v>
      </c>
      <c r="E73" s="51">
        <v>0.7</v>
      </c>
      <c r="F73" s="51">
        <v>0</v>
      </c>
      <c r="G73" s="51">
        <v>0</v>
      </c>
      <c r="H73" s="51">
        <v>0.3</v>
      </c>
      <c r="I73" s="49">
        <f t="shared" si="2"/>
        <v>7.1749999999999998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130</v>
      </c>
      <c r="B74" s="50">
        <v>410.85897435897431</v>
      </c>
      <c r="C74" s="50">
        <v>12</v>
      </c>
      <c r="D74" s="50">
        <v>51.378205128205131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7.1730769230769225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140</v>
      </c>
      <c r="B75" s="50">
        <v>431.71153846153845</v>
      </c>
      <c r="C75" s="50">
        <v>13</v>
      </c>
      <c r="D75" s="50">
        <v>50.467948717948715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7.2230769230769285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150</v>
      </c>
      <c r="B76" s="50">
        <v>453.55769230769226</v>
      </c>
      <c r="C76" s="50">
        <v>14</v>
      </c>
      <c r="D76" s="50">
        <v>174.87820512820511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7.2314102564102543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153</v>
      </c>
      <c r="B77" s="50">
        <v>292.90384615384619</v>
      </c>
      <c r="C77" s="50">
        <v>15</v>
      </c>
      <c r="D77" s="50">
        <v>105.26282051282051</v>
      </c>
      <c r="E77" s="51">
        <v>0.9</v>
      </c>
      <c r="F77" s="51">
        <v>0</v>
      </c>
      <c r="G77" s="51">
        <v>0</v>
      </c>
      <c r="H77" s="51">
        <v>0.1</v>
      </c>
      <c r="I77" s="49">
        <f t="shared" si="2"/>
        <v>4.7414529914530021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156</v>
      </c>
      <c r="B78" s="50">
        <v>195.81410256410257</v>
      </c>
      <c r="C78" s="50">
        <v>16</v>
      </c>
      <c r="D78" s="50">
        <v>65.070512820512818</v>
      </c>
      <c r="E78" s="51">
        <v>0.9</v>
      </c>
      <c r="F78" s="51">
        <v>0</v>
      </c>
      <c r="G78" s="51">
        <v>0</v>
      </c>
      <c r="H78" s="51">
        <v>0.1</v>
      </c>
      <c r="I78" s="49">
        <f t="shared" si="2"/>
        <v>2.7243589743589589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159</v>
      </c>
      <c r="B79" s="50">
        <v>135.55128205128204</v>
      </c>
      <c r="C79" s="50">
        <v>17</v>
      </c>
      <c r="D79" s="50">
        <v>135.55128205128204</v>
      </c>
      <c r="E79" s="51">
        <v>0.9</v>
      </c>
      <c r="F79" s="51">
        <v>0</v>
      </c>
      <c r="G79" s="51">
        <v>0</v>
      </c>
      <c r="H79" s="51">
        <v>0.1</v>
      </c>
      <c r="I79" s="49">
        <f t="shared" si="2"/>
        <v>1.6025641025640975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chevelu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6" t="s">
        <v>45</v>
      </c>
      <c r="D86" s="266"/>
      <c r="E86" s="267" t="s">
        <v>46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10</v>
      </c>
      <c r="B88" s="258">
        <v>29</v>
      </c>
      <c r="C88" s="258" t="s">
        <v>56</v>
      </c>
      <c r="D88" s="258">
        <v>0</v>
      </c>
      <c r="E88" s="259">
        <v>0</v>
      </c>
      <c r="F88" s="259">
        <v>0</v>
      </c>
      <c r="G88" s="259">
        <v>0</v>
      </c>
      <c r="H88" s="262">
        <v>1</v>
      </c>
      <c r="I88" s="53">
        <f>IFERROR(B88/A88,"")</f>
        <v>2.9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15</v>
      </c>
      <c r="B89" s="258">
        <v>73</v>
      </c>
      <c r="C89" s="258" t="s">
        <v>56</v>
      </c>
      <c r="D89" s="258">
        <v>0</v>
      </c>
      <c r="E89" s="259">
        <v>0</v>
      </c>
      <c r="F89" s="259">
        <v>0</v>
      </c>
      <c r="G89" s="259">
        <v>0</v>
      </c>
      <c r="H89" s="262">
        <v>1</v>
      </c>
      <c r="I89" s="53">
        <f t="shared" ref="I89:I107" si="3">IF(A89&lt;&gt;0,(B89-(B88-D88))/(A89-A88),"")</f>
        <v>8.8000000000000007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20</v>
      </c>
      <c r="B90" s="258">
        <v>129</v>
      </c>
      <c r="C90" s="258">
        <v>1</v>
      </c>
      <c r="D90" s="258" t="s">
        <v>325</v>
      </c>
      <c r="E90" s="262">
        <v>0</v>
      </c>
      <c r="F90" s="262">
        <v>0</v>
      </c>
      <c r="G90" s="262">
        <v>0</v>
      </c>
      <c r="H90" s="262">
        <v>1</v>
      </c>
      <c r="I90" s="53">
        <f t="shared" si="3"/>
        <v>11.2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25</v>
      </c>
      <c r="B91" s="258">
        <v>126</v>
      </c>
      <c r="C91" s="258">
        <v>2</v>
      </c>
      <c r="D91" s="258" t="s">
        <v>326</v>
      </c>
      <c r="E91" s="262">
        <v>0</v>
      </c>
      <c r="F91" s="262">
        <v>0</v>
      </c>
      <c r="G91" s="262">
        <v>0</v>
      </c>
      <c r="H91" s="262">
        <v>1</v>
      </c>
      <c r="I91" s="53">
        <f t="shared" si="3"/>
        <v>10.199999999999999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30</v>
      </c>
      <c r="B92" s="258">
        <v>149</v>
      </c>
      <c r="C92" s="258">
        <v>3</v>
      </c>
      <c r="D92" s="258" t="s">
        <v>327</v>
      </c>
      <c r="E92" s="262">
        <v>0</v>
      </c>
      <c r="F92" s="262">
        <v>0</v>
      </c>
      <c r="G92" s="262">
        <v>0</v>
      </c>
      <c r="H92" s="262">
        <v>1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35</v>
      </c>
      <c r="B93" s="258">
        <v>168</v>
      </c>
      <c r="C93" s="258">
        <v>4</v>
      </c>
      <c r="D93" s="258" t="s">
        <v>327</v>
      </c>
      <c r="E93" s="263">
        <v>0</v>
      </c>
      <c r="F93" s="263">
        <v>0.5</v>
      </c>
      <c r="G93" s="263">
        <v>0</v>
      </c>
      <c r="H93" s="263">
        <v>0.5</v>
      </c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40</v>
      </c>
      <c r="B94" s="258">
        <v>185</v>
      </c>
      <c r="C94" s="258">
        <v>5</v>
      </c>
      <c r="D94" s="258" t="s">
        <v>327</v>
      </c>
      <c r="E94" s="263">
        <v>0</v>
      </c>
      <c r="F94" s="263">
        <v>0.5</v>
      </c>
      <c r="G94" s="263">
        <v>0</v>
      </c>
      <c r="H94" s="263">
        <v>0.5</v>
      </c>
      <c r="I94" s="53">
        <f t="shared" si="3"/>
        <v>8.8000000000000007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198</v>
      </c>
      <c r="C95" s="60">
        <v>6</v>
      </c>
      <c r="D95" s="60" t="s">
        <v>326</v>
      </c>
      <c r="E95" s="87">
        <v>0.4</v>
      </c>
      <c r="F95" s="87">
        <v>0.4</v>
      </c>
      <c r="G95" s="87">
        <v>0</v>
      </c>
      <c r="H95" s="87">
        <v>0.2</v>
      </c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209</v>
      </c>
      <c r="C96" s="60">
        <v>7</v>
      </c>
      <c r="D96" s="60" t="s">
        <v>328</v>
      </c>
      <c r="E96" s="87">
        <v>0.4</v>
      </c>
      <c r="F96" s="87">
        <v>0.4</v>
      </c>
      <c r="G96" s="87">
        <v>0</v>
      </c>
      <c r="H96" s="87">
        <v>0.2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218</v>
      </c>
      <c r="C97" s="60">
        <v>8</v>
      </c>
      <c r="D97" s="60" t="s">
        <v>329</v>
      </c>
      <c r="E97" s="87">
        <v>0.4</v>
      </c>
      <c r="F97" s="87">
        <v>0.4</v>
      </c>
      <c r="G97" s="87">
        <v>0</v>
      </c>
      <c r="H97" s="87">
        <v>0.2</v>
      </c>
      <c r="I97" s="53">
        <f t="shared" si="3"/>
        <v>6.6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225</v>
      </c>
      <c r="C98" s="60">
        <v>9</v>
      </c>
      <c r="D98" s="60" t="s">
        <v>330</v>
      </c>
      <c r="E98" s="87">
        <v>0.5</v>
      </c>
      <c r="F98" s="87">
        <v>0.4</v>
      </c>
      <c r="G98" s="87">
        <v>0</v>
      </c>
      <c r="H98" s="87">
        <v>0.1</v>
      </c>
      <c r="I98" s="53">
        <f t="shared" si="3"/>
        <v>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232</v>
      </c>
      <c r="C99" s="60">
        <v>10</v>
      </c>
      <c r="D99" s="60" t="s">
        <v>331</v>
      </c>
      <c r="E99" s="87">
        <v>0.5</v>
      </c>
      <c r="F99" s="87">
        <v>0.4</v>
      </c>
      <c r="G99" s="87">
        <v>0</v>
      </c>
      <c r="H99" s="87">
        <v>0.1</v>
      </c>
      <c r="I99" s="53">
        <f t="shared" si="3"/>
        <v>5.6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237</v>
      </c>
      <c r="C100" s="60">
        <v>11</v>
      </c>
      <c r="D100" s="60" t="s">
        <v>332</v>
      </c>
      <c r="E100" s="65">
        <v>0.5</v>
      </c>
      <c r="F100" s="65">
        <v>0.4</v>
      </c>
      <c r="G100" s="65">
        <v>0</v>
      </c>
      <c r="H100" s="65">
        <v>0.1</v>
      </c>
      <c r="I100" s="53">
        <f t="shared" si="3"/>
        <v>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241</v>
      </c>
      <c r="C101" s="60">
        <v>12</v>
      </c>
      <c r="D101" s="60" t="s">
        <v>333</v>
      </c>
      <c r="E101" s="65">
        <v>0.6</v>
      </c>
      <c r="F101" s="65">
        <v>0.3</v>
      </c>
      <c r="G101" s="65">
        <v>0</v>
      </c>
      <c r="H101" s="65">
        <v>0.1</v>
      </c>
      <c r="I101" s="53">
        <f t="shared" si="3"/>
        <v>4.4000000000000004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245</v>
      </c>
      <c r="C102" s="60">
        <v>13</v>
      </c>
      <c r="D102" s="50" t="s">
        <v>334</v>
      </c>
      <c r="E102" s="54">
        <v>0.6</v>
      </c>
      <c r="F102" s="54">
        <v>0.3</v>
      </c>
      <c r="G102" s="54">
        <v>0</v>
      </c>
      <c r="H102" s="54">
        <v>0.1</v>
      </c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85</v>
      </c>
      <c r="B103" s="50">
        <v>248</v>
      </c>
      <c r="C103" s="60">
        <v>14</v>
      </c>
      <c r="D103" s="50" t="s">
        <v>335</v>
      </c>
      <c r="E103" s="54">
        <v>0.6</v>
      </c>
      <c r="F103" s="54">
        <v>0.3</v>
      </c>
      <c r="G103" s="54">
        <v>0</v>
      </c>
      <c r="H103" s="54">
        <v>0.1</v>
      </c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90</v>
      </c>
      <c r="B104" s="50">
        <v>249</v>
      </c>
      <c r="C104" s="60">
        <v>15</v>
      </c>
      <c r="D104" s="50" t="s">
        <v>336</v>
      </c>
      <c r="E104" s="54">
        <v>0.6</v>
      </c>
      <c r="F104" s="54">
        <v>0.3</v>
      </c>
      <c r="G104" s="54">
        <v>0</v>
      </c>
      <c r="H104" s="54">
        <v>0.1</v>
      </c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95</v>
      </c>
      <c r="B105" s="50">
        <v>252</v>
      </c>
      <c r="C105" s="50">
        <v>16</v>
      </c>
      <c r="D105" s="50" t="s">
        <v>336</v>
      </c>
      <c r="E105" s="54">
        <v>0.7</v>
      </c>
      <c r="F105" s="54">
        <v>0.2</v>
      </c>
      <c r="G105" s="54">
        <v>0</v>
      </c>
      <c r="H105" s="54">
        <v>0.1</v>
      </c>
      <c r="I105" s="53">
        <f t="shared" si="3"/>
        <v>3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100</v>
      </c>
      <c r="B106" s="50">
        <v>255</v>
      </c>
      <c r="C106" s="50">
        <v>17</v>
      </c>
      <c r="D106" s="50" t="s">
        <v>336</v>
      </c>
      <c r="E106" s="54">
        <v>0.7</v>
      </c>
      <c r="F106" s="54">
        <v>0.2</v>
      </c>
      <c r="G106" s="54">
        <v>0</v>
      </c>
      <c r="H106" s="54">
        <v>0.1</v>
      </c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Cèdre de l'Atlas</v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6" t="s">
        <v>45</v>
      </c>
      <c r="D112" s="266"/>
      <c r="E112" s="267" t="s">
        <v>46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30</v>
      </c>
      <c r="B114" s="258">
        <v>158.69999999999999</v>
      </c>
      <c r="C114" s="257" t="s">
        <v>56</v>
      </c>
      <c r="D114" s="258">
        <v>0</v>
      </c>
      <c r="E114" s="259">
        <v>0</v>
      </c>
      <c r="F114" s="259">
        <v>0</v>
      </c>
      <c r="G114" s="259">
        <v>0</v>
      </c>
      <c r="H114" s="259">
        <v>0</v>
      </c>
      <c r="I114" s="53">
        <f>IFERROR(B114/A114,"")</f>
        <v>5.29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42</v>
      </c>
      <c r="B115" s="258">
        <v>335</v>
      </c>
      <c r="C115" s="257">
        <v>1</v>
      </c>
      <c r="D115" s="258">
        <v>105</v>
      </c>
      <c r="E115" s="259">
        <v>0</v>
      </c>
      <c r="F115" s="259">
        <v>0.56000000000000005</v>
      </c>
      <c r="G115" s="259">
        <v>0.44</v>
      </c>
      <c r="H115" s="259">
        <v>0</v>
      </c>
      <c r="I115" s="53">
        <f t="shared" ref="I115:I133" si="4">IF(A115&lt;&gt;0,(B115-(B114-D114))/(A115-A114),"")</f>
        <v>14.691666666666668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50</v>
      </c>
      <c r="B116" s="258">
        <v>350</v>
      </c>
      <c r="C116" s="257">
        <v>2</v>
      </c>
      <c r="D116" s="258">
        <v>100.7</v>
      </c>
      <c r="E116" s="259">
        <v>0.7</v>
      </c>
      <c r="F116" s="259">
        <v>0.17</v>
      </c>
      <c r="G116" s="259">
        <v>0.13</v>
      </c>
      <c r="H116" s="259">
        <v>0</v>
      </c>
      <c r="I116" s="53">
        <f t="shared" si="4"/>
        <v>15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58</v>
      </c>
      <c r="B117" s="258">
        <v>363.3</v>
      </c>
      <c r="C117" s="257">
        <v>3</v>
      </c>
      <c r="D117" s="258">
        <v>80.3</v>
      </c>
      <c r="E117" s="259">
        <v>0.7</v>
      </c>
      <c r="F117" s="259">
        <v>0.17</v>
      </c>
      <c r="G117" s="259">
        <v>0.13</v>
      </c>
      <c r="H117" s="259">
        <v>0</v>
      </c>
      <c r="I117" s="53">
        <f t="shared" si="4"/>
        <v>14.25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66</v>
      </c>
      <c r="B118" s="258">
        <v>392.8</v>
      </c>
      <c r="C118" s="257">
        <v>4</v>
      </c>
      <c r="D118" s="258">
        <v>79.2</v>
      </c>
      <c r="E118" s="259">
        <v>0.7</v>
      </c>
      <c r="F118" s="259">
        <v>0.17</v>
      </c>
      <c r="G118" s="259">
        <v>0.13</v>
      </c>
      <c r="H118" s="259">
        <v>0</v>
      </c>
      <c r="I118" s="53">
        <f t="shared" si="4"/>
        <v>13.725000000000001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75</v>
      </c>
      <c r="B119" s="258">
        <v>430.9</v>
      </c>
      <c r="C119" s="257">
        <v>5</v>
      </c>
      <c r="D119" s="258">
        <v>78.3</v>
      </c>
      <c r="E119" s="260">
        <v>0.7</v>
      </c>
      <c r="F119" s="260">
        <v>0.17</v>
      </c>
      <c r="G119" s="260">
        <v>0.13</v>
      </c>
      <c r="H119" s="260">
        <v>0</v>
      </c>
      <c r="I119" s="53">
        <f t="shared" si="4"/>
        <v>13.033333333333328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83</v>
      </c>
      <c r="B120" s="258">
        <v>450.6</v>
      </c>
      <c r="C120" s="258">
        <v>6</v>
      </c>
      <c r="D120" s="258">
        <v>79.7</v>
      </c>
      <c r="E120" s="263">
        <v>0.7</v>
      </c>
      <c r="F120" s="263">
        <v>0.17</v>
      </c>
      <c r="G120" s="263">
        <v>0.13</v>
      </c>
      <c r="H120" s="263">
        <v>0</v>
      </c>
      <c r="I120" s="53">
        <f t="shared" si="4"/>
        <v>12.250000000000007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>
        <v>91</v>
      </c>
      <c r="B121" s="264">
        <v>461.6</v>
      </c>
      <c r="C121" s="264">
        <v>7</v>
      </c>
      <c r="D121" s="264">
        <v>229.7</v>
      </c>
      <c r="E121" s="263">
        <v>0.7</v>
      </c>
      <c r="F121" s="263">
        <v>0.17</v>
      </c>
      <c r="G121" s="263">
        <v>0.13</v>
      </c>
      <c r="H121" s="263">
        <v>0</v>
      </c>
      <c r="I121" s="53">
        <f t="shared" si="4"/>
        <v>11.337499999999999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>
        <v>101</v>
      </c>
      <c r="B122" s="264">
        <v>307.60000000000002</v>
      </c>
      <c r="C122" s="264">
        <v>8</v>
      </c>
      <c r="D122" s="264">
        <v>307.60000000000002</v>
      </c>
      <c r="E122" s="263">
        <v>0.7</v>
      </c>
      <c r="F122" s="263">
        <v>0.17</v>
      </c>
      <c r="G122" s="263">
        <v>0.13</v>
      </c>
      <c r="H122" s="263">
        <v>0</v>
      </c>
      <c r="I122" s="53">
        <f t="shared" si="4"/>
        <v>7.5699999999999985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>Chêne vert</v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6" t="s">
        <v>45</v>
      </c>
      <c r="D138" s="266"/>
      <c r="E138" s="267" t="s">
        <v>46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>
        <v>30</v>
      </c>
      <c r="B140" s="258">
        <v>75.346153846153854</v>
      </c>
      <c r="C140" s="257" t="s">
        <v>56</v>
      </c>
      <c r="D140" s="258">
        <v>0</v>
      </c>
      <c r="E140" s="259">
        <v>0</v>
      </c>
      <c r="F140" s="259">
        <v>0</v>
      </c>
      <c r="G140" s="259">
        <v>0</v>
      </c>
      <c r="H140" s="259">
        <v>0</v>
      </c>
      <c r="I140" s="57">
        <f>IFERROR(B140/A140,"")</f>
        <v>2.5115384615384619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>
        <v>42</v>
      </c>
      <c r="B141" s="258">
        <v>141.09615384615384</v>
      </c>
      <c r="C141" s="257">
        <v>1</v>
      </c>
      <c r="D141" s="258">
        <v>38.685897435897438</v>
      </c>
      <c r="E141" s="259">
        <v>0</v>
      </c>
      <c r="F141" s="259">
        <v>0</v>
      </c>
      <c r="G141" s="259">
        <v>0</v>
      </c>
      <c r="H141" s="259">
        <v>1</v>
      </c>
      <c r="I141" s="57">
        <f>IF(A141&lt;&gt;0,(B141-(B140-D140))/(A141-A140),"")</f>
        <v>5.4791666666666652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>
        <v>50</v>
      </c>
      <c r="B142" s="258">
        <v>159.55769230769232</v>
      </c>
      <c r="C142" s="257">
        <v>2</v>
      </c>
      <c r="D142" s="258">
        <v>29.416666666666664</v>
      </c>
      <c r="E142" s="259">
        <v>0</v>
      </c>
      <c r="F142" s="259">
        <v>0</v>
      </c>
      <c r="G142" s="259">
        <v>0</v>
      </c>
      <c r="H142" s="259">
        <v>1</v>
      </c>
      <c r="I142" s="57">
        <f>IF(A142&lt;&gt;0,(B142-(B141-D141))/(A142-A141),"")</f>
        <v>7.143429487179489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>
        <v>58</v>
      </c>
      <c r="B143" s="258">
        <v>187.98717948717947</v>
      </c>
      <c r="C143" s="257">
        <v>3</v>
      </c>
      <c r="D143" s="258">
        <v>35.88461538461538</v>
      </c>
      <c r="E143" s="259">
        <v>0</v>
      </c>
      <c r="F143" s="259">
        <v>0</v>
      </c>
      <c r="G143" s="259">
        <v>0</v>
      </c>
      <c r="H143" s="259">
        <v>1</v>
      </c>
      <c r="I143" s="57">
        <f t="shared" ref="I143:I159" si="5">IF(A143&lt;&gt;0,(B143-(B142-D142))/(A143-A142),"")</f>
        <v>7.2307692307692264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>
        <v>66</v>
      </c>
      <c r="B144" s="258">
        <v>208.08333333333334</v>
      </c>
      <c r="C144" s="257">
        <v>4</v>
      </c>
      <c r="D144" s="258">
        <v>39.166666666666664</v>
      </c>
      <c r="E144" s="259">
        <v>0</v>
      </c>
      <c r="F144" s="259">
        <v>0</v>
      </c>
      <c r="G144" s="259">
        <v>0</v>
      </c>
      <c r="H144" s="259">
        <v>1</v>
      </c>
      <c r="I144" s="57">
        <f t="shared" si="5"/>
        <v>6.9975961538461569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74</v>
      </c>
      <c r="B145" s="60">
        <v>222.5128205128205</v>
      </c>
      <c r="C145" s="50">
        <v>5</v>
      </c>
      <c r="D145" s="60">
        <v>36.865384615384613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6.6995192307692264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84</v>
      </c>
      <c r="B146" s="60">
        <v>250.98717948717945</v>
      </c>
      <c r="C146" s="50">
        <v>6</v>
      </c>
      <c r="D146" s="60">
        <v>47.256410256410255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6.5339743589743566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94</v>
      </c>
      <c r="B147" s="60">
        <v>266.24358974358972</v>
      </c>
      <c r="C147" s="50">
        <v>7</v>
      </c>
      <c r="D147" s="60">
        <v>47.243589743589745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6.2512820512820522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104</v>
      </c>
      <c r="B148" s="60">
        <v>279.71794871794873</v>
      </c>
      <c r="C148" s="50">
        <v>8</v>
      </c>
      <c r="D148" s="60">
        <v>45.987179487179482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6.071794871794876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114</v>
      </c>
      <c r="B149" s="60">
        <v>293.59615384615381</v>
      </c>
      <c r="C149" s="50">
        <v>9</v>
      </c>
      <c r="D149" s="60">
        <v>42.78846153846154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5.9865384615384558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124</v>
      </c>
      <c r="B150" s="60">
        <v>310.96153846153845</v>
      </c>
      <c r="C150" s="50">
        <v>10</v>
      </c>
      <c r="D150" s="60">
        <v>39.820512820512818</v>
      </c>
      <c r="E150" s="51">
        <v>0.7</v>
      </c>
      <c r="F150" s="51">
        <v>0</v>
      </c>
      <c r="G150" s="51">
        <v>0</v>
      </c>
      <c r="H150" s="51">
        <v>0.3</v>
      </c>
      <c r="I150" s="57">
        <f t="shared" si="5"/>
        <v>6.0153846153846189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134</v>
      </c>
      <c r="B151" s="60">
        <v>331.85256410256414</v>
      </c>
      <c r="C151" s="50">
        <v>11</v>
      </c>
      <c r="D151" s="60">
        <v>41.666666666666664</v>
      </c>
      <c r="E151" s="51">
        <v>0.7</v>
      </c>
      <c r="F151" s="51">
        <v>0</v>
      </c>
      <c r="G151" s="51">
        <v>0</v>
      </c>
      <c r="H151" s="51">
        <v>0.3</v>
      </c>
      <c r="I151" s="57">
        <f t="shared" si="5"/>
        <v>6.0711538461538508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144</v>
      </c>
      <c r="B152" s="60">
        <v>351.5641025641026</v>
      </c>
      <c r="C152" s="50">
        <v>12</v>
      </c>
      <c r="D152" s="60">
        <v>42.224358974358978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6.1378205128205137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154</v>
      </c>
      <c r="B153" s="60">
        <v>371.83974358974359</v>
      </c>
      <c r="C153" s="50">
        <v>13</v>
      </c>
      <c r="D153" s="60">
        <v>41.557692307692307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6.2499999999999947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164</v>
      </c>
      <c r="B154" s="56">
        <v>393.6858974358974</v>
      </c>
      <c r="C154" s="50">
        <v>14</v>
      </c>
      <c r="D154" s="50">
        <v>44.814102564102562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6.3403846153846128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>
        <v>174</v>
      </c>
      <c r="B155" s="56">
        <v>413.05128205128204</v>
      </c>
      <c r="C155" s="50">
        <v>15</v>
      </c>
      <c r="D155" s="50">
        <v>162.38461538461539</v>
      </c>
      <c r="E155" s="54">
        <v>0.9</v>
      </c>
      <c r="F155" s="54">
        <v>0</v>
      </c>
      <c r="G155" s="54">
        <v>0</v>
      </c>
      <c r="H155" s="54">
        <v>0.1</v>
      </c>
      <c r="I155" s="57">
        <f t="shared" si="5"/>
        <v>6.4179487179487182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>
        <v>177</v>
      </c>
      <c r="B156" s="56">
        <v>262.96153846153845</v>
      </c>
      <c r="C156" s="50">
        <v>16</v>
      </c>
      <c r="D156" s="50">
        <v>87</v>
      </c>
      <c r="E156" s="54">
        <v>0.9</v>
      </c>
      <c r="F156" s="54">
        <v>0</v>
      </c>
      <c r="G156" s="54">
        <v>0</v>
      </c>
      <c r="H156" s="54">
        <v>0.1</v>
      </c>
      <c r="I156" s="57">
        <f t="shared" si="5"/>
        <v>4.0982905982905988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>
        <v>180</v>
      </c>
      <c r="B157" s="56">
        <v>183.50641025641025</v>
      </c>
      <c r="C157" s="50">
        <v>17</v>
      </c>
      <c r="D157" s="50">
        <v>58.794871794871796</v>
      </c>
      <c r="E157" s="54">
        <v>0.9</v>
      </c>
      <c r="F157" s="54">
        <v>0</v>
      </c>
      <c r="G157" s="54">
        <v>0</v>
      </c>
      <c r="H157" s="54">
        <v>0.1</v>
      </c>
      <c r="I157" s="57">
        <f t="shared" si="5"/>
        <v>2.5149572649572653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>
        <v>183</v>
      </c>
      <c r="B158" s="56">
        <v>129.32692307692307</v>
      </c>
      <c r="C158" s="50">
        <v>18</v>
      </c>
      <c r="D158" s="50">
        <v>129.32692307692307</v>
      </c>
      <c r="E158" s="54">
        <v>0.9</v>
      </c>
      <c r="F158" s="54">
        <v>0</v>
      </c>
      <c r="G158" s="54">
        <v>0</v>
      </c>
      <c r="H158" s="54">
        <v>0.1</v>
      </c>
      <c r="I158" s="57">
        <f t="shared" si="5"/>
        <v>1.5384615384615377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>Erable sycomore</v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6" t="s">
        <v>45</v>
      </c>
      <c r="D164" s="266"/>
      <c r="E164" s="267" t="s">
        <v>46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15</v>
      </c>
      <c r="B166" s="60">
        <v>37</v>
      </c>
      <c r="C166" s="60">
        <v>1</v>
      </c>
      <c r="D166" s="60">
        <v>15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20</v>
      </c>
      <c r="B167" s="60">
        <v>80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25</v>
      </c>
      <c r="B168" s="60">
        <v>115</v>
      </c>
      <c r="C168" s="60">
        <v>3</v>
      </c>
      <c r="D168" s="60">
        <v>28</v>
      </c>
      <c r="E168" s="51">
        <v>0</v>
      </c>
      <c r="F168" s="51">
        <v>7.1428571428571425E-2</v>
      </c>
      <c r="G168" s="51">
        <v>0</v>
      </c>
      <c r="H168" s="51">
        <v>0.9285714285714286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30</v>
      </c>
      <c r="B169" s="60">
        <v>146</v>
      </c>
      <c r="C169" s="60">
        <v>4</v>
      </c>
      <c r="D169" s="60">
        <v>28</v>
      </c>
      <c r="E169" s="51">
        <v>3.5714285714285712E-2</v>
      </c>
      <c r="F169" s="51">
        <v>0.2857142857142857</v>
      </c>
      <c r="G169" s="51">
        <v>0</v>
      </c>
      <c r="H169" s="51">
        <v>0.6785714285714286</v>
      </c>
      <c r="I169" s="49">
        <f t="shared" si="6"/>
        <v>11.8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35</v>
      </c>
      <c r="B170" s="60">
        <v>172</v>
      </c>
      <c r="C170" s="60">
        <v>5</v>
      </c>
      <c r="D170" s="60">
        <v>28</v>
      </c>
      <c r="E170" s="51">
        <v>0.17857142857142858</v>
      </c>
      <c r="F170" s="51">
        <v>0.42857142857142855</v>
      </c>
      <c r="G170" s="51">
        <v>0</v>
      </c>
      <c r="H170" s="51">
        <v>0.39285714285714285</v>
      </c>
      <c r="I170" s="49">
        <f t="shared" si="6"/>
        <v>10.8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40</v>
      </c>
      <c r="B171" s="60">
        <v>192</v>
      </c>
      <c r="C171" s="60">
        <v>6</v>
      </c>
      <c r="D171" s="60">
        <v>28</v>
      </c>
      <c r="E171" s="51">
        <v>0.39285714285714285</v>
      </c>
      <c r="F171" s="51">
        <v>0.39285714285714285</v>
      </c>
      <c r="G171" s="51">
        <v>0</v>
      </c>
      <c r="H171" s="51">
        <v>0.21428571428571427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45</v>
      </c>
      <c r="B172" s="60">
        <v>205</v>
      </c>
      <c r="C172" s="60">
        <v>7</v>
      </c>
      <c r="D172" s="60">
        <v>22</v>
      </c>
      <c r="E172" s="51">
        <v>0.59090909090909094</v>
      </c>
      <c r="F172" s="51">
        <v>0.27272727272727271</v>
      </c>
      <c r="G172" s="51">
        <v>0</v>
      </c>
      <c r="H172" s="51">
        <v>0.13636363636363635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50</v>
      </c>
      <c r="B173" s="50">
        <v>219</v>
      </c>
      <c r="C173" s="50">
        <v>8</v>
      </c>
      <c r="D173" s="50">
        <v>17</v>
      </c>
      <c r="E173" s="51">
        <v>0.70588235294117652</v>
      </c>
      <c r="F173" s="51">
        <v>0.17647058823529413</v>
      </c>
      <c r="G173" s="51">
        <v>0</v>
      </c>
      <c r="H173" s="51">
        <v>0.11764705882352941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55</v>
      </c>
      <c r="B174" s="50">
        <v>232</v>
      </c>
      <c r="C174" s="50">
        <v>9</v>
      </c>
      <c r="D174" s="50">
        <v>13</v>
      </c>
      <c r="E174" s="51">
        <v>0.76923076923076927</v>
      </c>
      <c r="F174" s="51">
        <v>0.15384615384615385</v>
      </c>
      <c r="G174" s="51">
        <v>0</v>
      </c>
      <c r="H174" s="51">
        <v>7.6923076923076927E-2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60</v>
      </c>
      <c r="B175" s="50">
        <v>245</v>
      </c>
      <c r="C175" s="50">
        <v>10</v>
      </c>
      <c r="D175" s="50">
        <v>12</v>
      </c>
      <c r="E175" s="51">
        <v>0.83333333333333337</v>
      </c>
      <c r="F175" s="51">
        <v>8.3333333333333329E-2</v>
      </c>
      <c r="G175" s="51">
        <v>0</v>
      </c>
      <c r="H175" s="51">
        <v>8.3333333333333329E-2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65</v>
      </c>
      <c r="B176" s="50">
        <v>255</v>
      </c>
      <c r="C176" s="50">
        <v>11</v>
      </c>
      <c r="D176" s="50">
        <v>11</v>
      </c>
      <c r="E176" s="51">
        <v>0.81818181818181823</v>
      </c>
      <c r="F176" s="51">
        <v>9.0909090909090912E-2</v>
      </c>
      <c r="G176" s="51">
        <v>0</v>
      </c>
      <c r="H176" s="51">
        <v>9.0909090909090912E-2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70</v>
      </c>
      <c r="B177" s="50">
        <v>263</v>
      </c>
      <c r="C177" s="50">
        <v>12</v>
      </c>
      <c r="D177" s="50">
        <v>10</v>
      </c>
      <c r="E177" s="51">
        <v>0.9</v>
      </c>
      <c r="F177" s="51">
        <v>0.1</v>
      </c>
      <c r="G177" s="51">
        <v>0</v>
      </c>
      <c r="H177" s="51">
        <v>0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75</v>
      </c>
      <c r="B178" s="50">
        <v>270</v>
      </c>
      <c r="C178" s="50">
        <v>13</v>
      </c>
      <c r="D178" s="50">
        <v>9</v>
      </c>
      <c r="E178" s="51">
        <v>0.88888888888888884</v>
      </c>
      <c r="F178" s="51">
        <v>0.1111111111111111</v>
      </c>
      <c r="G178" s="51">
        <v>0</v>
      </c>
      <c r="H178" s="51">
        <v>0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80</v>
      </c>
      <c r="B179" s="50">
        <v>275</v>
      </c>
      <c r="C179" s="50">
        <v>14</v>
      </c>
      <c r="D179" s="50">
        <v>8</v>
      </c>
      <c r="E179" s="51">
        <v>0.875</v>
      </c>
      <c r="F179" s="51">
        <v>0.125</v>
      </c>
      <c r="G179" s="51">
        <v>0</v>
      </c>
      <c r="H179" s="51">
        <v>0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6" t="s">
        <v>45</v>
      </c>
      <c r="D190" s="266"/>
      <c r="E190" s="267" t="s">
        <v>46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6" t="s">
        <v>45</v>
      </c>
      <c r="D216" s="266"/>
      <c r="E216" s="267" t="s">
        <v>46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6" t="s">
        <v>45</v>
      </c>
      <c r="D242" s="266"/>
      <c r="E242" s="267" t="s">
        <v>46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6" t="s">
        <v>45</v>
      </c>
      <c r="D268" s="266"/>
      <c r="E268" s="267" t="s">
        <v>46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57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59</v>
      </c>
      <c r="C7" s="100" t="s">
        <v>60</v>
      </c>
      <c r="D7" s="215"/>
      <c r="E7" s="101"/>
      <c r="F7" s="26" t="s">
        <v>59</v>
      </c>
      <c r="G7" s="100" t="s">
        <v>61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62</v>
      </c>
      <c r="D8" s="23"/>
      <c r="E8" s="105">
        <v>4</v>
      </c>
      <c r="F8" s="61">
        <v>0</v>
      </c>
      <c r="G8" s="102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64</v>
      </c>
      <c r="D9" s="23"/>
      <c r="E9" s="105">
        <v>5</v>
      </c>
      <c r="F9" s="61">
        <v>0</v>
      </c>
      <c r="G9" s="103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67</v>
      </c>
      <c r="D13" s="216"/>
      <c r="E13" s="99"/>
      <c r="F13" s="107"/>
      <c r="G13" s="98" t="s">
        <v>68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69</v>
      </c>
      <c r="D14" s="216"/>
      <c r="E14" s="99"/>
      <c r="F14" s="107"/>
      <c r="G14" s="98" t="s">
        <v>70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59</v>
      </c>
      <c r="C15" s="4"/>
      <c r="D15" s="23"/>
      <c r="E15" s="4"/>
      <c r="F15" s="4"/>
      <c r="G15" s="2" t="s">
        <v>279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75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Pin maritime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Chêne pubescent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Chêne chevelu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Cèdre de l'Atlas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Chêne vert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Erable sycomore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51</v>
      </c>
      <c r="X2" s="7" t="s">
        <v>52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51</v>
      </c>
      <c r="AS2" s="7" t="s">
        <v>52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51</v>
      </c>
      <c r="BN2" s="7" t="s">
        <v>52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51</v>
      </c>
      <c r="CI2" s="7" t="s">
        <v>52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51</v>
      </c>
      <c r="DD2" s="7" t="s">
        <v>52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51</v>
      </c>
      <c r="DY2" s="7" t="s">
        <v>52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51</v>
      </c>
      <c r="ET2" s="7" t="s">
        <v>52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51</v>
      </c>
      <c r="FO2" s="7" t="s">
        <v>52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51</v>
      </c>
      <c r="GJ2" s="7" t="s">
        <v>52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51</v>
      </c>
      <c r="HE2" s="7" t="s">
        <v>52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337.99164391755608</v>
      </c>
      <c r="T3" s="59">
        <f>IF('Données projet'!E9&gt;30,$R$33-$H$33,LOOKUP('Données projet'!$E$9,$A$3:$A$203,R3:R203)-LOOKUP('Données projet'!$E$9,$A$3:$A$203,$H$3:$H$203))</f>
        <v>421.45428231923393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596.42822894047072</v>
      </c>
      <c r="AO3" s="59">
        <f>IF('Données projet'!E10&gt;30,$AM$33-$H$33,LOOKUP('Données projet'!$E$10,$A$3:$A$203,AM3:AM203)-LOOKUP('Données projet'!$E$10,$A$3:$A$203,$H$3:$H$203))</f>
        <v>298.31525330951047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446.06835300781546</v>
      </c>
      <c r="BJ3" s="59">
        <f>IF('Données projet'!E11&gt;30,$BH$33-$H$33,LOOKUP('Données projet'!$E$11,$A$3:$A$203,BH3:BH203)-LOOKUP('Données projet'!$E$11,$A$3:$A$203,$H$3:$H$203))</f>
        <v>396.46809188573138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307.52821153421951</v>
      </c>
      <c r="CE3" s="59">
        <f>IF('Données projet'!E12&gt;30,$CC$33-$H$33,LOOKUP('Données projet'!$E$12,$A$3:$A$203,CC3:CC203)-LOOKUP('Données projet'!$E$12,$A$3:$A$203,$H$3:$H$203))</f>
        <v>221.23619018904222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598.12133208901378</v>
      </c>
      <c r="CZ3" s="59">
        <f>IF('Données projet'!E13&gt;30,$CX$33-$H$33,LOOKUP('Données projet'!$E$13,$A$3:$A$203,CX3:CX203)-LOOKUP('Données projet'!$E$13,$A$3:$A$203,$H$3:$H$203))</f>
        <v>246.23353541360947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323.01113210765487</v>
      </c>
      <c r="DU3" s="59">
        <f>IF('Données projet'!E14&gt;30,$DS$33-$H$33,LOOKUP('Données projet'!$E$14,$A$3:$A$203,DS3:DS203)-LOOKUP('Données projet'!$E$14,$A$3:$A$203,$H$3:$H$203))</f>
        <v>311.68541696405975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169.94324806892294</v>
      </c>
      <c r="S4" s="59">
        <f ca="1">AVERAGE(OFFSET($R$3,0,0,'Données projet'!$E$9+1,1))-AVERAGE(OFFSET($H$3,0,0,'Données projet'!$E$9+1,1))</f>
        <v>337.99164391755608</v>
      </c>
      <c r="T4" s="59">
        <f>$T$3</f>
        <v>421.45428231923393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3.6141025641025637</v>
      </c>
      <c r="AI4" s="13">
        <f>IF('Données projet'!$A$62&gt;35,AI3+AH4-AQ3,IF(A4&lt;'Données projet'!$A$62,$AF$205^A4,IF(A4='Données projet'!$A$62,'Données projet'!$B$62,AI3+AH4-AQ3)))</f>
        <v>1.1690615875970631</v>
      </c>
      <c r="AJ4" s="13">
        <f>AI4*VLOOKUP('Données projet'!$B$10,Paramètres!$A$1:$I$89,3,0)*VLOOKUP('Données projet'!$B$10,Paramètres!$A$1:$I$89,5,0)</f>
        <v>1.185428449823422</v>
      </c>
      <c r="AK4" s="13">
        <f>EXP(-1.0587+0.8836*LN(AJ4)+0.284)</f>
        <v>0.53558489542399201</v>
      </c>
      <c r="AL4" s="20">
        <f t="shared" ref="AL4:AL67" si="4">(AJ4+AK4)*0.475*44/12</f>
        <v>2.9974315763059121</v>
      </c>
      <c r="AM4" s="59">
        <f t="shared" ref="AM4:AM67" si="5">AL4+(AD4+AE4)*44/12</f>
        <v>170.80986552922974</v>
      </c>
      <c r="AN4" s="59">
        <f ca="1">AVERAGE(OFFSET($AM$3,0,0,'Données projet'!$E$10+1,1))-AVERAGE(OFFSET($H$3,0,0,'Données projet'!$E$10+1,1))</f>
        <v>596.42822894047072</v>
      </c>
      <c r="AO4" s="59">
        <f>$AO$3</f>
        <v>298.31525330951047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</v>
      </c>
      <c r="BD4" s="12">
        <f>IF('Données projet'!$A$88&gt;35,BD3+BC4-BL3,IF(A4&lt;'Données projet'!$A$88,$BA$205^A4,IF(A4='Données projet'!$A$88,'Données projet'!$B$88,BD3+BC4-BL3)))</f>
        <v>1.4003603312913959</v>
      </c>
      <c r="BE4" s="13">
        <f>BD4*VLOOKUP('Données projet'!$B$11,Paramètres!$A$1:$I$89,3,0)*VLOOKUP('Données projet'!$B$11,Paramètres!$A$1:$I$89,5,0)</f>
        <v>1.4636566182657671</v>
      </c>
      <c r="BF4" s="13">
        <f>EXP(-1.0587+0.8836*LN(BE4)+0.284)</f>
        <v>0.64525910695655797</v>
      </c>
      <c r="BG4" s="20">
        <f t="shared" ref="BG4:BG67" si="7">(BE4+BF4)*0.475*44/12</f>
        <v>3.6730282214288827</v>
      </c>
      <c r="BH4" s="59">
        <f t="shared" ref="BH4:BH67" si="8">BG4+(AY4+AZ4)*44/12</f>
        <v>171.48546217435273</v>
      </c>
      <c r="BI4" s="59">
        <f ca="1">AVERAGE(OFFSET($BH$3,0,0,'Données projet'!$E$11+1,1))-AVERAGE(OFFSET($H$3,0,0,'Données projet'!$E$11+1,1))</f>
        <v>446.06835300781546</v>
      </c>
      <c r="BJ4" s="59">
        <f>$BJ$3</f>
        <v>396.46809188573138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5.29</v>
      </c>
      <c r="BY4" s="12">
        <f>IF('Données projet'!$A$114&gt;35,BY3+BX4-CG3,IF(A4&lt;'Données projet'!$A$114,$BV$205^A4,IF(A4='Données projet'!$A$114,'Données projet'!$B$114,BY3+BX4-CG3)))</f>
        <v>1.1840023495981542</v>
      </c>
      <c r="BZ4" s="13">
        <f>BY4*VLOOKUP('Données projet'!$B$12,Paramètres!$A$1:$I$89,3,0)*VLOOKUP('Données projet'!$B$12,Paramètres!$A$1:$I$89,5,0)</f>
        <v>0.55411309961193622</v>
      </c>
      <c r="CA4" s="13">
        <f>EXP(-1.0587+0.8836*LN(BZ4)+0.284)</f>
        <v>0.2735241180655793</v>
      </c>
      <c r="CB4" s="20">
        <f t="shared" ref="CB4:CB67" si="10">(BZ4+CA4)*0.475*44/12</f>
        <v>1.441468154121673</v>
      </c>
      <c r="CC4" s="59">
        <f t="shared" ref="CC4:CC67" si="11">CB4+(BT4+BU4)*44/12</f>
        <v>169.25390210704552</v>
      </c>
      <c r="CD4" s="59">
        <f ca="1">AVERAGE(OFFSET($CC$3,0,0,'Données projet'!$E$12+1,1))-AVERAGE(OFFSET($H$3,0,0,'Données projet'!$E$12+1,1))</f>
        <v>307.52821153421951</v>
      </c>
      <c r="CE4" s="59">
        <f>$CE$3</f>
        <v>221.23619018904222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2.5115384615384619</v>
      </c>
      <c r="CT4" s="12">
        <f>IF('Données projet'!$A$140&gt;35,CT3+CS4-DB3,IF(A4&lt;'Données projet'!$A$140,$CQ$205^A4,IF(A4='Données projet'!$A$140,'Données projet'!$B$140,CT3+CS4-DB3)))</f>
        <v>1.1549646791274306</v>
      </c>
      <c r="CU4" s="17">
        <f>CT4*VLOOKUP('Données projet'!$B$13,Paramètres!$A$1:$I$89,3,0)*VLOOKUP('Données projet'!$B$13,Paramètres!$A$1:$I$89,5,0)</f>
        <v>1.315273776590318</v>
      </c>
      <c r="CV4" s="13">
        <f>EXP(-1.0587+0.8836*LN(CU4)+0.284)</f>
        <v>0.58710360229710779</v>
      </c>
      <c r="CW4" s="20">
        <f t="shared" ref="CW4:CW67" si="13">(CU4+CV4)*0.475*44/12</f>
        <v>3.3133072682289328</v>
      </c>
      <c r="CX4" s="59">
        <f t="shared" ref="CX4:CX67" si="14">CW4+(CO4+CP4)*44/12</f>
        <v>171.12574122115277</v>
      </c>
      <c r="CY4" s="59">
        <f ca="1">AVERAGE(OFFSET($CX$3,0,0,'Données projet'!$E$13+1,1))-AVERAGE(OFFSET($H$3,0,0,'Données projet'!$E$13+1,1))</f>
        <v>598.12133208901378</v>
      </c>
      <c r="CZ4" s="59">
        <f>$CZ$3</f>
        <v>246.23353541360947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1.0121422546683387</v>
      </c>
      <c r="DQ4" s="13">
        <f>EXP(-1.0587+0.8836*LN(DP4)+0.284)</f>
        <v>0.46578286063395047</v>
      </c>
      <c r="DR4" s="20">
        <f t="shared" ref="DR4:DR67" si="16">(DP4+DQ4)*0.475*44/12</f>
        <v>2.574052909151487</v>
      </c>
      <c r="DS4" s="59">
        <f t="shared" ref="DS4:DS67" si="17">DR4+(DJ4+DK4)*44/12</f>
        <v>170.38648686207532</v>
      </c>
      <c r="DT4" s="59">
        <f ca="1">AVERAGE(OFFSET($DS$3,0,0,'Données projet'!$E$14+1,1))-AVERAGE(OFFSET($H$3,0,0,'Données projet'!$E$14+1,1))</f>
        <v>323.01113210765487</v>
      </c>
      <c r="DU4" s="59">
        <f>$DU$3</f>
        <v>311.68541696405975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173.52542517955777</v>
      </c>
      <c r="S5" s="59">
        <f ca="1">AVERAGE(OFFSET($R$3,0,0,'Données projet'!$E$9+1,1))-AVERAGE(OFFSET($H$3,0,0,'Données projet'!$E$9+1,1))</f>
        <v>337.99164391755608</v>
      </c>
      <c r="T5" s="59">
        <f t="shared" ref="T5:T68" si="34">$T$3</f>
        <v>421.45428231923393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3.6141025641025637</v>
      </c>
      <c r="AI5" s="13">
        <f>IF('Données projet'!$A$62&gt;35,AI4+AH5-AQ4,IF(A5&lt;'Données projet'!$A$62,$AF$205^A5,IF(A5='Données projet'!$A$62,'Données projet'!$B$62,AI4+AH5-AQ4)))</f>
        <v>1.3667049955949657</v>
      </c>
      <c r="AJ5" s="13">
        <f>AI5*VLOOKUP('Données projet'!$B$10,Paramètres!$A$1:$I$89,3,0)*VLOOKUP('Données projet'!$B$10,Paramètres!$A$1:$I$89,5,0)</f>
        <v>1.3858388655332954</v>
      </c>
      <c r="AK5" s="13">
        <f t="shared" ref="AK5:AK68" si="35">EXP(-1.0587+0.8836*LN(AJ5)+0.284)</f>
        <v>0.61485037062011905</v>
      </c>
      <c r="AL5" s="20">
        <f t="shared" si="4"/>
        <v>3.4845337529671969</v>
      </c>
      <c r="AM5" s="59">
        <f t="shared" si="5"/>
        <v>174.08181504046803</v>
      </c>
      <c r="AN5" s="59">
        <f ca="1">AVERAGE(OFFSET($AM$3,0,0,'Données projet'!$E$10+1,1))-AVERAGE(OFFSET($H$3,0,0,'Données projet'!$E$10+1,1))</f>
        <v>596.42822894047072</v>
      </c>
      <c r="AO5" s="59">
        <f t="shared" ref="AO5:AO68" si="36">$AO$3</f>
        <v>298.31525330951047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</v>
      </c>
      <c r="BD5" s="12">
        <f>IF('Données projet'!$A$88&gt;35,BD4+BC5-BL4,IF(A5&lt;'Données projet'!$A$88,$BA$205^A5,IF(A5='Données projet'!$A$88,'Données projet'!$B$88,BD4+BC5-BL4)))</f>
        <v>1.9610090574545482</v>
      </c>
      <c r="BE5" s="13">
        <f>BD5*VLOOKUP('Données projet'!$B$11,Paramètres!$A$1:$I$89,3,0)*VLOOKUP('Données projet'!$B$11,Paramètres!$A$1:$I$89,5,0)</f>
        <v>2.0496466668514941</v>
      </c>
      <c r="BF5" s="13">
        <f t="shared" ref="BF5:BF68" si="37">EXP(-1.0587+0.8836*LN(BE5)+0.284)</f>
        <v>0.86886365296461709</v>
      </c>
      <c r="BG5" s="20">
        <f t="shared" si="7"/>
        <v>5.0830721403463937</v>
      </c>
      <c r="BH5" s="59">
        <f t="shared" si="8"/>
        <v>175.68035342784722</v>
      </c>
      <c r="BI5" s="59">
        <f ca="1">AVERAGE(OFFSET($BH$3,0,0,'Données projet'!$E$11+1,1))-AVERAGE(OFFSET($H$3,0,0,'Données projet'!$E$11+1,1))</f>
        <v>446.06835300781546</v>
      </c>
      <c r="BJ5" s="59">
        <f t="shared" ref="BJ5:BJ68" si="38">$BJ$3</f>
        <v>396.46809188573138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5.29</v>
      </c>
      <c r="BY5" s="12">
        <f>IF('Données projet'!$A$114&gt;35,BY4+BX5-CG4,IF(A5&lt;'Données projet'!$A$114,$BV$205^A5,IF(A5='Données projet'!$A$114,'Données projet'!$B$114,BY4+BX5-CG4)))</f>
        <v>1.4018615638539498</v>
      </c>
      <c r="BZ5" s="13">
        <f>BY5*VLOOKUP('Données projet'!$B$12,Paramètres!$A$1:$I$89,3,0)*VLOOKUP('Données projet'!$B$12,Paramètres!$A$1:$I$89,5,0)</f>
        <v>0.65607121188364859</v>
      </c>
      <c r="CA5" s="13">
        <f t="shared" ref="CA5:CA68" si="39">EXP(-1.0587+0.8836*LN(BZ5)+0.284)</f>
        <v>0.31754841703726766</v>
      </c>
      <c r="CB5" s="20">
        <f t="shared" si="10"/>
        <v>1.6957208537039292</v>
      </c>
      <c r="CC5" s="59">
        <f t="shared" si="11"/>
        <v>172.29300214120477</v>
      </c>
      <c r="CD5" s="59">
        <f ca="1">AVERAGE(OFFSET($CC$3,0,0,'Données projet'!$E$12+1,1))-AVERAGE(OFFSET($H$3,0,0,'Données projet'!$E$12+1,1))</f>
        <v>307.52821153421951</v>
      </c>
      <c r="CE5" s="59">
        <f t="shared" ref="CE5:CE68" si="40">$CE$3</f>
        <v>221.23619018904222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2.5115384615384619</v>
      </c>
      <c r="CT5" s="12">
        <f>IF('Données projet'!$A$140&gt;35,CT4+CS5-DB4,IF(A5&lt;'Données projet'!$A$140,$CQ$205^A5,IF(A5='Données projet'!$A$140,'Données projet'!$B$140,CT4+CS5-DB4)))</f>
        <v>1.3339434100319287</v>
      </c>
      <c r="CU5" s="17">
        <f>CT5*VLOOKUP('Données projet'!$B$13,Paramètres!$A$1:$I$89,3,0)*VLOOKUP('Données projet'!$B$13,Paramètres!$A$1:$I$89,5,0)</f>
        <v>1.5190947553443603</v>
      </c>
      <c r="CV5" s="13">
        <f t="shared" ref="CV5:CV68" si="41">EXP(-1.0587+0.8836*LN(CU5)+0.284)</f>
        <v>0.66680746167494587</v>
      </c>
      <c r="CW5" s="20">
        <f t="shared" si="13"/>
        <v>3.8071130279752921</v>
      </c>
      <c r="CX5" s="59">
        <f t="shared" si="14"/>
        <v>174.40439431547614</v>
      </c>
      <c r="CY5" s="59">
        <f ca="1">AVERAGE(OFFSET($CX$3,0,0,'Données projet'!$E$13+1,1))-AVERAGE(OFFSET($H$3,0,0,'Données projet'!$E$13+1,1))</f>
        <v>598.12133208901378</v>
      </c>
      <c r="CZ5" s="59">
        <f t="shared" ref="CZ5:CZ68" si="42">$CZ$3</f>
        <v>246.23353541360947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1.2876218497801761</v>
      </c>
      <c r="DQ5" s="13">
        <f t="shared" ref="DQ5:DQ68" si="43">EXP(-1.0587+0.8836*LN(DP5)+0.284)</f>
        <v>0.57618379541883336</v>
      </c>
      <c r="DR5" s="20">
        <f t="shared" si="16"/>
        <v>3.2461281653882743</v>
      </c>
      <c r="DS5" s="59">
        <f t="shared" si="17"/>
        <v>173.84340945288912</v>
      </c>
      <c r="DT5" s="59">
        <f ca="1">AVERAGE(OFFSET($DS$3,0,0,'Données projet'!$E$14+1,1))-AVERAGE(OFFSET($H$3,0,0,'Données projet'!$E$14+1,1))</f>
        <v>323.01113210765487</v>
      </c>
      <c r="DU5" s="59">
        <f t="shared" ref="DU5:DU68" si="44">$DU$3</f>
        <v>311.68541696405975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177.380121400002</v>
      </c>
      <c r="S6" s="59">
        <f ca="1">AVERAGE(OFFSET($R$3,0,0,'Données projet'!$E$9+1,1))-AVERAGE(OFFSET($H$3,0,0,'Données projet'!$E$9+1,1))</f>
        <v>337.99164391755608</v>
      </c>
      <c r="T6" s="59">
        <f t="shared" si="34"/>
        <v>421.45428231923393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3.6141025641025637</v>
      </c>
      <c r="AI6" s="13">
        <f>IF('Données projet'!$A$62&gt;35,AI5+AH6-AQ5,IF(A6&lt;'Données projet'!$A$62,$AF$205^A6,IF(A6='Données projet'!$A$62,'Données projet'!$B$62,AI5+AH6-AQ5)))</f>
        <v>1.5977623119270878</v>
      </c>
      <c r="AJ6" s="13">
        <f>AI6*VLOOKUP('Données projet'!$B$10,Paramètres!$A$1:$I$89,3,0)*VLOOKUP('Données projet'!$B$10,Paramètres!$A$1:$I$89,5,0)</f>
        <v>1.6201309842940672</v>
      </c>
      <c r="AK6" s="13">
        <f t="shared" si="35"/>
        <v>0.70584697492714799</v>
      </c>
      <c r="AL6" s="20">
        <f t="shared" si="4"/>
        <v>4.0510782789769495</v>
      </c>
      <c r="AM6" s="59">
        <f t="shared" si="5"/>
        <v>177.40609884886183</v>
      </c>
      <c r="AN6" s="59">
        <f ca="1">AVERAGE(OFFSET($AM$3,0,0,'Données projet'!$E$10+1,1))-AVERAGE(OFFSET($H$3,0,0,'Données projet'!$E$10+1,1))</f>
        <v>596.42822894047072</v>
      </c>
      <c r="AO6" s="59">
        <f t="shared" si="36"/>
        <v>298.31525330951047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</v>
      </c>
      <c r="BD6" s="12">
        <f>IF('Données projet'!$A$88&gt;35,BD5+BC6-BL5,IF(A6&lt;'Données projet'!$A$88,$BA$205^A6,IF(A6='Données projet'!$A$88,'Données projet'!$B$88,BD5+BC6-BL5)))</f>
        <v>2.7461192933624794</v>
      </c>
      <c r="BE6" s="13">
        <f>BD6*VLOOKUP('Données projet'!$B$11,Paramètres!$A$1:$I$89,3,0)*VLOOKUP('Données projet'!$B$11,Paramètres!$A$1:$I$89,5,0)</f>
        <v>2.8702438854224637</v>
      </c>
      <c r="BF6" s="13">
        <f t="shared" si="37"/>
        <v>1.1699548899103622</v>
      </c>
      <c r="BG6" s="20">
        <f t="shared" si="7"/>
        <v>7.036679533704671</v>
      </c>
      <c r="BH6" s="59">
        <f t="shared" si="8"/>
        <v>180.39170010358956</v>
      </c>
      <c r="BI6" s="59">
        <f ca="1">AVERAGE(OFFSET($BH$3,0,0,'Données projet'!$E$11+1,1))-AVERAGE(OFFSET($H$3,0,0,'Données projet'!$E$11+1,1))</f>
        <v>446.06835300781546</v>
      </c>
      <c r="BJ6" s="59">
        <f t="shared" si="38"/>
        <v>396.46809188573138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5.29</v>
      </c>
      <c r="BY6" s="12">
        <f>IF('Données projet'!$A$114&gt;35,BY5+BX6-CG5,IF(A6&lt;'Données projet'!$A$114,$BV$205^A6,IF(A6='Données projet'!$A$114,'Données projet'!$B$114,BY5+BX6-CG5)))</f>
        <v>1.6598073854144195</v>
      </c>
      <c r="BZ6" s="13">
        <f>BY6*VLOOKUP('Données projet'!$B$12,Paramètres!$A$1:$I$89,3,0)*VLOOKUP('Données projet'!$B$12,Paramètres!$A$1:$I$89,5,0)</f>
        <v>0.77678985637394826</v>
      </c>
      <c r="CA6" s="13">
        <f t="shared" si="39"/>
        <v>0.36865852223933709</v>
      </c>
      <c r="CB6" s="20">
        <f t="shared" si="10"/>
        <v>1.9949892594181386</v>
      </c>
      <c r="CC6" s="59">
        <f t="shared" si="11"/>
        <v>175.35000982930302</v>
      </c>
      <c r="CD6" s="59">
        <f ca="1">AVERAGE(OFFSET($CC$3,0,0,'Données projet'!$E$12+1,1))-AVERAGE(OFFSET($H$3,0,0,'Données projet'!$E$12+1,1))</f>
        <v>307.52821153421951</v>
      </c>
      <c r="CE6" s="59">
        <f t="shared" si="40"/>
        <v>221.23619018904222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2.5115384615384619</v>
      </c>
      <c r="CT6" s="12">
        <f>IF('Données projet'!$A$140&gt;35,CT5+CS6-DB5,IF(A6&lt;'Données projet'!$A$140,$CQ$205^A6,IF(A6='Données projet'!$A$140,'Données projet'!$B$140,CT5+CS6-DB5)))</f>
        <v>1.5406575225416772</v>
      </c>
      <c r="CU6" s="17">
        <f>CT6*VLOOKUP('Données projet'!$B$13,Paramètres!$A$1:$I$89,3,0)*VLOOKUP('Données projet'!$B$13,Paramètres!$A$1:$I$89,5,0)</f>
        <v>1.7545007866704621</v>
      </c>
      <c r="CV6" s="13">
        <f t="shared" si="41"/>
        <v>0.75733173703195111</v>
      </c>
      <c r="CW6" s="20">
        <f t="shared" si="13"/>
        <v>4.3747749787817023</v>
      </c>
      <c r="CX6" s="59">
        <f t="shared" si="14"/>
        <v>177.7297955486666</v>
      </c>
      <c r="CY6" s="59">
        <f ca="1">AVERAGE(OFFSET($CX$3,0,0,'Données projet'!$E$13+1,1))-AVERAGE(OFFSET($H$3,0,0,'Données projet'!$E$13+1,1))</f>
        <v>598.12133208901378</v>
      </c>
      <c r="CZ6" s="59">
        <f t="shared" si="42"/>
        <v>246.23353541360947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1.6380800429823084</v>
      </c>
      <c r="DQ6" s="13">
        <f t="shared" si="43"/>
        <v>0.71275221602487127</v>
      </c>
      <c r="DR6" s="20">
        <f t="shared" si="16"/>
        <v>4.0943661844375043</v>
      </c>
      <c r="DS6" s="59">
        <f t="shared" si="17"/>
        <v>177.4493867543224</v>
      </c>
      <c r="DT6" s="59">
        <f ca="1">AVERAGE(OFFSET($DS$3,0,0,'Données projet'!$E$14+1,1))-AVERAGE(OFFSET($H$3,0,0,'Données projet'!$E$14+1,1))</f>
        <v>323.01113210765487</v>
      </c>
      <c r="DU6" s="59">
        <f t="shared" si="44"/>
        <v>311.68541696405975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181.62085407754506</v>
      </c>
      <c r="S7" s="59">
        <f ca="1">AVERAGE(OFFSET($R$3,0,0,'Données projet'!$E$9+1,1))-AVERAGE(OFFSET($H$3,0,0,'Données projet'!$E$9+1,1))</f>
        <v>337.99164391755608</v>
      </c>
      <c r="T7" s="59">
        <f t="shared" si="34"/>
        <v>421.45428231923393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3.6141025641025637</v>
      </c>
      <c r="AI7" s="13">
        <f>IF('Données projet'!$A$62&gt;35,AI6+AH7-AQ6,IF(A7&lt;'Données projet'!$A$62,$AF$205^A7,IF(A7='Données projet'!$A$62,'Données projet'!$B$62,AI6+AH7-AQ6)))</f>
        <v>1.8678825449842353</v>
      </c>
      <c r="AJ7" s="13">
        <f>AI7*VLOOKUP('Données projet'!$B$10,Paramètres!$A$1:$I$89,3,0)*VLOOKUP('Données projet'!$B$10,Paramètres!$A$1:$I$89,5,0)</f>
        <v>1.8940329006140149</v>
      </c>
      <c r="AK7" s="13">
        <f t="shared" si="35"/>
        <v>0.81031089159353775</v>
      </c>
      <c r="AL7" s="20">
        <f t="shared" si="4"/>
        <v>4.710065438094821</v>
      </c>
      <c r="AM7" s="59">
        <f t="shared" si="5"/>
        <v>180.79618750227178</v>
      </c>
      <c r="AN7" s="59">
        <f ca="1">AVERAGE(OFFSET($AM$3,0,0,'Données projet'!$E$10+1,1))-AVERAGE(OFFSET($H$3,0,0,'Données projet'!$E$10+1,1))</f>
        <v>596.42822894047072</v>
      </c>
      <c r="AO7" s="59">
        <f t="shared" si="36"/>
        <v>298.31525330951047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</v>
      </c>
      <c r="BD7" s="12">
        <f>IF('Données projet'!$A$88&gt;35,BD6+BC7-BL6,IF(A7&lt;'Données projet'!$A$88,$BA$205^A7,IF(A7='Données projet'!$A$88,'Données projet'!$B$88,BD6+BC7-BL6)))</f>
        <v>3.8455565234187756</v>
      </c>
      <c r="BE7" s="13">
        <f>BD7*VLOOKUP('Données projet'!$B$11,Paramètres!$A$1:$I$89,3,0)*VLOOKUP('Données projet'!$B$11,Paramètres!$A$1:$I$89,5,0)</f>
        <v>4.0193756782773047</v>
      </c>
      <c r="BF7" s="13">
        <f t="shared" si="37"/>
        <v>1.5753846299758951</v>
      </c>
      <c r="BG7" s="20">
        <f t="shared" si="7"/>
        <v>9.7442075368743222</v>
      </c>
      <c r="BH7" s="59">
        <f t="shared" si="8"/>
        <v>185.83032960105126</v>
      </c>
      <c r="BI7" s="59">
        <f ca="1">AVERAGE(OFFSET($BH$3,0,0,'Données projet'!$E$11+1,1))-AVERAGE(OFFSET($H$3,0,0,'Données projet'!$E$11+1,1))</f>
        <v>446.06835300781546</v>
      </c>
      <c r="BJ7" s="59">
        <f t="shared" si="38"/>
        <v>396.46809188573138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5.29</v>
      </c>
      <c r="BY7" s="12">
        <f>IF('Données projet'!$A$114&gt;35,BY6+BX7-CG6,IF(A7&lt;'Données projet'!$A$114,$BV$205^A7,IF(A7='Données projet'!$A$114,'Données projet'!$B$114,BY6+BX7-CG6)))</f>
        <v>1.9652158442110417</v>
      </c>
      <c r="BZ7" s="13">
        <f>BY7*VLOOKUP('Données projet'!$B$12,Paramètres!$A$1:$I$89,3,0)*VLOOKUP('Données projet'!$B$12,Paramètres!$A$1:$I$89,5,0)</f>
        <v>0.91972101509076754</v>
      </c>
      <c r="CA7" s="13">
        <f t="shared" si="39"/>
        <v>0.42799490952506142</v>
      </c>
      <c r="CB7" s="20">
        <f t="shared" si="10"/>
        <v>2.3472719020392354</v>
      </c>
      <c r="CC7" s="59">
        <f t="shared" si="11"/>
        <v>178.43339396621619</v>
      </c>
      <c r="CD7" s="59">
        <f ca="1">AVERAGE(OFFSET($CC$3,0,0,'Données projet'!$E$12+1,1))-AVERAGE(OFFSET($H$3,0,0,'Données projet'!$E$12+1,1))</f>
        <v>307.52821153421951</v>
      </c>
      <c r="CE7" s="59">
        <f t="shared" si="40"/>
        <v>221.23619018904222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2.5115384615384619</v>
      </c>
      <c r="CT7" s="12">
        <f>IF('Données projet'!$A$140&gt;35,CT6+CS7-DB6,IF(A7&lt;'Données projet'!$A$140,$CQ$205^A7,IF(A7='Données projet'!$A$140,'Données projet'!$B$140,CT6+CS7-DB6)))</f>
        <v>1.7794050211676105</v>
      </c>
      <c r="CU7" s="17">
        <f>CT7*VLOOKUP('Données projet'!$B$13,Paramètres!$A$1:$I$89,3,0)*VLOOKUP('Données projet'!$B$13,Paramètres!$A$1:$I$89,5,0)</f>
        <v>2.0263864381056749</v>
      </c>
      <c r="CV7" s="13">
        <f t="shared" si="41"/>
        <v>0.86014538360913873</v>
      </c>
      <c r="CW7" s="20">
        <f t="shared" si="13"/>
        <v>5.0273762561533006</v>
      </c>
      <c r="CX7" s="59">
        <f t="shared" si="14"/>
        <v>181.11349832033025</v>
      </c>
      <c r="CY7" s="59">
        <f ca="1">AVERAGE(OFFSET($CX$3,0,0,'Données projet'!$E$13+1,1))-AVERAGE(OFFSET($H$3,0,0,'Données projet'!$E$13+1,1))</f>
        <v>598.12133208901378</v>
      </c>
      <c r="CZ7" s="59">
        <f t="shared" si="42"/>
        <v>246.23353541360947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2.0839241176864287</v>
      </c>
      <c r="DQ7" s="13">
        <f t="shared" si="43"/>
        <v>0.88169040068036508</v>
      </c>
      <c r="DR7" s="20">
        <f t="shared" si="16"/>
        <v>5.1651119528221656</v>
      </c>
      <c r="DS7" s="59">
        <f t="shared" si="17"/>
        <v>181.25123401699912</v>
      </c>
      <c r="DT7" s="59">
        <f ca="1">AVERAGE(OFFSET($DS$3,0,0,'Données projet'!$E$14+1,1))-AVERAGE(OFFSET($H$3,0,0,'Données projet'!$E$14+1,1))</f>
        <v>323.01113210765487</v>
      </c>
      <c r="DU7" s="59">
        <f t="shared" si="44"/>
        <v>311.68541696405975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186.40394297434591</v>
      </c>
      <c r="S8" s="59">
        <f ca="1">AVERAGE(OFFSET($R$3,0,0,'Données projet'!$E$9+1,1))-AVERAGE(OFFSET($H$3,0,0,'Données projet'!$E$9+1,1))</f>
        <v>337.99164391755608</v>
      </c>
      <c r="T8" s="59">
        <f t="shared" si="34"/>
        <v>421.45428231923393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3.6141025641025637</v>
      </c>
      <c r="AI8" s="13">
        <f>IF('Données projet'!$A$62&gt;35,AI7+AH8-AQ7,IF(A8&lt;'Données projet'!$A$62,$AF$205^A8,IF(A8='Données projet'!$A$62,'Données projet'!$B$62,AI7+AH8-AQ7)))</f>
        <v>2.1836697334841126</v>
      </c>
      <c r="AJ8" s="13">
        <f>AI8*VLOOKUP('Données projet'!$B$10,Paramètres!$A$1:$I$89,3,0)*VLOOKUP('Données projet'!$B$10,Paramètres!$A$1:$I$89,5,0)</f>
        <v>2.2142411097528902</v>
      </c>
      <c r="AK8" s="13">
        <f t="shared" si="35"/>
        <v>0.93023525545729457</v>
      </c>
      <c r="AL8" s="20">
        <f t="shared" si="4"/>
        <v>5.476629669407739</v>
      </c>
      <c r="AM8" s="59">
        <f t="shared" si="5"/>
        <v>184.26767754585509</v>
      </c>
      <c r="AN8" s="59">
        <f ca="1">AVERAGE(OFFSET($AM$3,0,0,'Données projet'!$E$10+1,1))-AVERAGE(OFFSET($H$3,0,0,'Données projet'!$E$10+1,1))</f>
        <v>596.42822894047072</v>
      </c>
      <c r="AO8" s="59">
        <f t="shared" si="36"/>
        <v>298.31525330951047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</v>
      </c>
      <c r="BD8" s="12">
        <f>IF('Données projet'!$A$88&gt;35,BD7+BC8-BL7,IF(A8&lt;'Données projet'!$A$88,$BA$205^A8,IF(A8='Données projet'!$A$88,'Données projet'!$B$88,BD7+BC8-BL7)))</f>
        <v>5.3851648071345055</v>
      </c>
      <c r="BE8" s="13">
        <f>BD8*VLOOKUP('Données projet'!$B$11,Paramètres!$A$1:$I$89,3,0)*VLOOKUP('Données projet'!$B$11,Paramètres!$A$1:$I$89,5,0)</f>
        <v>5.6285742564169858</v>
      </c>
      <c r="BF8" s="13">
        <f t="shared" si="37"/>
        <v>2.1213097648187431</v>
      </c>
      <c r="BG8" s="20">
        <f t="shared" si="7"/>
        <v>13.497714670318894</v>
      </c>
      <c r="BH8" s="59">
        <f t="shared" si="8"/>
        <v>192.28876254676624</v>
      </c>
      <c r="BI8" s="59">
        <f ca="1">AVERAGE(OFFSET($BH$3,0,0,'Données projet'!$E$11+1,1))-AVERAGE(OFFSET($H$3,0,0,'Données projet'!$E$11+1,1))</f>
        <v>446.06835300781546</v>
      </c>
      <c r="BJ8" s="59">
        <f t="shared" si="38"/>
        <v>396.46809188573138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5.29</v>
      </c>
      <c r="BY8" s="12">
        <f>IF('Données projet'!$A$114&gt;35,BY7+BX8-CG7,IF(A8&lt;'Données projet'!$A$114,$BV$205^A8,IF(A8='Données projet'!$A$114,'Données projet'!$B$114,BY7+BX8-CG7)))</f>
        <v>2.3268201770133934</v>
      </c>
      <c r="BZ8" s="13">
        <f>BY8*VLOOKUP('Données projet'!$B$12,Paramètres!$A$1:$I$89,3,0)*VLOOKUP('Données projet'!$B$12,Paramètres!$A$1:$I$89,5,0)</f>
        <v>1.088951842842268</v>
      </c>
      <c r="CA8" s="13">
        <f t="shared" si="39"/>
        <v>0.49688161680538406</v>
      </c>
      <c r="CB8" s="20">
        <f t="shared" si="10"/>
        <v>2.7619932755529937</v>
      </c>
      <c r="CC8" s="59">
        <f t="shared" si="11"/>
        <v>181.55304115200033</v>
      </c>
      <c r="CD8" s="59">
        <f ca="1">AVERAGE(OFFSET($CC$3,0,0,'Données projet'!$E$12+1,1))-AVERAGE(OFFSET($H$3,0,0,'Données projet'!$E$12+1,1))</f>
        <v>307.52821153421951</v>
      </c>
      <c r="CE8" s="59">
        <f t="shared" si="40"/>
        <v>221.23619018904222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2.5115384615384619</v>
      </c>
      <c r="CT8" s="12">
        <f>IF('Données projet'!$A$140&gt;35,CT7+CS8-DB7,IF(A8&lt;'Données projet'!$A$140,$CQ$205^A8,IF(A8='Données projet'!$A$140,'Données projet'!$B$140,CT7+CS8-DB7)))</f>
        <v>2.055149949310588</v>
      </c>
      <c r="CU8" s="17">
        <f>CT8*VLOOKUP('Données projet'!$B$13,Paramètres!$A$1:$I$89,3,0)*VLOOKUP('Données projet'!$B$13,Paramètres!$A$1:$I$89,5,0)</f>
        <v>2.3404047622748978</v>
      </c>
      <c r="CV8" s="13">
        <f t="shared" si="41"/>
        <v>0.97691677869416793</v>
      </c>
      <c r="CW8" s="20">
        <f t="shared" si="13"/>
        <v>5.7776683505211226</v>
      </c>
      <c r="CX8" s="59">
        <f t="shared" si="14"/>
        <v>184.56871622696846</v>
      </c>
      <c r="CY8" s="59">
        <f ca="1">AVERAGE(OFFSET($CX$3,0,0,'Données projet'!$E$13+1,1))-AVERAGE(OFFSET($H$3,0,0,'Données projet'!$E$13+1,1))</f>
        <v>598.12133208901378</v>
      </c>
      <c r="CZ8" s="59">
        <f t="shared" si="42"/>
        <v>246.23353541360947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2.6511157051695204</v>
      </c>
      <c r="DQ8" s="13">
        <f t="shared" si="43"/>
        <v>1.0906707059957799</v>
      </c>
      <c r="DR8" s="20">
        <f t="shared" si="16"/>
        <v>6.5169446661128978</v>
      </c>
      <c r="DS8" s="59">
        <f t="shared" si="17"/>
        <v>185.30799254256024</v>
      </c>
      <c r="DT8" s="59">
        <f ca="1">AVERAGE(OFFSET($DS$3,0,0,'Données projet'!$E$14+1,1))-AVERAGE(OFFSET($H$3,0,0,'Données projet'!$E$14+1,1))</f>
        <v>323.01113210765487</v>
      </c>
      <c r="DU8" s="59">
        <f t="shared" si="44"/>
        <v>311.68541696405975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191.94477833292305</v>
      </c>
      <c r="S9" s="59">
        <f ca="1">AVERAGE(OFFSET($R$3,0,0,'Données projet'!$E$9+1,1))-AVERAGE(OFFSET($H$3,0,0,'Données projet'!$E$9+1,1))</f>
        <v>337.99164391755608</v>
      </c>
      <c r="T9" s="59">
        <f t="shared" si="34"/>
        <v>421.45428231923393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3.6141025641025637</v>
      </c>
      <c r="AI9" s="13">
        <f>IF('Données projet'!$A$62&gt;35,AI8+AH9-AQ8,IF(A9&lt;'Données projet'!$A$62,$AF$205^A9,IF(A9='Données projet'!$A$62,'Données projet'!$B$62,AI8+AH9-AQ8)))</f>
        <v>2.5528444054145929</v>
      </c>
      <c r="AJ9" s="13">
        <f>AI9*VLOOKUP('Données projet'!$B$10,Paramètres!$A$1:$I$89,3,0)*VLOOKUP('Données projet'!$B$10,Paramètres!$A$1:$I$89,5,0)</f>
        <v>2.5885842270903976</v>
      </c>
      <c r="AK9" s="13">
        <f t="shared" si="35"/>
        <v>1.0679081812586111</v>
      </c>
      <c r="AL9" s="20">
        <f t="shared" si="4"/>
        <v>6.3683909445411908</v>
      </c>
      <c r="AM9" s="59">
        <f t="shared" si="5"/>
        <v>187.83864304080018</v>
      </c>
      <c r="AN9" s="59">
        <f ca="1">AVERAGE(OFFSET($AM$3,0,0,'Données projet'!$E$10+1,1))-AVERAGE(OFFSET($H$3,0,0,'Données projet'!$E$10+1,1))</f>
        <v>596.42822894047072</v>
      </c>
      <c r="AO9" s="59">
        <f t="shared" si="36"/>
        <v>298.31525330951047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</v>
      </c>
      <c r="BD9" s="12">
        <f>IF('Données projet'!$A$88&gt;35,BD8+BC9-BL8,IF(A9&lt;'Données projet'!$A$88,$BA$205^A9,IF(A9='Données projet'!$A$88,'Données projet'!$B$88,BD8+BC9-BL8)))</f>
        <v>7.5411711733776423</v>
      </c>
      <c r="BE9" s="13">
        <f>BD9*VLOOKUP('Données projet'!$B$11,Paramètres!$A$1:$I$89,3,0)*VLOOKUP('Données projet'!$B$11,Paramètres!$A$1:$I$89,5,0)</f>
        <v>7.882032110414313</v>
      </c>
      <c r="BF9" s="13">
        <f t="shared" si="37"/>
        <v>2.8564167966931366</v>
      </c>
      <c r="BG9" s="20">
        <f t="shared" si="7"/>
        <v>18.702798513212141</v>
      </c>
      <c r="BH9" s="59">
        <f t="shared" si="8"/>
        <v>200.17305060947112</v>
      </c>
      <c r="BI9" s="59">
        <f ca="1">AVERAGE(OFFSET($BH$3,0,0,'Données projet'!$E$11+1,1))-AVERAGE(OFFSET($H$3,0,0,'Données projet'!$E$11+1,1))</f>
        <v>446.06835300781546</v>
      </c>
      <c r="BJ9" s="59">
        <f t="shared" si="38"/>
        <v>396.46809188573138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5.29</v>
      </c>
      <c r="BY9" s="12">
        <f>IF('Données projet'!$A$114&gt;35,BY8+BX9-CG8,IF(A9&lt;'Données projet'!$A$114,$BV$205^A9,IF(A9='Données projet'!$A$114,'Données projet'!$B$114,BY8+BX9-CG8)))</f>
        <v>2.7549605566762509</v>
      </c>
      <c r="BZ9" s="13">
        <f>BY9*VLOOKUP('Données projet'!$B$12,Paramètres!$A$1:$I$89,3,0)*VLOOKUP('Données projet'!$B$12,Paramètres!$A$1:$I$89,5,0)</f>
        <v>1.2893215405244856</v>
      </c>
      <c r="CA9" s="13">
        <f t="shared" si="39"/>
        <v>0.57685578875950583</v>
      </c>
      <c r="CB9" s="20">
        <f t="shared" si="10"/>
        <v>3.2502588485029515</v>
      </c>
      <c r="CC9" s="59">
        <f t="shared" si="11"/>
        <v>184.72051094476191</v>
      </c>
      <c r="CD9" s="59">
        <f ca="1">AVERAGE(OFFSET($CC$3,0,0,'Données projet'!$E$12+1,1))-AVERAGE(OFFSET($H$3,0,0,'Données projet'!$E$12+1,1))</f>
        <v>307.52821153421951</v>
      </c>
      <c r="CE9" s="59">
        <f t="shared" si="40"/>
        <v>221.23619018904222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2.5115384615384619</v>
      </c>
      <c r="CT9" s="12">
        <f>IF('Données projet'!$A$140&gt;35,CT8+CS9-DB8,IF(A9&lt;'Données projet'!$A$140,$CQ$205^A9,IF(A9='Données projet'!$A$140,'Données projet'!$B$140,CT8+CS9-DB8)))</f>
        <v>2.3736256017642585</v>
      </c>
      <c r="CU9" s="17">
        <f>CT9*VLOOKUP('Données projet'!$B$13,Paramètres!$A$1:$I$89,3,0)*VLOOKUP('Données projet'!$B$13,Paramètres!$A$1:$I$89,5,0)</f>
        <v>2.7030848352891375</v>
      </c>
      <c r="CV9" s="13">
        <f t="shared" si="41"/>
        <v>1.1095407947081026</v>
      </c>
      <c r="CW9" s="20">
        <f t="shared" si="13"/>
        <v>6.6403229722451913</v>
      </c>
      <c r="CX9" s="59">
        <f t="shared" si="14"/>
        <v>188.11057506850418</v>
      </c>
      <c r="CY9" s="59">
        <f ca="1">AVERAGE(OFFSET($CX$3,0,0,'Données projet'!$E$13+1,1))-AVERAGE(OFFSET($H$3,0,0,'Données projet'!$E$13+1,1))</f>
        <v>598.12133208901378</v>
      </c>
      <c r="CZ9" s="59">
        <f t="shared" si="42"/>
        <v>246.23353541360947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3.3726825379800407</v>
      </c>
      <c r="DQ9" s="13">
        <f t="shared" si="43"/>
        <v>1.3491840083541735</v>
      </c>
      <c r="DR9" s="20">
        <f t="shared" si="16"/>
        <v>8.2239175681987557</v>
      </c>
      <c r="DS9" s="59">
        <f t="shared" si="17"/>
        <v>189.69416966445772</v>
      </c>
      <c r="DT9" s="59">
        <f ca="1">AVERAGE(OFFSET($DS$3,0,0,'Données projet'!$E$14+1,1))-AVERAGE(OFFSET($H$3,0,0,'Données projet'!$E$14+1,1))</f>
        <v>323.01113210765487</v>
      </c>
      <c r="DU9" s="59">
        <f t="shared" si="44"/>
        <v>311.68541696405975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198.54029018156211</v>
      </c>
      <c r="S10" s="59">
        <f ca="1">AVERAGE(OFFSET($R$3,0,0,'Données projet'!$E$9+1,1))-AVERAGE(OFFSET($H$3,0,0,'Données projet'!$E$9+1,1))</f>
        <v>337.99164391755608</v>
      </c>
      <c r="T10" s="59">
        <f t="shared" si="34"/>
        <v>421.45428231923393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3.6141025641025637</v>
      </c>
      <c r="AI10" s="13">
        <f>IF('Données projet'!$A$62&gt;35,AI9+AH10-AQ9,IF(A10&lt;'Données projet'!$A$62,$AF$205^A10,IF(A10='Données projet'!$A$62,'Données projet'!$B$62,AI9+AH10-AQ9)))</f>
        <v>2.9844323334822644</v>
      </c>
      <c r="AJ10" s="13">
        <f>AI10*VLOOKUP('Données projet'!$B$10,Paramètres!$A$1:$I$89,3,0)*VLOOKUP('Données projet'!$B$10,Paramètres!$A$1:$I$89,5,0)</f>
        <v>3.0262143861510165</v>
      </c>
      <c r="AK10" s="13">
        <f t="shared" si="35"/>
        <v>1.225956420065428</v>
      </c>
      <c r="AL10" s="20">
        <f t="shared" si="4"/>
        <v>7.4058641541603079</v>
      </c>
      <c r="AM10" s="59">
        <f t="shared" si="5"/>
        <v>191.53004508989653</v>
      </c>
      <c r="AN10" s="59">
        <f ca="1">AVERAGE(OFFSET($AM$3,0,0,'Données projet'!$E$10+1,1))-AVERAGE(OFFSET($H$3,0,0,'Données projet'!$E$10+1,1))</f>
        <v>596.42822894047072</v>
      </c>
      <c r="AO10" s="59">
        <f t="shared" si="36"/>
        <v>298.31525330951047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</v>
      </c>
      <c r="BD10" s="12">
        <f>IF('Données projet'!$A$88&gt;35,BD9+BC10-BL9,IF(A10&lt;'Données projet'!$A$88,$BA$205^A10,IF(A10='Données projet'!$A$88,'Données projet'!$B$88,BD9+BC10-BL9)))</f>
        <v>10.560356962676241</v>
      </c>
      <c r="BE10" s="13">
        <f>BD10*VLOOKUP('Données projet'!$B$11,Paramètres!$A$1:$I$89,3,0)*VLOOKUP('Données projet'!$B$11,Paramètres!$A$1:$I$89,5,0)</f>
        <v>11.037685097389209</v>
      </c>
      <c r="BF10" s="13">
        <f t="shared" si="37"/>
        <v>3.8462637808711757</v>
      </c>
      <c r="BG10" s="20">
        <f t="shared" si="7"/>
        <v>25.92287762963684</v>
      </c>
      <c r="BH10" s="59">
        <f t="shared" si="8"/>
        <v>210.04705856537308</v>
      </c>
      <c r="BI10" s="59">
        <f ca="1">AVERAGE(OFFSET($BH$3,0,0,'Données projet'!$E$11+1,1))-AVERAGE(OFFSET($H$3,0,0,'Données projet'!$E$11+1,1))</f>
        <v>446.06835300781546</v>
      </c>
      <c r="BJ10" s="59">
        <f t="shared" si="38"/>
        <v>396.46809188573138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5.29</v>
      </c>
      <c r="BY10" s="12">
        <f>IF('Données projet'!$A$114&gt;35,BY9+BX10-CG9,IF(A10&lt;'Données projet'!$A$114,$BV$205^A10,IF(A10='Données projet'!$A$114,'Données projet'!$B$114,BY9+BX10-CG9)))</f>
        <v>3.2618797721549204</v>
      </c>
      <c r="BZ10" s="13">
        <f>BY10*VLOOKUP('Données projet'!$B$12,Paramètres!$A$1:$I$89,3,0)*VLOOKUP('Données projet'!$B$12,Paramètres!$A$1:$I$89,5,0)</f>
        <v>1.5265597333685028</v>
      </c>
      <c r="CA10" s="13">
        <f t="shared" si="39"/>
        <v>0.66970197683060229</v>
      </c>
      <c r="CB10" s="20">
        <f t="shared" si="10"/>
        <v>3.8251558119301077</v>
      </c>
      <c r="CC10" s="59">
        <f t="shared" si="11"/>
        <v>187.94933674766634</v>
      </c>
      <c r="CD10" s="59">
        <f ca="1">AVERAGE(OFFSET($CC$3,0,0,'Données projet'!$E$12+1,1))-AVERAGE(OFFSET($H$3,0,0,'Données projet'!$E$12+1,1))</f>
        <v>307.52821153421951</v>
      </c>
      <c r="CE10" s="59">
        <f t="shared" si="40"/>
        <v>221.23619018904222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2.5115384615384619</v>
      </c>
      <c r="CT10" s="12">
        <f>IF('Données projet'!$A$140&gt;35,CT9+CS10-DB9,IF(A10&lt;'Données projet'!$A$140,$CQ$205^A10,IF(A10='Données projet'!$A$140,'Données projet'!$B$140,CT9+CS10-DB9)))</f>
        <v>2.7414537315103114</v>
      </c>
      <c r="CU10" s="17">
        <f>CT10*VLOOKUP('Données projet'!$B$13,Paramètres!$A$1:$I$89,3,0)*VLOOKUP('Données projet'!$B$13,Paramètres!$A$1:$I$89,5,0)</f>
        <v>3.1219675094439423</v>
      </c>
      <c r="CV10" s="13">
        <f t="shared" si="41"/>
        <v>1.2601695476733012</v>
      </c>
      <c r="CW10" s="20">
        <f t="shared" si="13"/>
        <v>7.6322220411458659</v>
      </c>
      <c r="CX10" s="59">
        <f t="shared" si="14"/>
        <v>191.7564029768821</v>
      </c>
      <c r="CY10" s="59">
        <f ca="1">AVERAGE(OFFSET($CX$3,0,0,'Données projet'!$E$13+1,1))-AVERAGE(OFFSET($H$3,0,0,'Données projet'!$E$13+1,1))</f>
        <v>598.12133208901378</v>
      </c>
      <c r="CZ10" s="59">
        <f t="shared" si="42"/>
        <v>246.23353541360947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4.2906416644942853</v>
      </c>
      <c r="DQ10" s="13">
        <f t="shared" si="43"/>
        <v>1.6689707336887791</v>
      </c>
      <c r="DR10" s="20">
        <f t="shared" si="16"/>
        <v>10.379658260168837</v>
      </c>
      <c r="DS10" s="59">
        <f t="shared" si="17"/>
        <v>194.50383919590507</v>
      </c>
      <c r="DT10" s="59">
        <f ca="1">AVERAGE(OFFSET($DS$3,0,0,'Données projet'!$E$14+1,1))-AVERAGE(OFFSET($H$3,0,0,'Données projet'!$E$14+1,1))</f>
        <v>323.01113210765487</v>
      </c>
      <c r="DU10" s="59">
        <f t="shared" si="44"/>
        <v>311.68541696405975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206.59998953972433</v>
      </c>
      <c r="S11" s="59">
        <f ca="1">AVERAGE(OFFSET($R$3,0,0,'Données projet'!$E$9+1,1))-AVERAGE(OFFSET($H$3,0,0,'Données projet'!$E$9+1,1))</f>
        <v>337.99164391755608</v>
      </c>
      <c r="T11" s="59">
        <f t="shared" si="34"/>
        <v>421.45428231923393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3.6141025641025637</v>
      </c>
      <c r="AI11" s="13">
        <f>IF('Données projet'!$A$62&gt;35,AI10+AH11-AQ10,IF(A11&lt;'Données projet'!$A$62,$AF$205^A11,IF(A11='Données projet'!$A$62,'Données projet'!$B$62,AI10+AH11-AQ10)))</f>
        <v>3.4889852018567837</v>
      </c>
      <c r="AJ11" s="13">
        <f>AI11*VLOOKUP('Données projet'!$B$10,Paramètres!$A$1:$I$89,3,0)*VLOOKUP('Données projet'!$B$10,Paramètres!$A$1:$I$89,5,0)</f>
        <v>3.5378309946827793</v>
      </c>
      <c r="AK11" s="13">
        <f t="shared" si="35"/>
        <v>1.4073954767611927</v>
      </c>
      <c r="AL11" s="20">
        <f t="shared" si="4"/>
        <v>8.6129361044315829</v>
      </c>
      <c r="AM11" s="59">
        <f t="shared" si="5"/>
        <v>195.36620897065214</v>
      </c>
      <c r="AN11" s="59">
        <f ca="1">AVERAGE(OFFSET($AM$3,0,0,'Données projet'!$E$10+1,1))-AVERAGE(OFFSET($H$3,0,0,'Données projet'!$E$10+1,1))</f>
        <v>596.42822894047072</v>
      </c>
      <c r="AO11" s="59">
        <f t="shared" si="36"/>
        <v>298.31525330951047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</v>
      </c>
      <c r="BD11" s="12">
        <f>IF('Données projet'!$A$88&gt;35,BD10+BC11-BL10,IF(A11&lt;'Données projet'!$A$88,$BA$205^A11,IF(A11='Données projet'!$A$88,'Données projet'!$B$88,BD10+BC11-BL10)))</f>
        <v>14.7883049748087</v>
      </c>
      <c r="BE11" s="13">
        <f>BD11*VLOOKUP('Données projet'!$B$11,Paramètres!$A$1:$I$89,3,0)*VLOOKUP('Données projet'!$B$11,Paramètres!$A$1:$I$89,5,0)</f>
        <v>15.456736359670055</v>
      </c>
      <c r="BF11" s="13">
        <f t="shared" si="37"/>
        <v>5.1791269009368985</v>
      </c>
      <c r="BG11" s="20">
        <f t="shared" si="7"/>
        <v>35.940795178890447</v>
      </c>
      <c r="BH11" s="59">
        <f t="shared" si="8"/>
        <v>222.69406804511101</v>
      </c>
      <c r="BI11" s="59">
        <f ca="1">AVERAGE(OFFSET($BH$3,0,0,'Données projet'!$E$11+1,1))-AVERAGE(OFFSET($H$3,0,0,'Données projet'!$E$11+1,1))</f>
        <v>446.06835300781546</v>
      </c>
      <c r="BJ11" s="59">
        <f t="shared" si="38"/>
        <v>396.46809188573138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5.29</v>
      </c>
      <c r="BY11" s="12">
        <f>IF('Données projet'!$A$114&gt;35,BY10+BX11-CG10,IF(A11&lt;'Données projet'!$A$114,$BV$205^A11,IF(A11='Données projet'!$A$114,'Données projet'!$B$114,BY10+BX11-CG10)))</f>
        <v>3.8620733143381174</v>
      </c>
      <c r="BZ11" s="13">
        <f>BY11*VLOOKUP('Données projet'!$B$12,Paramètres!$A$1:$I$89,3,0)*VLOOKUP('Données projet'!$B$12,Paramètres!$A$1:$I$89,5,0)</f>
        <v>1.8074503111102389</v>
      </c>
      <c r="CA11" s="13">
        <f t="shared" si="39"/>
        <v>0.77749195988011288</v>
      </c>
      <c r="CB11" s="20">
        <f t="shared" si="10"/>
        <v>4.5021077886415286</v>
      </c>
      <c r="CC11" s="59">
        <f t="shared" si="11"/>
        <v>191.25538065486208</v>
      </c>
      <c r="CD11" s="59">
        <f ca="1">AVERAGE(OFFSET($CC$3,0,0,'Données projet'!$E$12+1,1))-AVERAGE(OFFSET($H$3,0,0,'Données projet'!$E$12+1,1))</f>
        <v>307.52821153421951</v>
      </c>
      <c r="CE11" s="59">
        <f t="shared" si="40"/>
        <v>221.23619018904222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2.5115384615384619</v>
      </c>
      <c r="CT11" s="12">
        <f>IF('Données projet'!$A$140&gt;35,CT10+CS11-DB10,IF(A11&lt;'Données projet'!$A$140,$CQ$205^A11,IF(A11='Données projet'!$A$140,'Données projet'!$B$140,CT10+CS11-DB10)))</f>
        <v>3.1662822293565043</v>
      </c>
      <c r="CU11" s="17">
        <f>CT11*VLOOKUP('Données projet'!$B$13,Paramètres!$A$1:$I$89,3,0)*VLOOKUP('Données projet'!$B$13,Paramètres!$A$1:$I$89,5,0)</f>
        <v>3.6057622027911869</v>
      </c>
      <c r="CV11" s="13">
        <f t="shared" si="41"/>
        <v>1.4312473200238758</v>
      </c>
      <c r="CW11" s="20">
        <f t="shared" si="13"/>
        <v>8.772791585569566</v>
      </c>
      <c r="CX11" s="59">
        <f t="shared" si="14"/>
        <v>195.52606445179012</v>
      </c>
      <c r="CY11" s="59">
        <f ca="1">AVERAGE(OFFSET($CX$3,0,0,'Données projet'!$E$13+1,1))-AVERAGE(OFFSET($H$3,0,0,'Données projet'!$E$13+1,1))</f>
        <v>598.12133208901378</v>
      </c>
      <c r="CZ11" s="59">
        <f t="shared" si="42"/>
        <v>246.23353541360947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5.4584461139707896</v>
      </c>
      <c r="DQ11" s="13">
        <f t="shared" si="43"/>
        <v>2.0645540509389519</v>
      </c>
      <c r="DR11" s="20">
        <f t="shared" si="16"/>
        <v>13.102558620551131</v>
      </c>
      <c r="DS11" s="59">
        <f t="shared" si="17"/>
        <v>199.85583148677168</v>
      </c>
      <c r="DT11" s="59">
        <f ca="1">AVERAGE(OFFSET($DS$3,0,0,'Données projet'!$E$14+1,1))-AVERAGE(OFFSET($H$3,0,0,'Données projet'!$E$14+1,1))</f>
        <v>323.01113210765487</v>
      </c>
      <c r="DU11" s="59">
        <f t="shared" si="44"/>
        <v>311.68541696405975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216.68886081277779</v>
      </c>
      <c r="S12" s="59">
        <f ca="1">AVERAGE(OFFSET($R$3,0,0,'Données projet'!$E$9+1,1))-AVERAGE(OFFSET($H$3,0,0,'Données projet'!$E$9+1,1))</f>
        <v>337.99164391755608</v>
      </c>
      <c r="T12" s="59">
        <f t="shared" si="34"/>
        <v>421.45428231923393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3.6141025641025637</v>
      </c>
      <c r="AI12" s="13">
        <f>IF('Données projet'!$A$62&gt;35,AI11+AH12-AQ11,IF(A12&lt;'Données projet'!$A$62,$AF$205^A12,IF(A12='Données projet'!$A$62,'Données projet'!$B$62,AI11+AH12-AQ11)))</f>
        <v>4.0788385791853514</v>
      </c>
      <c r="AJ12" s="13">
        <f>AI12*VLOOKUP('Données projet'!$B$10,Paramètres!$A$1:$I$89,3,0)*VLOOKUP('Données projet'!$B$10,Paramètres!$A$1:$I$89,5,0)</f>
        <v>4.1359423192939468</v>
      </c>
      <c r="AK12" s="13">
        <f t="shared" si="35"/>
        <v>1.6156871448188612</v>
      </c>
      <c r="AL12" s="20">
        <f t="shared" si="4"/>
        <v>10.017421316663141</v>
      </c>
      <c r="AM12" s="59">
        <f t="shared" si="5"/>
        <v>199.3753800692192</v>
      </c>
      <c r="AN12" s="59">
        <f ca="1">AVERAGE(OFFSET($AM$3,0,0,'Données projet'!$E$10+1,1))-AVERAGE(OFFSET($H$3,0,0,'Données projet'!$E$10+1,1))</f>
        <v>596.42822894047072</v>
      </c>
      <c r="AO12" s="59">
        <f t="shared" si="36"/>
        <v>298.31525330951047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</v>
      </c>
      <c r="BD12" s="12">
        <f>IF('Données projet'!$A$88&gt;35,BD11+BC12-BL11,IF(A12&lt;'Données projet'!$A$88,$BA$205^A12,IF(A12='Données projet'!$A$88,'Données projet'!$B$88,BD11+BC12-BL11)))</f>
        <v>20.708955653761308</v>
      </c>
      <c r="BE12" s="13">
        <f>BD12*VLOOKUP('Données projet'!$B$11,Paramètres!$A$1:$I$89,3,0)*VLOOKUP('Données projet'!$B$11,Paramètres!$A$1:$I$89,5,0)</f>
        <v>21.645000449311322</v>
      </c>
      <c r="BF12" s="13">
        <f t="shared" si="37"/>
        <v>6.9738730841629319</v>
      </c>
      <c r="BG12" s="20">
        <f t="shared" si="7"/>
        <v>49.844538070800986</v>
      </c>
      <c r="BH12" s="59">
        <f t="shared" si="8"/>
        <v>239.20249682335705</v>
      </c>
      <c r="BI12" s="59">
        <f ca="1">AVERAGE(OFFSET($BH$3,0,0,'Données projet'!$E$11+1,1))-AVERAGE(OFFSET($H$3,0,0,'Données projet'!$E$11+1,1))</f>
        <v>446.06835300781546</v>
      </c>
      <c r="BJ12" s="59">
        <f t="shared" si="38"/>
        <v>396.46809188573138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5.29</v>
      </c>
      <c r="BY12" s="12">
        <f>IF('Données projet'!$A$114&gt;35,BY11+BX12-CG11,IF(A12&lt;'Données projet'!$A$114,$BV$205^A12,IF(A12='Données projet'!$A$114,'Données projet'!$B$114,BY11+BX12-CG11)))</f>
        <v>4.5727038784966618</v>
      </c>
      <c r="BZ12" s="13">
        <f>BY12*VLOOKUP('Données projet'!$B$12,Paramètres!$A$1:$I$89,3,0)*VLOOKUP('Données projet'!$B$12,Paramètres!$A$1:$I$89,5,0)</f>
        <v>2.1400254151364377</v>
      </c>
      <c r="CA12" s="13">
        <f t="shared" si="39"/>
        <v>0.90263097406254589</v>
      </c>
      <c r="CB12" s="20">
        <f t="shared" si="10"/>
        <v>5.29929321118823</v>
      </c>
      <c r="CC12" s="59">
        <f t="shared" si="11"/>
        <v>194.6572519637443</v>
      </c>
      <c r="CD12" s="59">
        <f ca="1">AVERAGE(OFFSET($CC$3,0,0,'Données projet'!$E$12+1,1))-AVERAGE(OFFSET($H$3,0,0,'Données projet'!$E$12+1,1))</f>
        <v>307.52821153421951</v>
      </c>
      <c r="CE12" s="59">
        <f t="shared" si="40"/>
        <v>221.23619018904222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2.5115384615384619</v>
      </c>
      <c r="CT12" s="12">
        <f>IF('Données projet'!$A$140&gt;35,CT11+CS12-DB11,IF(A12&lt;'Données projet'!$A$140,$CQ$205^A12,IF(A12='Données projet'!$A$140,'Données projet'!$B$140,CT11+CS12-DB11)))</f>
        <v>3.6569441390556205</v>
      </c>
      <c r="CU12" s="17">
        <f>CT12*VLOOKUP('Données projet'!$B$13,Paramètres!$A$1:$I$89,3,0)*VLOOKUP('Données projet'!$B$13,Paramètres!$A$1:$I$89,5,0)</f>
        <v>4.1645279855565409</v>
      </c>
      <c r="CV12" s="13">
        <f t="shared" si="41"/>
        <v>1.6255502244580438</v>
      </c>
      <c r="CW12" s="20">
        <f t="shared" si="13"/>
        <v>10.084386215775401</v>
      </c>
      <c r="CX12" s="59">
        <f t="shared" si="14"/>
        <v>199.44234496833147</v>
      </c>
      <c r="CY12" s="59">
        <f ca="1">AVERAGE(OFFSET($CX$3,0,0,'Données projet'!$E$13+1,1))-AVERAGE(OFFSET($H$3,0,0,'Données projet'!$E$13+1,1))</f>
        <v>598.12133208901378</v>
      </c>
      <c r="CZ12" s="59">
        <f t="shared" si="42"/>
        <v>246.23353541360947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6.9440974821267289</v>
      </c>
      <c r="DQ12" s="13">
        <f t="shared" si="43"/>
        <v>2.5538994442566798</v>
      </c>
      <c r="DR12" s="20">
        <f t="shared" si="16"/>
        <v>16.542344646784436</v>
      </c>
      <c r="DS12" s="59">
        <f t="shared" si="17"/>
        <v>205.90030339934052</v>
      </c>
      <c r="DT12" s="59">
        <f ca="1">AVERAGE(OFFSET($DS$3,0,0,'Données projet'!$E$14+1,1))-AVERAGE(OFFSET($H$3,0,0,'Données projet'!$E$14+1,1))</f>
        <v>323.01113210765487</v>
      </c>
      <c r="DU12" s="59">
        <f t="shared" si="44"/>
        <v>311.68541696405975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229.586642370276</v>
      </c>
      <c r="S13" s="59">
        <f ca="1">AVERAGE(OFFSET($R$3,0,0,'Données projet'!$E$9+1,1))-AVERAGE(OFFSET($H$3,0,0,'Données projet'!$E$9+1,1))</f>
        <v>337.99164391755608</v>
      </c>
      <c r="T13" s="59">
        <f t="shared" si="34"/>
        <v>421.45428231923393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3.6141025641025637</v>
      </c>
      <c r="AI13" s="13">
        <f>IF('Données projet'!$A$62&gt;35,AI12+AH13-AQ12,IF(A13&lt;'Données projet'!$A$62,$AF$205^A13,IF(A13='Données projet'!$A$62,'Données projet'!$B$62,AI12+AH13-AQ12)))</f>
        <v>4.7684135049345766</v>
      </c>
      <c r="AJ13" s="13">
        <f>AI13*VLOOKUP('Données projet'!$B$10,Paramètres!$A$1:$I$89,3,0)*VLOOKUP('Données projet'!$B$10,Paramètres!$A$1:$I$89,5,0)</f>
        <v>4.8351712940036604</v>
      </c>
      <c r="AK13" s="13">
        <f t="shared" si="35"/>
        <v>1.8548055561044454</v>
      </c>
      <c r="AL13" s="20">
        <f t="shared" si="4"/>
        <v>11.65170968060495</v>
      </c>
      <c r="AM13" s="59">
        <f t="shared" si="5"/>
        <v>203.59037166564983</v>
      </c>
      <c r="AN13" s="59">
        <f ca="1">AVERAGE(OFFSET($AM$3,0,0,'Données projet'!$E$10+1,1))-AVERAGE(OFFSET($H$3,0,0,'Données projet'!$E$10+1,1))</f>
        <v>596.42822894047072</v>
      </c>
      <c r="AO13" s="59">
        <f t="shared" si="36"/>
        <v>298.31525330951047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29</v>
      </c>
      <c r="BB13" s="12">
        <f>VLOOKUP(A13,'Données projet'!$A$87:$I$107,9,0)</f>
        <v>2.9</v>
      </c>
      <c r="BC13" s="12">
        <f t="array" ref="BC13">INDEX(BB:BB,MIN(IF(ISNUMBER(BB13:BB209),ROW(BB13:BB209),"")))</f>
        <v>2.9</v>
      </c>
      <c r="BD13" s="12">
        <f>IF('Données projet'!$A$88&gt;35,BD12+BC13-BL12,IF(A13&lt;'Données projet'!$A$88,$BA$205^A13,IF(A13='Données projet'!$A$88,'Données projet'!$B$88,BD12+BC13-BL12)))</f>
        <v>29</v>
      </c>
      <c r="BE13" s="13">
        <f>BD13*VLOOKUP('Données projet'!$B$11,Paramètres!$A$1:$I$89,3,0)*VLOOKUP('Données projet'!$B$11,Paramètres!$A$1:$I$89,5,0)</f>
        <v>30.3108</v>
      </c>
      <c r="BF13" s="13">
        <f t="shared" si="37"/>
        <v>9.3905607497692607</v>
      </c>
      <c r="BG13" s="20">
        <f t="shared" si="7"/>
        <v>69.146536639181463</v>
      </c>
      <c r="BH13" s="59">
        <f t="shared" si="8"/>
        <v>261.08519862422634</v>
      </c>
      <c r="BI13" s="59">
        <f ca="1">AVERAGE(OFFSET($BH$3,0,0,'Données projet'!$E$11+1,1))-AVERAGE(OFFSET($H$3,0,0,'Données projet'!$E$11+1,1))</f>
        <v>446.06835300781546</v>
      </c>
      <c r="BJ13" s="59">
        <f t="shared" si="38"/>
        <v>396.46809188573138</v>
      </c>
      <c r="BK13" s="15" t="str">
        <f>IF(ISNA(VLOOKUP(A13,'Données projet'!$A$87:$I$107,3,0)),0,VLOOKUP(A13,'Données projet'!$A$87:$I$107,3,0))</f>
        <v>na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5.29</v>
      </c>
      <c r="BY13" s="12">
        <f>IF('Données projet'!$A$114&gt;35,BY12+BX13-CG12,IF(A13&lt;'Données projet'!$A$114,$BV$205^A13,IF(A13='Données projet'!$A$114,'Données projet'!$B$114,BY12+BX13-CG12)))</f>
        <v>5.4140921361566399</v>
      </c>
      <c r="BZ13" s="13">
        <f>BY13*VLOOKUP('Données projet'!$B$12,Paramètres!$A$1:$I$89,3,0)*VLOOKUP('Données projet'!$B$12,Paramètres!$A$1:$I$89,5,0)</f>
        <v>2.5337951197213076</v>
      </c>
      <c r="CA13" s="13">
        <f t="shared" si="39"/>
        <v>1.0479113834987199</v>
      </c>
      <c r="CB13" s="20">
        <f t="shared" si="10"/>
        <v>6.2381388264415483</v>
      </c>
      <c r="CC13" s="59">
        <f t="shared" si="11"/>
        <v>198.17680081148643</v>
      </c>
      <c r="CD13" s="59">
        <f ca="1">AVERAGE(OFFSET($CC$3,0,0,'Données projet'!$E$12+1,1))-AVERAGE(OFFSET($H$3,0,0,'Données projet'!$E$12+1,1))</f>
        <v>307.52821153421951</v>
      </c>
      <c r="CE13" s="59">
        <f t="shared" si="40"/>
        <v>221.23619018904222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2.5115384615384619</v>
      </c>
      <c r="CT13" s="12">
        <f>IF('Données projet'!$A$140&gt;35,CT12+CS13-DB12,IF(A13&lt;'Données projet'!$A$140,$CQ$205^A13,IF(A13='Données projet'!$A$140,'Données projet'!$B$140,CT12+CS13-DB12)))</f>
        <v>4.2236413141513127</v>
      </c>
      <c r="CU13" s="17">
        <f>CT13*VLOOKUP('Données projet'!$B$13,Paramètres!$A$1:$I$89,3,0)*VLOOKUP('Données projet'!$B$13,Paramètres!$A$1:$I$89,5,0)</f>
        <v>4.8098827285555146</v>
      </c>
      <c r="CV13" s="13">
        <f t="shared" si="41"/>
        <v>1.8462312524655173</v>
      </c>
      <c r="CW13" s="20">
        <f t="shared" si="13"/>
        <v>11.592731850278296</v>
      </c>
      <c r="CX13" s="59">
        <f t="shared" si="14"/>
        <v>203.53139383532317</v>
      </c>
      <c r="CY13" s="59">
        <f ca="1">AVERAGE(OFFSET($CX$3,0,0,'Données projet'!$E$13+1,1))-AVERAGE(OFFSET($H$3,0,0,'Données projet'!$E$13+1,1))</f>
        <v>598.12133208901378</v>
      </c>
      <c r="CZ13" s="59">
        <f t="shared" si="42"/>
        <v>246.23353541360947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8.8341056840076444</v>
      </c>
      <c r="DQ13" s="13">
        <f t="shared" si="43"/>
        <v>3.1592306185484516</v>
      </c>
      <c r="DR13" s="20">
        <f t="shared" si="16"/>
        <v>20.888394060285197</v>
      </c>
      <c r="DS13" s="59">
        <f t="shared" si="17"/>
        <v>212.8270560453301</v>
      </c>
      <c r="DT13" s="59">
        <f ca="1">AVERAGE(OFFSET($DS$3,0,0,'Données projet'!$E$14+1,1))-AVERAGE(OFFSET($H$3,0,0,'Données projet'!$E$14+1,1))</f>
        <v>323.01113210765487</v>
      </c>
      <c r="DU13" s="59">
        <f t="shared" si="44"/>
        <v>311.68541696405975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246.36977347143502</v>
      </c>
      <c r="S14" s="59">
        <f ca="1">AVERAGE(OFFSET($R$3,0,0,'Données projet'!$E$9+1,1))-AVERAGE(OFFSET($H$3,0,0,'Données projet'!$E$9+1,1))</f>
        <v>337.99164391755608</v>
      </c>
      <c r="T14" s="59">
        <f t="shared" si="34"/>
        <v>421.45428231923393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3.6141025641025637</v>
      </c>
      <c r="AI14" s="13">
        <f>IF('Données projet'!$A$62&gt;35,AI13+AH14-AQ13,IF(A14&lt;'Données projet'!$A$62,$AF$205^A14,IF(A14='Données projet'!$A$62,'Données projet'!$B$62,AI13+AH14-AQ13)))</f>
        <v>5.5745690623980924</v>
      </c>
      <c r="AJ14" s="13">
        <f>AI14*VLOOKUP('Données projet'!$B$10,Paramètres!$A$1:$I$89,3,0)*VLOOKUP('Données projet'!$B$10,Paramètres!$A$1:$I$89,5,0)</f>
        <v>5.6526130292716656</v>
      </c>
      <c r="AK14" s="13">
        <f t="shared" si="35"/>
        <v>2.1293130059171332</v>
      </c>
      <c r="AL14" s="20">
        <f t="shared" si="4"/>
        <v>13.553521177953826</v>
      </c>
      <c r="AM14" s="59">
        <f t="shared" si="5"/>
        <v>208.04931978706796</v>
      </c>
      <c r="AN14" s="59">
        <f ca="1">AVERAGE(OFFSET($AM$3,0,0,'Données projet'!$E$10+1,1))-AVERAGE(OFFSET($H$3,0,0,'Données projet'!$E$10+1,1))</f>
        <v>596.42822894047072</v>
      </c>
      <c r="AO14" s="59">
        <f t="shared" si="36"/>
        <v>298.31525330951047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8.8000000000000007</v>
      </c>
      <c r="BD14" s="12">
        <f>IF('Données projet'!$A$88&gt;35,BD13+BC14-BL13,IF(A14&lt;'Données projet'!$A$88,$BA$205^A14,IF(A14='Données projet'!$A$88,'Données projet'!$B$88,BD13+BC14-BL13)))</f>
        <v>37.799999999999997</v>
      </c>
      <c r="BE14" s="13">
        <f>BD14*VLOOKUP('Données projet'!$B$11,Paramètres!$A$1:$I$89,3,0)*VLOOKUP('Données projet'!$B$11,Paramètres!$A$1:$I$89,5,0)</f>
        <v>39.508560000000003</v>
      </c>
      <c r="BF14" s="13">
        <f t="shared" si="37"/>
        <v>11.868297112841578</v>
      </c>
      <c r="BG14" s="20">
        <f t="shared" si="7"/>
        <v>89.481359471532414</v>
      </c>
      <c r="BH14" s="59">
        <f t="shared" si="8"/>
        <v>283.97715808064652</v>
      </c>
      <c r="BI14" s="59">
        <f ca="1">AVERAGE(OFFSET($BH$3,0,0,'Données projet'!$E$11+1,1))-AVERAGE(OFFSET($H$3,0,0,'Données projet'!$E$11+1,1))</f>
        <v>446.06835300781546</v>
      </c>
      <c r="BJ14" s="59">
        <f t="shared" si="38"/>
        <v>396.46809188573138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5.29</v>
      </c>
      <c r="BY14" s="12">
        <f>IF('Données projet'!$A$114&gt;35,BY13+BX14-CG13,IF(A14&lt;'Données projet'!$A$114,$BV$205^A14,IF(A14='Données projet'!$A$114,'Données projet'!$B$114,BY13+BX14-CG13)))</f>
        <v>6.410297810150352</v>
      </c>
      <c r="BZ14" s="13">
        <f>BY14*VLOOKUP('Données projet'!$B$12,Paramètres!$A$1:$I$89,3,0)*VLOOKUP('Données projet'!$B$12,Paramètres!$A$1:$I$89,5,0)</f>
        <v>3.000019375150365</v>
      </c>
      <c r="CA14" s="13">
        <f t="shared" si="39"/>
        <v>1.2165749893600588</v>
      </c>
      <c r="CB14" s="20">
        <f t="shared" si="10"/>
        <v>7.3439018515223218</v>
      </c>
      <c r="CC14" s="59">
        <f t="shared" si="11"/>
        <v>201.83970046063646</v>
      </c>
      <c r="CD14" s="59">
        <f ca="1">AVERAGE(OFFSET($CC$3,0,0,'Données projet'!$E$12+1,1))-AVERAGE(OFFSET($H$3,0,0,'Données projet'!$E$12+1,1))</f>
        <v>307.52821153421951</v>
      </c>
      <c r="CE14" s="59">
        <f t="shared" si="40"/>
        <v>221.23619018904222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2.5115384615384619</v>
      </c>
      <c r="CT14" s="12">
        <f>IF('Données projet'!$A$140&gt;35,CT13+CS14-DB13,IF(A14&lt;'Données projet'!$A$140,$CQ$205^A14,IF(A14='Données projet'!$A$140,'Données projet'!$B$140,CT13+CS14-DB13)))</f>
        <v>4.8781565351481309</v>
      </c>
      <c r="CU14" s="17">
        <f>CT14*VLOOKUP('Données projet'!$B$13,Paramètres!$A$1:$I$89,3,0)*VLOOKUP('Données projet'!$B$13,Paramètres!$A$1:$I$89,5,0)</f>
        <v>5.5552446622266913</v>
      </c>
      <c r="CV14" s="13">
        <f t="shared" si="41"/>
        <v>2.0968714385412532</v>
      </c>
      <c r="CW14" s="20">
        <f t="shared" si="13"/>
        <v>13.327435542170837</v>
      </c>
      <c r="CX14" s="59">
        <f t="shared" si="14"/>
        <v>207.82323415128496</v>
      </c>
      <c r="CY14" s="59">
        <f ca="1">AVERAGE(OFFSET($CX$3,0,0,'Données projet'!$E$13+1,1))-AVERAGE(OFFSET($H$3,0,0,'Données projet'!$E$13+1,1))</f>
        <v>598.12133208901378</v>
      </c>
      <c r="CZ14" s="59">
        <f t="shared" si="42"/>
        <v>246.23353541360947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11.238526451721825</v>
      </c>
      <c r="DQ14" s="13">
        <f t="shared" si="43"/>
        <v>3.9080387928425129</v>
      </c>
      <c r="DR14" s="20">
        <f t="shared" si="16"/>
        <v>26.380267800949554</v>
      </c>
      <c r="DS14" s="59">
        <f t="shared" si="17"/>
        <v>220.87606641006369</v>
      </c>
      <c r="DT14" s="59">
        <f ca="1">AVERAGE(OFFSET($DS$3,0,0,'Données projet'!$E$14+1,1))-AVERAGE(OFFSET($H$3,0,0,'Données projet'!$E$14+1,1))</f>
        <v>323.01113210765487</v>
      </c>
      <c r="DU14" s="59">
        <f t="shared" si="44"/>
        <v>311.68541696405975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268.52469655891946</v>
      </c>
      <c r="S15" s="59">
        <f ca="1">AVERAGE(OFFSET($R$3,0,0,'Données projet'!$E$9+1,1))-AVERAGE(OFFSET($H$3,0,0,'Données projet'!$E$9+1,1))</f>
        <v>337.99164391755608</v>
      </c>
      <c r="T15" s="59">
        <f t="shared" si="34"/>
        <v>421.45428231923393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3.6141025641025637</v>
      </c>
      <c r="AI15" s="13">
        <f>IF('Données projet'!$A$62&gt;35,AI14+AH15-AQ14,IF(A15&lt;'Données projet'!$A$62,$AF$205^A15,IF(A15='Données projet'!$A$62,'Données projet'!$B$62,AI14+AH15-AQ14)))</f>
        <v>6.5170145582565855</v>
      </c>
      <c r="AJ15" s="13">
        <f>AI15*VLOOKUP('Données projet'!$B$10,Paramètres!$A$1:$I$89,3,0)*VLOOKUP('Données projet'!$B$10,Paramètres!$A$1:$I$89,5,0)</f>
        <v>6.608252762072178</v>
      </c>
      <c r="AK15" s="13">
        <f t="shared" si="35"/>
        <v>2.444446999981138</v>
      </c>
      <c r="AL15" s="20">
        <f t="shared" si="4"/>
        <v>15.766785418909523</v>
      </c>
      <c r="AM15" s="59">
        <f t="shared" si="5"/>
        <v>212.79656287164241</v>
      </c>
      <c r="AN15" s="59">
        <f ca="1">AVERAGE(OFFSET($AM$3,0,0,'Données projet'!$E$10+1,1))-AVERAGE(OFFSET($H$3,0,0,'Données projet'!$E$10+1,1))</f>
        <v>596.42822894047072</v>
      </c>
      <c r="AO15" s="59">
        <f t="shared" si="36"/>
        <v>298.31525330951047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8.8000000000000007</v>
      </c>
      <c r="BD15" s="12">
        <f>IF('Données projet'!$A$88&gt;35,BD14+BC15-BL14,IF(A15&lt;'Données projet'!$A$88,$BA$205^A15,IF(A15='Données projet'!$A$88,'Données projet'!$B$88,BD14+BC15-BL14)))</f>
        <v>46.599999999999994</v>
      </c>
      <c r="BE15" s="13">
        <f>BD15*VLOOKUP('Données projet'!$B$11,Paramètres!$A$1:$I$89,3,0)*VLOOKUP('Données projet'!$B$11,Paramètres!$A$1:$I$89,5,0)</f>
        <v>48.706319999999998</v>
      </c>
      <c r="BF15" s="13">
        <f t="shared" si="37"/>
        <v>14.279153150480225</v>
      </c>
      <c r="BG15" s="20">
        <f t="shared" si="7"/>
        <v>109.69969907041973</v>
      </c>
      <c r="BH15" s="59">
        <f t="shared" si="8"/>
        <v>306.72947652315258</v>
      </c>
      <c r="BI15" s="59">
        <f ca="1">AVERAGE(OFFSET($BH$3,0,0,'Données projet'!$E$11+1,1))-AVERAGE(OFFSET($H$3,0,0,'Données projet'!$E$11+1,1))</f>
        <v>446.06835300781546</v>
      </c>
      <c r="BJ15" s="59">
        <f t="shared" si="38"/>
        <v>396.46809188573138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5.29</v>
      </c>
      <c r="BY15" s="12">
        <f>IF('Données projet'!$A$114&gt;35,BY14+BX15-CG14,IF(A15&lt;'Données projet'!$A$114,$BV$205^A15,IF(A15='Données projet'!$A$114,'Données projet'!$B$114,BY14+BX15-CG14)))</f>
        <v>7.5898076688419192</v>
      </c>
      <c r="BZ15" s="13">
        <f>BY15*VLOOKUP('Données projet'!$B$12,Paramètres!$A$1:$I$89,3,0)*VLOOKUP('Données projet'!$B$12,Paramètres!$A$1:$I$89,5,0)</f>
        <v>3.5520299890180183</v>
      </c>
      <c r="CA15" s="13">
        <f t="shared" si="39"/>
        <v>1.4123853677348999</v>
      </c>
      <c r="CB15" s="20">
        <f t="shared" si="10"/>
        <v>8.6463567463446651</v>
      </c>
      <c r="CC15" s="59">
        <f t="shared" si="11"/>
        <v>205.67613419907752</v>
      </c>
      <c r="CD15" s="59">
        <f ca="1">AVERAGE(OFFSET($CC$3,0,0,'Données projet'!$E$12+1,1))-AVERAGE(OFFSET($H$3,0,0,'Données projet'!$E$12+1,1))</f>
        <v>307.52821153421951</v>
      </c>
      <c r="CE15" s="59">
        <f t="shared" si="40"/>
        <v>221.23619018904222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2.5115384615384619</v>
      </c>
      <c r="CT15" s="12">
        <f>IF('Données projet'!$A$140&gt;35,CT14+CS15-DB14,IF(A15&lt;'Données projet'!$A$140,$CQ$205^A15,IF(A15='Données projet'!$A$140,'Données projet'!$B$140,CT14+CS15-DB14)))</f>
        <v>5.6340984973507391</v>
      </c>
      <c r="CU15" s="17">
        <f>CT15*VLOOKUP('Données projet'!$B$13,Paramètres!$A$1:$I$89,3,0)*VLOOKUP('Données projet'!$B$13,Paramètres!$A$1:$I$89,5,0)</f>
        <v>6.4161113687830209</v>
      </c>
      <c r="CV15" s="13">
        <f t="shared" si="41"/>
        <v>2.3815379703373232</v>
      </c>
      <c r="CW15" s="20">
        <f t="shared" si="13"/>
        <v>15.322572598967932</v>
      </c>
      <c r="CX15" s="59">
        <f t="shared" si="14"/>
        <v>212.3523500517008</v>
      </c>
      <c r="CY15" s="59">
        <f ca="1">AVERAGE(OFFSET($CX$3,0,0,'Données projet'!$E$13+1,1))-AVERAGE(OFFSET($H$3,0,0,'Données projet'!$E$13+1,1))</f>
        <v>598.12133208901378</v>
      </c>
      <c r="CZ15" s="59">
        <f t="shared" si="42"/>
        <v>246.23353541360947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14.297369912010421</v>
      </c>
      <c r="DQ15" s="13">
        <f t="shared" si="43"/>
        <v>4.8343312187127445</v>
      </c>
      <c r="DR15" s="20">
        <f t="shared" si="16"/>
        <v>33.321046136009507</v>
      </c>
      <c r="DS15" s="59">
        <f t="shared" si="17"/>
        <v>230.35082358874237</v>
      </c>
      <c r="DT15" s="59">
        <f ca="1">AVERAGE(OFFSET($DS$3,0,0,'Données projet'!$E$14+1,1))-AVERAGE(OFFSET($H$3,0,0,'Données projet'!$E$14+1,1))</f>
        <v>323.01113210765487</v>
      </c>
      <c r="DU15" s="59">
        <f t="shared" si="44"/>
        <v>311.68541696405975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298.10454257207061</v>
      </c>
      <c r="S16" s="59">
        <f ca="1">AVERAGE(OFFSET($R$3,0,0,'Données projet'!$E$9+1,1))-AVERAGE(OFFSET($H$3,0,0,'Données projet'!$E$9+1,1))</f>
        <v>337.99164391755608</v>
      </c>
      <c r="T16" s="59">
        <f t="shared" si="34"/>
        <v>421.45428231923393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3.6141025641025637</v>
      </c>
      <c r="AI16" s="13">
        <f>IF('Données projet'!$A$62&gt;35,AI15+AH16-AQ15,IF(A16&lt;'Données projet'!$A$62,$AF$205^A16,IF(A16='Données projet'!$A$62,'Données projet'!$B$62,AI15+AH16-AQ15)))</f>
        <v>7.618791385868616</v>
      </c>
      <c r="AJ16" s="13">
        <f>AI16*VLOOKUP('Données projet'!$B$10,Paramètres!$A$1:$I$89,3,0)*VLOOKUP('Données projet'!$B$10,Paramètres!$A$1:$I$89,5,0)</f>
        <v>7.7254544652707775</v>
      </c>
      <c r="AK16" s="13">
        <f t="shared" si="35"/>
        <v>2.8062201842152872</v>
      </c>
      <c r="AL16" s="20">
        <f t="shared" si="4"/>
        <v>18.342666681188227</v>
      </c>
      <c r="AM16" s="59">
        <f t="shared" si="5"/>
        <v>217.88366693280705</v>
      </c>
      <c r="AN16" s="59">
        <f ca="1">AVERAGE(OFFSET($AM$3,0,0,'Données projet'!$E$10+1,1))-AVERAGE(OFFSET($H$3,0,0,'Données projet'!$E$10+1,1))</f>
        <v>596.42822894047072</v>
      </c>
      <c r="AO16" s="59">
        <f t="shared" si="36"/>
        <v>298.31525330951047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8.8000000000000007</v>
      </c>
      <c r="BD16" s="12">
        <f>IF('Données projet'!$A$88&gt;35,BD15+BC16-BL15,IF(A16&lt;'Données projet'!$A$88,$BA$205^A16,IF(A16='Données projet'!$A$88,'Données projet'!$B$88,BD15+BC16-BL15)))</f>
        <v>55.399999999999991</v>
      </c>
      <c r="BE16" s="13">
        <f>BD16*VLOOKUP('Données projet'!$B$11,Paramètres!$A$1:$I$89,3,0)*VLOOKUP('Données projet'!$B$11,Paramètres!$A$1:$I$89,5,0)</f>
        <v>57.904079999999993</v>
      </c>
      <c r="BF16" s="13">
        <f t="shared" si="37"/>
        <v>16.637263069387522</v>
      </c>
      <c r="BG16" s="20">
        <f t="shared" si="7"/>
        <v>129.82617251251659</v>
      </c>
      <c r="BH16" s="59">
        <f t="shared" si="8"/>
        <v>329.36717276413538</v>
      </c>
      <c r="BI16" s="59">
        <f ca="1">AVERAGE(OFFSET($BH$3,0,0,'Données projet'!$E$11+1,1))-AVERAGE(OFFSET($H$3,0,0,'Données projet'!$E$11+1,1))</f>
        <v>446.06835300781546</v>
      </c>
      <c r="BJ16" s="59">
        <f t="shared" si="38"/>
        <v>396.46809188573138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5.29</v>
      </c>
      <c r="BY16" s="12">
        <f>IF('Données projet'!$A$114&gt;35,BY15+BX16-CG15,IF(A16&lt;'Données projet'!$A$114,$BV$205^A16,IF(A16='Données projet'!$A$114,'Données projet'!$B$114,BY15+BX16-CG15)))</f>
        <v>8.986350112906921</v>
      </c>
      <c r="BZ16" s="13">
        <f>BY16*VLOOKUP('Données projet'!$B$12,Paramètres!$A$1:$I$89,3,0)*VLOOKUP('Données projet'!$B$12,Paramètres!$A$1:$I$89,5,0)</f>
        <v>4.2056118528404394</v>
      </c>
      <c r="CA16" s="13">
        <f t="shared" si="39"/>
        <v>1.6397118504309935</v>
      </c>
      <c r="CB16" s="20">
        <f t="shared" si="10"/>
        <v>10.180605449864411</v>
      </c>
      <c r="CC16" s="59">
        <f t="shared" si="11"/>
        <v>209.72160570148321</v>
      </c>
      <c r="CD16" s="59">
        <f ca="1">AVERAGE(OFFSET($CC$3,0,0,'Données projet'!$E$12+1,1))-AVERAGE(OFFSET($H$3,0,0,'Données projet'!$E$12+1,1))</f>
        <v>307.52821153421951</v>
      </c>
      <c r="CE16" s="59">
        <f t="shared" si="40"/>
        <v>221.23619018904222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2.5115384615384619</v>
      </c>
      <c r="CT16" s="12">
        <f>IF('Données projet'!$A$140&gt;35,CT15+CS16-DB15,IF(A16&lt;'Données projet'!$A$140,$CQ$205^A16,IF(A16='Données projet'!$A$140,'Données projet'!$B$140,CT15+CS16-DB15)))</f>
        <v>6.5071847631650357</v>
      </c>
      <c r="CU16" s="17">
        <f>CT16*VLOOKUP('Données projet'!$B$13,Paramètres!$A$1:$I$89,3,0)*VLOOKUP('Données projet'!$B$13,Paramètres!$A$1:$I$89,5,0)</f>
        <v>7.4103820082923431</v>
      </c>
      <c r="CV16" s="13">
        <f t="shared" si="41"/>
        <v>2.7048501877178084</v>
      </c>
      <c r="CW16" s="20">
        <f t="shared" si="13"/>
        <v>17.617362741384344</v>
      </c>
      <c r="CX16" s="59">
        <f t="shared" si="14"/>
        <v>217.15836299300315</v>
      </c>
      <c r="CY16" s="59">
        <f ca="1">AVERAGE(OFFSET($CX$3,0,0,'Données projet'!$E$13+1,1))-AVERAGE(OFFSET($H$3,0,0,'Données projet'!$E$13+1,1))</f>
        <v>598.12133208901378</v>
      </c>
      <c r="CZ16" s="59">
        <f t="shared" si="42"/>
        <v>246.23353541360947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18.188753417005401</v>
      </c>
      <c r="DQ16" s="13">
        <f t="shared" si="43"/>
        <v>5.9801756254374139</v>
      </c>
      <c r="DR16" s="20">
        <f t="shared" si="16"/>
        <v>42.094218082254564</v>
      </c>
      <c r="DS16" s="59">
        <f t="shared" si="17"/>
        <v>241.63521833387338</v>
      </c>
      <c r="DT16" s="59">
        <f ca="1">AVERAGE(OFFSET($DS$3,0,0,'Données projet'!$E$14+1,1))-AVERAGE(OFFSET($H$3,0,0,'Données projet'!$E$14+1,1))</f>
        <v>323.01113210765487</v>
      </c>
      <c r="DU16" s="59">
        <f t="shared" si="44"/>
        <v>311.68541696405975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337.94585105375165</v>
      </c>
      <c r="S17" s="59">
        <f ca="1">AVERAGE(OFFSET($R$3,0,0,'Données projet'!$E$9+1,1))-AVERAGE(OFFSET($H$3,0,0,'Données projet'!$E$9+1,1))</f>
        <v>337.99164391755608</v>
      </c>
      <c r="T17" s="59">
        <f t="shared" si="34"/>
        <v>421.45428231923393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3.6141025641025637</v>
      </c>
      <c r="AI17" s="13">
        <f>IF('Données projet'!$A$62&gt;35,AI16+AH17-AQ16,IF(A17&lt;'Données projet'!$A$62,$AF$205^A17,IF(A17='Données projet'!$A$62,'Données projet'!$B$62,AI16+AH17-AQ16)))</f>
        <v>8.9068363531343948</v>
      </c>
      <c r="AJ17" s="13">
        <f>AI17*VLOOKUP('Données projet'!$B$10,Paramètres!$A$1:$I$89,3,0)*VLOOKUP('Données projet'!$B$10,Paramètres!$A$1:$I$89,5,0)</f>
        <v>9.0315320620782771</v>
      </c>
      <c r="AK17" s="13">
        <f t="shared" si="35"/>
        <v>3.2215350639052716</v>
      </c>
      <c r="AL17" s="20">
        <f t="shared" si="4"/>
        <v>21.340758577754681</v>
      </c>
      <c r="AM17" s="59">
        <f t="shared" si="5"/>
        <v>223.37062035002788</v>
      </c>
      <c r="AN17" s="59">
        <f ca="1">AVERAGE(OFFSET($AM$3,0,0,'Données projet'!$E$10+1,1))-AVERAGE(OFFSET($H$3,0,0,'Données projet'!$E$10+1,1))</f>
        <v>596.42822894047072</v>
      </c>
      <c r="AO17" s="59">
        <f t="shared" si="36"/>
        <v>298.31525330951047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8.8000000000000007</v>
      </c>
      <c r="BD17" s="12">
        <f>IF('Données projet'!$A$88&gt;35,BD16+BC17-BL16,IF(A17&lt;'Données projet'!$A$88,$BA$205^A17,IF(A17='Données projet'!$A$88,'Données projet'!$B$88,BD16+BC17-BL16)))</f>
        <v>64.199999999999989</v>
      </c>
      <c r="BE17" s="13">
        <f>BD17*VLOOKUP('Données projet'!$B$11,Paramètres!$A$1:$I$89,3,0)*VLOOKUP('Données projet'!$B$11,Paramètres!$A$1:$I$89,5,0)</f>
        <v>67.101839999999996</v>
      </c>
      <c r="BF17" s="13">
        <f t="shared" si="37"/>
        <v>18.951980743561439</v>
      </c>
      <c r="BG17" s="20">
        <f t="shared" si="7"/>
        <v>149.87707112836947</v>
      </c>
      <c r="BH17" s="59">
        <f t="shared" si="8"/>
        <v>351.90693290064269</v>
      </c>
      <c r="BI17" s="59">
        <f ca="1">AVERAGE(OFFSET($BH$3,0,0,'Données projet'!$E$11+1,1))-AVERAGE(OFFSET($H$3,0,0,'Données projet'!$E$11+1,1))</f>
        <v>446.06835300781546</v>
      </c>
      <c r="BJ17" s="59">
        <f t="shared" si="38"/>
        <v>396.46809188573138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5.29</v>
      </c>
      <c r="BY17" s="12">
        <f>IF('Données projet'!$A$114&gt;35,BY16+BX17-CG16,IF(A17&lt;'Données projet'!$A$114,$BV$205^A17,IF(A17='Données projet'!$A$114,'Données projet'!$B$114,BY16+BX17-CG16)))</f>
        <v>10.639859647993433</v>
      </c>
      <c r="BZ17" s="13">
        <f>BY17*VLOOKUP('Données projet'!$B$12,Paramètres!$A$1:$I$89,3,0)*VLOOKUP('Données projet'!$B$12,Paramètres!$A$1:$I$89,5,0)</f>
        <v>4.9794543152609263</v>
      </c>
      <c r="CA17" s="13">
        <f t="shared" si="39"/>
        <v>1.9036270226699805</v>
      </c>
      <c r="CB17" s="20">
        <f t="shared" si="10"/>
        <v>11.988033330229662</v>
      </c>
      <c r="CC17" s="59">
        <f t="shared" si="11"/>
        <v>214.01789510250285</v>
      </c>
      <c r="CD17" s="59">
        <f ca="1">AVERAGE(OFFSET($CC$3,0,0,'Données projet'!$E$12+1,1))-AVERAGE(OFFSET($H$3,0,0,'Données projet'!$E$12+1,1))</f>
        <v>307.52821153421951</v>
      </c>
      <c r="CE17" s="59">
        <f t="shared" si="40"/>
        <v>221.23619018904222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2.5115384615384619</v>
      </c>
      <c r="CT17" s="12">
        <f>IF('Données projet'!$A$140&gt;35,CT16+CS17-DB16,IF(A17&lt;'Données projet'!$A$140,$CQ$205^A17,IF(A17='Données projet'!$A$140,'Données projet'!$B$140,CT16+CS17-DB16)))</f>
        <v>7.5155685620118104</v>
      </c>
      <c r="CU17" s="17">
        <f>CT17*VLOOKUP('Données projet'!$B$13,Paramètres!$A$1:$I$89,3,0)*VLOOKUP('Données projet'!$B$13,Paramètres!$A$1:$I$89,5,0)</f>
        <v>8.5587294784190497</v>
      </c>
      <c r="CV17" s="13">
        <f t="shared" si="41"/>
        <v>3.0720545416963403</v>
      </c>
      <c r="CW17" s="20">
        <f t="shared" si="13"/>
        <v>20.256948835034304</v>
      </c>
      <c r="CX17" s="59">
        <f t="shared" si="14"/>
        <v>222.2868106073075</v>
      </c>
      <c r="CY17" s="59">
        <f ca="1">AVERAGE(OFFSET($CX$3,0,0,'Données projet'!$E$13+1,1))-AVERAGE(OFFSET($H$3,0,0,'Données projet'!$E$13+1,1))</f>
        <v>598.12133208901378</v>
      </c>
      <c r="CZ17" s="59">
        <f t="shared" si="42"/>
        <v>246.23353541360947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23.13927336990233</v>
      </c>
      <c r="DQ17" s="13">
        <f t="shared" si="43"/>
        <v>7.3976107331343286</v>
      </c>
      <c r="DR17" s="20">
        <f t="shared" si="16"/>
        <v>53.185073146122171</v>
      </c>
      <c r="DS17" s="59">
        <f t="shared" si="17"/>
        <v>255.21493491839536</v>
      </c>
      <c r="DT17" s="59">
        <f ca="1">AVERAGE(OFFSET($DS$3,0,0,'Données projet'!$E$14+1,1))-AVERAGE(OFFSET($H$3,0,0,'Données projet'!$E$14+1,1))</f>
        <v>323.01113210765487</v>
      </c>
      <c r="DU17" s="59">
        <f t="shared" si="44"/>
        <v>311.68541696405975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391.96838232305157</v>
      </c>
      <c r="S18" s="59">
        <f ca="1">AVERAGE(OFFSET($R$3,0,0,'Données projet'!$E$9+1,1))-AVERAGE(OFFSET($H$3,0,0,'Données projet'!$E$9+1,1))</f>
        <v>337.99164391755608</v>
      </c>
      <c r="T18" s="59">
        <f t="shared" si="34"/>
        <v>421.45428231923393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3.6141025641025637</v>
      </c>
      <c r="AI18" s="13">
        <f>IF('Données projet'!$A$62&gt;35,AI17+AH18-AQ17,IF(A18&lt;'Données projet'!$A$62,$AF$205^A18,IF(A18='Données projet'!$A$62,'Données projet'!$B$62,AI17+AH18-AQ17)))</f>
        <v>10.41264024746253</v>
      </c>
      <c r="AJ18" s="13">
        <f>AI18*VLOOKUP('Données projet'!$B$10,Paramètres!$A$1:$I$89,3,0)*VLOOKUP('Données projet'!$B$10,Paramètres!$A$1:$I$89,5,0)</f>
        <v>10.558417210927006</v>
      </c>
      <c r="AK18" s="13">
        <f t="shared" si="35"/>
        <v>3.6983157010800451</v>
      </c>
      <c r="AL18" s="20">
        <f t="shared" si="4"/>
        <v>24.830476488412277</v>
      </c>
      <c r="AM18" s="59">
        <f t="shared" si="5"/>
        <v>229.32722642129332</v>
      </c>
      <c r="AN18" s="59">
        <f ca="1">AVERAGE(OFFSET($AM$3,0,0,'Données projet'!$E$10+1,1))-AVERAGE(OFFSET($H$3,0,0,'Données projet'!$E$10+1,1))</f>
        <v>596.42822894047072</v>
      </c>
      <c r="AO18" s="59">
        <f t="shared" si="36"/>
        <v>298.31525330951047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73</v>
      </c>
      <c r="BB18" s="12">
        <f>VLOOKUP(A18,'Données projet'!$A$87:$I$107,9,0)</f>
        <v>8.8000000000000007</v>
      </c>
      <c r="BC18" s="12">
        <f t="array" ref="BC18">INDEX(BB:BB,MIN(IF(ISNUMBER(BB18:BB214),ROW(BB18:BB214),"")))</f>
        <v>8.8000000000000007</v>
      </c>
      <c r="BD18" s="12">
        <f>IF('Données projet'!$A$88&gt;35,BD17+BC18-BL17,IF(A18&lt;'Données projet'!$A$88,$BA$205^A18,IF(A18='Données projet'!$A$88,'Données projet'!$B$88,BD17+BC18-BL17)))</f>
        <v>72.999999999999986</v>
      </c>
      <c r="BE18" s="13">
        <f>BD18*VLOOKUP('Données projet'!$B$11,Paramètres!$A$1:$I$89,3,0)*VLOOKUP('Données projet'!$B$11,Paramètres!$A$1:$I$89,5,0)</f>
        <v>76.299599999999998</v>
      </c>
      <c r="BF18" s="13">
        <f t="shared" si="37"/>
        <v>21.229938439563274</v>
      </c>
      <c r="BG18" s="20">
        <f t="shared" si="7"/>
        <v>169.8639461155727</v>
      </c>
      <c r="BH18" s="59">
        <f t="shared" si="8"/>
        <v>374.36069604845375</v>
      </c>
      <c r="BI18" s="59">
        <f ca="1">AVERAGE(OFFSET($BH$3,0,0,'Données projet'!$E$11+1,1))-AVERAGE(OFFSET($H$3,0,0,'Données projet'!$E$11+1,1))</f>
        <v>446.06835300781546</v>
      </c>
      <c r="BJ18" s="59">
        <f t="shared" si="38"/>
        <v>396.46809188573138</v>
      </c>
      <c r="BK18" s="15" t="str">
        <f>IF(ISNA(VLOOKUP(A18,'Données projet'!$A$87:$I$107,3,0)),0,VLOOKUP(A18,'Données projet'!$A$87:$I$107,3,0))</f>
        <v>na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5.29</v>
      </c>
      <c r="BY18" s="12">
        <f>IF('Données projet'!$A$114&gt;35,BY17+BX18-CG17,IF(A18&lt;'Données projet'!$A$114,$BV$205^A18,IF(A18='Données projet'!$A$114,'Données projet'!$B$114,BY17+BX18-CG17)))</f>
        <v>12.597618822618816</v>
      </c>
      <c r="BZ18" s="13">
        <f>BY18*VLOOKUP('Données projet'!$B$12,Paramètres!$A$1:$I$89,3,0)*VLOOKUP('Données projet'!$B$12,Paramètres!$A$1:$I$89,5,0)</f>
        <v>5.8956856089856062</v>
      </c>
      <c r="CA18" s="13">
        <f t="shared" si="39"/>
        <v>2.2100199132468736</v>
      </c>
      <c r="CB18" s="20">
        <f t="shared" si="10"/>
        <v>14.117437117888235</v>
      </c>
      <c r="CC18" s="59">
        <f t="shared" si="11"/>
        <v>218.61418705076929</v>
      </c>
      <c r="CD18" s="59">
        <f ca="1">AVERAGE(OFFSET($CC$3,0,0,'Données projet'!$E$12+1,1))-AVERAGE(OFFSET($H$3,0,0,'Données projet'!$E$12+1,1))</f>
        <v>307.52821153421951</v>
      </c>
      <c r="CE18" s="59">
        <f t="shared" si="40"/>
        <v>221.23619018904222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2.5115384615384619</v>
      </c>
      <c r="CT18" s="12">
        <f>IF('Données projet'!$A$140&gt;35,CT17+CS18-DB17,IF(A18&lt;'Données projet'!$A$140,$CQ$205^A18,IF(A18='Données projet'!$A$140,'Données projet'!$B$140,CT17+CS18-DB17)))</f>
        <v>8.6802162326841756</v>
      </c>
      <c r="CU18" s="17">
        <f>CT18*VLOOKUP('Données projet'!$B$13,Paramètres!$A$1:$I$89,3,0)*VLOOKUP('Données projet'!$B$13,Paramètres!$A$1:$I$89,5,0)</f>
        <v>9.8850302457807384</v>
      </c>
      <c r="CV18" s="13">
        <f t="shared" si="41"/>
        <v>3.4891097296297713</v>
      </c>
      <c r="CW18" s="20">
        <f t="shared" si="13"/>
        <v>23.293293790506635</v>
      </c>
      <c r="CX18" s="59">
        <f t="shared" si="14"/>
        <v>227.79004372338767</v>
      </c>
      <c r="CY18" s="59">
        <f ca="1">AVERAGE(OFFSET($CX$3,0,0,'Données projet'!$E$13+1,1))-AVERAGE(OFFSET($H$3,0,0,'Données projet'!$E$13+1,1))</f>
        <v>598.12133208901378</v>
      </c>
      <c r="CZ18" s="59">
        <f t="shared" si="42"/>
        <v>246.23353541360947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29.437200000000004</v>
      </c>
      <c r="DQ18" s="13">
        <f t="shared" si="43"/>
        <v>9.1510096001539196</v>
      </c>
      <c r="DR18" s="20">
        <f t="shared" si="16"/>
        <v>67.207798386934755</v>
      </c>
      <c r="DS18" s="59">
        <f t="shared" si="17"/>
        <v>271.70454831981579</v>
      </c>
      <c r="DT18" s="59">
        <f ca="1">AVERAGE(OFFSET($DS$3,0,0,'Données projet'!$E$14+1,1))-AVERAGE(OFFSET($H$3,0,0,'Données projet'!$E$14+1,1))</f>
        <v>323.01113210765487</v>
      </c>
      <c r="DU18" s="59">
        <f t="shared" si="44"/>
        <v>311.68541696405975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15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353.75341140010153</v>
      </c>
      <c r="S19" s="59">
        <f ca="1">AVERAGE(OFFSET($R$3,0,0,'Données projet'!$E$9+1,1))-AVERAGE(OFFSET($H$3,0,0,'Données projet'!$E$9+1,1))</f>
        <v>337.99164391755608</v>
      </c>
      <c r="T19" s="59">
        <f t="shared" si="34"/>
        <v>421.45428231923393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3.6141025641025637</v>
      </c>
      <c r="AI19" s="13">
        <f>IF('Données projet'!$A$62&gt;35,AI18+AH19-AQ18,IF(A19&lt;'Données projet'!$A$62,$AF$205^A19,IF(A19='Données projet'!$A$62,'Données projet'!$B$62,AI18+AH19-AQ18)))</f>
        <v>12.173017738775622</v>
      </c>
      <c r="AJ19" s="13">
        <f>AI19*VLOOKUP('Données projet'!$B$10,Paramètres!$A$1:$I$89,3,0)*VLOOKUP('Données projet'!$B$10,Paramètres!$A$1:$I$89,5,0)</f>
        <v>12.343439987118481</v>
      </c>
      <c r="AK19" s="13">
        <f t="shared" si="35"/>
        <v>4.2456589028321003</v>
      </c>
      <c r="AL19" s="20">
        <f t="shared" si="4"/>
        <v>28.892680566663927</v>
      </c>
      <c r="AM19" s="59">
        <f t="shared" si="5"/>
        <v>235.83472648877799</v>
      </c>
      <c r="AN19" s="59">
        <f ca="1">AVERAGE(OFFSET($AM$3,0,0,'Données projet'!$E$10+1,1))-AVERAGE(OFFSET($H$3,0,0,'Données projet'!$E$10+1,1))</f>
        <v>596.42822894047072</v>
      </c>
      <c r="AO19" s="59">
        <f t="shared" si="36"/>
        <v>298.31525330951047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11.2</v>
      </c>
      <c r="BD19" s="12">
        <f>IF('Données projet'!$A$88&gt;35,BD18+BC19-BL18,IF(A19&lt;'Données projet'!$A$88,$BA$205^A19,IF(A19='Données projet'!$A$88,'Données projet'!$B$88,BD18+BC19-BL18)))</f>
        <v>84.199999999999989</v>
      </c>
      <c r="BE19" s="13">
        <f>BD19*VLOOKUP('Données projet'!$B$11,Paramètres!$A$1:$I$89,3,0)*VLOOKUP('Données projet'!$B$11,Paramètres!$A$1:$I$89,5,0)</f>
        <v>88.005839999999992</v>
      </c>
      <c r="BF19" s="13">
        <f t="shared" si="37"/>
        <v>24.083656242710727</v>
      </c>
      <c r="BG19" s="20">
        <f t="shared" si="7"/>
        <v>195.22253928938787</v>
      </c>
      <c r="BH19" s="59">
        <f t="shared" si="8"/>
        <v>402.16458521150196</v>
      </c>
      <c r="BI19" s="59">
        <f ca="1">AVERAGE(OFFSET($BH$3,0,0,'Données projet'!$E$11+1,1))-AVERAGE(OFFSET($H$3,0,0,'Données projet'!$E$11+1,1))</f>
        <v>446.06835300781546</v>
      </c>
      <c r="BJ19" s="59">
        <f t="shared" si="38"/>
        <v>396.46809188573138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5.29</v>
      </c>
      <c r="BY19" s="12">
        <f>IF('Données projet'!$A$114&gt;35,BY18+BX19-CG18,IF(A19&lt;'Données projet'!$A$114,$BV$205^A19,IF(A19='Données projet'!$A$114,'Données projet'!$B$114,BY18+BX19-CG18)))</f>
        <v>14.915610285322611</v>
      </c>
      <c r="BZ19" s="13">
        <f>BY19*VLOOKUP('Données projet'!$B$12,Paramètres!$A$1:$I$89,3,0)*VLOOKUP('Données projet'!$B$12,Paramètres!$A$1:$I$89,5,0)</f>
        <v>6.9805056135309815</v>
      </c>
      <c r="CA19" s="13">
        <f t="shared" si="39"/>
        <v>2.5657274028907593</v>
      </c>
      <c r="CB19" s="20">
        <f t="shared" si="10"/>
        <v>16.626355836934533</v>
      </c>
      <c r="CC19" s="59">
        <f t="shared" si="11"/>
        <v>223.56840175904858</v>
      </c>
      <c r="CD19" s="59">
        <f ca="1">AVERAGE(OFFSET($CC$3,0,0,'Données projet'!$E$12+1,1))-AVERAGE(OFFSET($H$3,0,0,'Données projet'!$E$12+1,1))</f>
        <v>307.52821153421951</v>
      </c>
      <c r="CE19" s="59">
        <f t="shared" si="40"/>
        <v>221.23619018904222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2.5115384615384619</v>
      </c>
      <c r="CT19" s="12">
        <f>IF('Données projet'!$A$140&gt;35,CT18+CS19-DB18,IF(A19&lt;'Données projet'!$A$140,$CQ$205^A19,IF(A19='Données projet'!$A$140,'Données projet'!$B$140,CT18+CS19-DB18)))</f>
        <v>10.025343155938796</v>
      </c>
      <c r="CU19" s="17">
        <f>CT19*VLOOKUP('Données projet'!$B$13,Paramètres!$A$1:$I$89,3,0)*VLOOKUP('Données projet'!$B$13,Paramètres!$A$1:$I$89,5,0)</f>
        <v>11.416860785983101</v>
      </c>
      <c r="CV19" s="13">
        <f t="shared" si="41"/>
        <v>3.9627833881734733</v>
      </c>
      <c r="CW19" s="20">
        <f t="shared" si="13"/>
        <v>26.786213603322697</v>
      </c>
      <c r="CX19" s="59">
        <f t="shared" si="14"/>
        <v>233.72825952543675</v>
      </c>
      <c r="CY19" s="59">
        <f ca="1">AVERAGE(OFFSET($CX$3,0,0,'Données projet'!$E$13+1,1))-AVERAGE(OFFSET($H$3,0,0,'Données projet'!$E$13+1,1))</f>
        <v>598.12133208901378</v>
      </c>
      <c r="CZ19" s="59">
        <f t="shared" si="42"/>
        <v>246.23353541360947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33.6</v>
      </c>
      <c r="DP19" s="17">
        <f>DO19*VLOOKUP('Données projet'!$B$14,Paramètres!$A$1:$I$89,3,0)*VLOOKUP('Données projet'!$B$14,Paramètres!$A$1:$I$89,5,0)</f>
        <v>26.732160000000004</v>
      </c>
      <c r="DQ19" s="13">
        <f t="shared" si="43"/>
        <v>8.4038705306032053</v>
      </c>
      <c r="DR19" s="20">
        <f t="shared" si="16"/>
        <v>61.195253174133917</v>
      </c>
      <c r="DS19" s="59">
        <f t="shared" si="17"/>
        <v>268.137299096248</v>
      </c>
      <c r="DT19" s="59">
        <f ca="1">AVERAGE(OFFSET($DS$3,0,0,'Données projet'!$E$14+1,1))-AVERAGE(OFFSET($H$3,0,0,'Données projet'!$E$14+1,1))</f>
        <v>323.01113210765487</v>
      </c>
      <c r="DU19" s="59">
        <f t="shared" si="44"/>
        <v>311.68541696405975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380.17355386264433</v>
      </c>
      <c r="S20" s="59">
        <f ca="1">AVERAGE(OFFSET($R$3,0,0,'Données projet'!$E$9+1,1))-AVERAGE(OFFSET($H$3,0,0,'Données projet'!$E$9+1,1))</f>
        <v>337.99164391755608</v>
      </c>
      <c r="T20" s="59">
        <f t="shared" si="34"/>
        <v>421.45428231923393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3.6141025641025637</v>
      </c>
      <c r="AI20" s="13">
        <f>IF('Données projet'!$A$62&gt;35,AI19+AH20-AQ19,IF(A20&lt;'Données projet'!$A$62,$AF$205^A20,IF(A20='Données projet'!$A$62,'Données projet'!$B$62,AI19+AH20-AQ19)))</f>
        <v>14.231007443540239</v>
      </c>
      <c r="AJ20" s="13">
        <f>AI20*VLOOKUP('Données projet'!$B$10,Paramètres!$A$1:$I$89,3,0)*VLOOKUP('Données projet'!$B$10,Paramètres!$A$1:$I$89,5,0)</f>
        <v>14.430241547749802</v>
      </c>
      <c r="AK20" s="13">
        <f t="shared" si="35"/>
        <v>4.8740077852016022</v>
      </c>
      <c r="AL20" s="20">
        <f t="shared" si="4"/>
        <v>33.621567588223691</v>
      </c>
      <c r="AM20" s="59">
        <f t="shared" si="5"/>
        <v>242.98769190409641</v>
      </c>
      <c r="AN20" s="59">
        <f ca="1">AVERAGE(OFFSET($AM$3,0,0,'Données projet'!$E$10+1,1))-AVERAGE(OFFSET($H$3,0,0,'Données projet'!$E$10+1,1))</f>
        <v>596.42822894047072</v>
      </c>
      <c r="AO20" s="59">
        <f t="shared" si="36"/>
        <v>298.31525330951047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11.2</v>
      </c>
      <c r="BD20" s="12">
        <f>IF('Données projet'!$A$88&gt;35,BD19+BC20-BL19,IF(A20&lt;'Données projet'!$A$88,$BA$205^A20,IF(A20='Données projet'!$A$88,'Données projet'!$B$88,BD19+BC20-BL19)))</f>
        <v>95.399999999999991</v>
      </c>
      <c r="BE20" s="13">
        <f>BD20*VLOOKUP('Données projet'!$B$11,Paramètres!$A$1:$I$89,3,0)*VLOOKUP('Données projet'!$B$11,Paramètres!$A$1:$I$89,5,0)</f>
        <v>99.71208</v>
      </c>
      <c r="BF20" s="13">
        <f t="shared" si="37"/>
        <v>26.893393072251083</v>
      </c>
      <c r="BG20" s="20">
        <f t="shared" si="7"/>
        <v>220.50453226750395</v>
      </c>
      <c r="BH20" s="59">
        <f t="shared" si="8"/>
        <v>429.87065658337667</v>
      </c>
      <c r="BI20" s="59">
        <f ca="1">AVERAGE(OFFSET($BH$3,0,0,'Données projet'!$E$11+1,1))-AVERAGE(OFFSET($H$3,0,0,'Données projet'!$E$11+1,1))</f>
        <v>446.06835300781546</v>
      </c>
      <c r="BJ20" s="59">
        <f t="shared" si="38"/>
        <v>396.46809188573138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5.29</v>
      </c>
      <c r="BY20" s="12">
        <f>IF('Données projet'!$A$114&gt;35,BY19+BX20-CG19,IF(A20&lt;'Données projet'!$A$114,$BV$205^A20,IF(A20='Données projet'!$A$114,'Données projet'!$B$114,BY19+BX20-CG19)))</f>
        <v>17.660117623512367</v>
      </c>
      <c r="BZ20" s="13">
        <f>BY20*VLOOKUP('Données projet'!$B$12,Paramètres!$A$1:$I$89,3,0)*VLOOKUP('Données projet'!$B$12,Paramètres!$A$1:$I$89,5,0)</f>
        <v>8.2649350478037871</v>
      </c>
      <c r="CA20" s="13">
        <f t="shared" si="39"/>
        <v>2.9786867830856525</v>
      </c>
      <c r="CB20" s="20">
        <f t="shared" si="10"/>
        <v>19.582641355465775</v>
      </c>
      <c r="CC20" s="59">
        <f t="shared" si="11"/>
        <v>228.94876567133849</v>
      </c>
      <c r="CD20" s="59">
        <f ca="1">AVERAGE(OFFSET($CC$3,0,0,'Données projet'!$E$12+1,1))-AVERAGE(OFFSET($H$3,0,0,'Données projet'!$E$12+1,1))</f>
        <v>307.52821153421951</v>
      </c>
      <c r="CE20" s="59">
        <f t="shared" si="40"/>
        <v>221.23619018904222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2.5115384615384619</v>
      </c>
      <c r="CT20" s="12">
        <f>IF('Données projet'!$A$140&gt;35,CT19+CS20-DB19,IF(A20&lt;'Données projet'!$A$140,$CQ$205^A20,IF(A20='Données projet'!$A$140,'Données projet'!$B$140,CT19+CS20-DB19)))</f>
        <v>11.578917241241234</v>
      </c>
      <c r="CU20" s="17">
        <f>CT20*VLOOKUP('Données projet'!$B$13,Paramètres!$A$1:$I$89,3,0)*VLOOKUP('Données projet'!$B$13,Paramètres!$A$1:$I$89,5,0)</f>
        <v>13.186070954325519</v>
      </c>
      <c r="CV20" s="13">
        <f t="shared" si="41"/>
        <v>4.5007619130539496</v>
      </c>
      <c r="CW20" s="20">
        <f t="shared" si="13"/>
        <v>30.804567244019239</v>
      </c>
      <c r="CX20" s="59">
        <f t="shared" si="14"/>
        <v>240.17069155989196</v>
      </c>
      <c r="CY20" s="59">
        <f ca="1">AVERAGE(OFFSET($CX$3,0,0,'Données projet'!$E$13+1,1))-AVERAGE(OFFSET($H$3,0,0,'Données projet'!$E$13+1,1))</f>
        <v>598.12133208901378</v>
      </c>
      <c r="CZ20" s="59">
        <f t="shared" si="42"/>
        <v>246.23353541360947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45.2</v>
      </c>
      <c r="DP20" s="17">
        <f>DO20*VLOOKUP('Données projet'!$B$14,Paramètres!$A$1:$I$89,3,0)*VLOOKUP('Données projet'!$B$14,Paramètres!$A$1:$I$89,5,0)</f>
        <v>35.961120000000008</v>
      </c>
      <c r="DQ20" s="13">
        <f t="shared" si="43"/>
        <v>10.921600552662685</v>
      </c>
      <c r="DR20" s="20">
        <f t="shared" si="16"/>
        <v>81.654071629220851</v>
      </c>
      <c r="DS20" s="59">
        <f t="shared" si="17"/>
        <v>291.02019594509358</v>
      </c>
      <c r="DT20" s="59">
        <f ca="1">AVERAGE(OFFSET($DS$3,0,0,'Données projet'!$E$14+1,1))-AVERAGE(OFFSET($H$3,0,0,'Données projet'!$E$14+1,1))</f>
        <v>323.01113210765487</v>
      </c>
      <c r="DU20" s="59">
        <f t="shared" si="44"/>
        <v>311.68541696405975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406.49339283351014</v>
      </c>
      <c r="S21" s="59">
        <f ca="1">AVERAGE(OFFSET($R$3,0,0,'Données projet'!$E$9+1,1))-AVERAGE(OFFSET($H$3,0,0,'Données projet'!$E$9+1,1))</f>
        <v>337.99164391755608</v>
      </c>
      <c r="T21" s="59">
        <f t="shared" si="34"/>
        <v>421.45428231923393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3.6141025641025637</v>
      </c>
      <c r="AI21" s="13">
        <f>IF('Données projet'!$A$62&gt;35,AI20+AH21-AQ20,IF(A21&lt;'Données projet'!$A$62,$AF$205^A21,IF(A21='Données projet'!$A$62,'Données projet'!$B$62,AI20+AH21-AQ20)))</f>
        <v>16.636924155050774</v>
      </c>
      <c r="AJ21" s="13">
        <f>AI21*VLOOKUP('Données projet'!$B$10,Paramètres!$A$1:$I$89,3,0)*VLOOKUP('Données projet'!$B$10,Paramètres!$A$1:$I$89,5,0)</f>
        <v>16.869841093221485</v>
      </c>
      <c r="AK21" s="13">
        <f t="shared" si="35"/>
        <v>5.5953510241624089</v>
      </c>
      <c r="AL21" s="20">
        <f t="shared" si="4"/>
        <v>39.126876271110284</v>
      </c>
      <c r="AM21" s="59">
        <f t="shared" si="5"/>
        <v>250.8962294631134</v>
      </c>
      <c r="AN21" s="59">
        <f ca="1">AVERAGE(OFFSET($AM$3,0,0,'Données projet'!$E$10+1,1))-AVERAGE(OFFSET($H$3,0,0,'Données projet'!$E$10+1,1))</f>
        <v>596.42822894047072</v>
      </c>
      <c r="AO21" s="59">
        <f t="shared" si="36"/>
        <v>298.31525330951047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11.2</v>
      </c>
      <c r="BD21" s="12">
        <f>IF('Données projet'!$A$88&gt;35,BD20+BC21-BL20,IF(A21&lt;'Données projet'!$A$88,$BA$205^A21,IF(A21='Données projet'!$A$88,'Données projet'!$B$88,BD20+BC21-BL20)))</f>
        <v>106.6</v>
      </c>
      <c r="BE21" s="13">
        <f>BD21*VLOOKUP('Données projet'!$B$11,Paramètres!$A$1:$I$89,3,0)*VLOOKUP('Données projet'!$B$11,Paramètres!$A$1:$I$89,5,0)</f>
        <v>111.41831999999999</v>
      </c>
      <c r="BF21" s="13">
        <f t="shared" si="37"/>
        <v>29.664902256268945</v>
      </c>
      <c r="BG21" s="20">
        <f t="shared" si="7"/>
        <v>245.71994542966834</v>
      </c>
      <c r="BH21" s="59">
        <f t="shared" si="8"/>
        <v>457.48929862167142</v>
      </c>
      <c r="BI21" s="59">
        <f ca="1">AVERAGE(OFFSET($BH$3,0,0,'Données projet'!$E$11+1,1))-AVERAGE(OFFSET($H$3,0,0,'Données projet'!$E$11+1,1))</f>
        <v>446.06835300781546</v>
      </c>
      <c r="BJ21" s="59">
        <f t="shared" si="38"/>
        <v>396.46809188573138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5.29</v>
      </c>
      <c r="BY21" s="12">
        <f>IF('Données projet'!$A$114&gt;35,BY20+BX21-CG20,IF(A21&lt;'Données projet'!$A$114,$BV$205^A21,IF(A21='Données projet'!$A$114,'Données projet'!$B$114,BY20+BX21-CG20)))</f>
        <v>20.909620760418413</v>
      </c>
      <c r="BZ21" s="13">
        <f>BY21*VLOOKUP('Données projet'!$B$12,Paramètres!$A$1:$I$89,3,0)*VLOOKUP('Données projet'!$B$12,Paramètres!$A$1:$I$89,5,0)</f>
        <v>9.7857025158758173</v>
      </c>
      <c r="CA21" s="13">
        <f t="shared" si="39"/>
        <v>3.458112869563843</v>
      </c>
      <c r="CB21" s="20">
        <f t="shared" si="10"/>
        <v>23.066311796307406</v>
      </c>
      <c r="CC21" s="59">
        <f t="shared" si="11"/>
        <v>234.83566498831053</v>
      </c>
      <c r="CD21" s="59">
        <f ca="1">AVERAGE(OFFSET($CC$3,0,0,'Données projet'!$E$12+1,1))-AVERAGE(OFFSET($H$3,0,0,'Données projet'!$E$12+1,1))</f>
        <v>307.52821153421951</v>
      </c>
      <c r="CE21" s="59">
        <f t="shared" si="40"/>
        <v>221.23619018904222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2.5115384615384619</v>
      </c>
      <c r="CT21" s="12">
        <f>IF('Données projet'!$A$140&gt;35,CT20+CS21-DB20,IF(A21&lt;'Données projet'!$A$140,$CQ$205^A21,IF(A21='Données projet'!$A$140,'Données projet'!$B$140,CT20+CS21-DB20)))</f>
        <v>13.373240436173255</v>
      </c>
      <c r="CU21" s="17">
        <f>CT21*VLOOKUP('Données projet'!$B$13,Paramètres!$A$1:$I$89,3,0)*VLOOKUP('Données projet'!$B$13,Paramètres!$A$1:$I$89,5,0)</f>
        <v>15.229446208714103</v>
      </c>
      <c r="CV21" s="13">
        <f t="shared" si="41"/>
        <v>5.1117751877257733</v>
      </c>
      <c r="CW21" s="20">
        <f t="shared" si="13"/>
        <v>35.427627265466121</v>
      </c>
      <c r="CX21" s="59">
        <f t="shared" si="14"/>
        <v>247.19698045746924</v>
      </c>
      <c r="CY21" s="59">
        <f ca="1">AVERAGE(OFFSET($CX$3,0,0,'Données projet'!$E$13+1,1))-AVERAGE(OFFSET($H$3,0,0,'Données projet'!$E$13+1,1))</f>
        <v>598.12133208901378</v>
      </c>
      <c r="CZ21" s="59">
        <f t="shared" si="42"/>
        <v>246.23353541360947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56.800000000000004</v>
      </c>
      <c r="DP21" s="17">
        <f>DO21*VLOOKUP('Données projet'!$B$14,Paramètres!$A$1:$I$89,3,0)*VLOOKUP('Données projet'!$B$14,Paramètres!$A$1:$I$89,5,0)</f>
        <v>45.190080000000009</v>
      </c>
      <c r="DQ21" s="13">
        <f t="shared" si="43"/>
        <v>13.364359727915414</v>
      </c>
      <c r="DR21" s="20">
        <f t="shared" si="16"/>
        <v>101.98231585945268</v>
      </c>
      <c r="DS21" s="59">
        <f t="shared" si="17"/>
        <v>313.75166905145579</v>
      </c>
      <c r="DT21" s="59">
        <f ca="1">AVERAGE(OFFSET($DS$3,0,0,'Données projet'!$E$14+1,1))-AVERAGE(OFFSET($H$3,0,0,'Données projet'!$E$14+1,1))</f>
        <v>323.01113210765487</v>
      </c>
      <c r="DU21" s="59">
        <f t="shared" si="44"/>
        <v>311.68541696405975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432.72442911762016</v>
      </c>
      <c r="S22" s="59">
        <f ca="1">AVERAGE(OFFSET($R$3,0,0,'Données projet'!$E$9+1,1))-AVERAGE(OFFSET($H$3,0,0,'Données projet'!$E$9+1,1))</f>
        <v>337.99164391755608</v>
      </c>
      <c r="T22" s="59">
        <f t="shared" si="34"/>
        <v>421.45428231923393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3.6141025641025637</v>
      </c>
      <c r="AI22" s="13">
        <f>IF('Données projet'!$A$62&gt;35,AI21+AH22-AQ21,IF(A22&lt;'Données projet'!$A$62,$AF$205^A22,IF(A22='Données projet'!$A$62,'Données projet'!$B$62,AI21+AH22-AQ21)))</f>
        <v>19.449588965435588</v>
      </c>
      <c r="AJ22" s="13">
        <f>AI22*VLOOKUP('Données projet'!$B$10,Paramètres!$A$1:$I$89,3,0)*VLOOKUP('Données projet'!$B$10,Paramètres!$A$1:$I$89,5,0)</f>
        <v>19.721883210951685</v>
      </c>
      <c r="AK22" s="13">
        <f t="shared" si="35"/>
        <v>6.4234515953487206</v>
      </c>
      <c r="AL22" s="20">
        <f t="shared" si="4"/>
        <v>45.536458120973201</v>
      </c>
      <c r="AM22" s="59">
        <f t="shared" si="5"/>
        <v>259.68855236399673</v>
      </c>
      <c r="AN22" s="59">
        <f ca="1">AVERAGE(OFFSET($AM$3,0,0,'Données projet'!$E$10+1,1))-AVERAGE(OFFSET($H$3,0,0,'Données projet'!$E$10+1,1))</f>
        <v>596.42822894047072</v>
      </c>
      <c r="AO22" s="59">
        <f t="shared" si="36"/>
        <v>298.31525330951047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11.2</v>
      </c>
      <c r="BD22" s="12">
        <f>IF('Données projet'!$A$88&gt;35,BD21+BC22-BL21,IF(A22&lt;'Données projet'!$A$88,$BA$205^A22,IF(A22='Données projet'!$A$88,'Données projet'!$B$88,BD21+BC22-BL21)))</f>
        <v>117.8</v>
      </c>
      <c r="BE22" s="13">
        <f>BD22*VLOOKUP('Données projet'!$B$11,Paramètres!$A$1:$I$89,3,0)*VLOOKUP('Données projet'!$B$11,Paramètres!$A$1:$I$89,5,0)</f>
        <v>123.12456</v>
      </c>
      <c r="BF22" s="13">
        <f t="shared" si="37"/>
        <v>32.402657799061316</v>
      </c>
      <c r="BG22" s="20">
        <f t="shared" si="7"/>
        <v>270.87657100003173</v>
      </c>
      <c r="BH22" s="59">
        <f t="shared" si="8"/>
        <v>485.02866524305523</v>
      </c>
      <c r="BI22" s="59">
        <f ca="1">AVERAGE(OFFSET($BH$3,0,0,'Données projet'!$E$11+1,1))-AVERAGE(OFFSET($H$3,0,0,'Données projet'!$E$11+1,1))</f>
        <v>446.06835300781546</v>
      </c>
      <c r="BJ22" s="59">
        <f t="shared" si="38"/>
        <v>396.46809188573138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5.29</v>
      </c>
      <c r="BY22" s="12">
        <f>IF('Données projet'!$A$114&gt;35,BY21+BX22-CG21,IF(A22&lt;'Données projet'!$A$114,$BV$205^A22,IF(A22='Données projet'!$A$114,'Données projet'!$B$114,BY21+BX22-CG21)))</f>
        <v>24.757040109541748</v>
      </c>
      <c r="BZ22" s="13">
        <f>BY22*VLOOKUP('Données projet'!$B$12,Paramètres!$A$1:$I$89,3,0)*VLOOKUP('Données projet'!$B$12,Paramètres!$A$1:$I$89,5,0)</f>
        <v>11.586294771265539</v>
      </c>
      <c r="CA22" s="13">
        <f t="shared" si="39"/>
        <v>4.0147036225994519</v>
      </c>
      <c r="CB22" s="20">
        <f t="shared" si="10"/>
        <v>27.171738869314861</v>
      </c>
      <c r="CC22" s="59">
        <f t="shared" si="11"/>
        <v>241.32383311233838</v>
      </c>
      <c r="CD22" s="59">
        <f ca="1">AVERAGE(OFFSET($CC$3,0,0,'Données projet'!$E$12+1,1))-AVERAGE(OFFSET($H$3,0,0,'Données projet'!$E$12+1,1))</f>
        <v>307.52821153421951</v>
      </c>
      <c r="CE22" s="59">
        <f t="shared" si="40"/>
        <v>221.23619018904222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2.5115384615384619</v>
      </c>
      <c r="CT22" s="12">
        <f>IF('Données projet'!$A$140&gt;35,CT21+CS22-DB21,IF(A22&lt;'Données projet'!$A$140,$CQ$205^A22,IF(A22='Données projet'!$A$140,'Données projet'!$B$140,CT21+CS22-DB21)))</f>
        <v>15.445620349258824</v>
      </c>
      <c r="CU22" s="17">
        <f>CT22*VLOOKUP('Données projet'!$B$13,Paramètres!$A$1:$I$89,3,0)*VLOOKUP('Données projet'!$B$13,Paramètres!$A$1:$I$89,5,0)</f>
        <v>17.589472453735947</v>
      </c>
      <c r="CV22" s="13">
        <f t="shared" si="41"/>
        <v>5.8057382449093948</v>
      </c>
      <c r="CW22" s="20">
        <f t="shared" si="13"/>
        <v>40.74665863347397</v>
      </c>
      <c r="CX22" s="59">
        <f t="shared" si="14"/>
        <v>254.8987528764975</v>
      </c>
      <c r="CY22" s="59">
        <f ca="1">AVERAGE(OFFSET($CX$3,0,0,'Données projet'!$E$13+1,1))-AVERAGE(OFFSET($H$3,0,0,'Données projet'!$E$13+1,1))</f>
        <v>598.12133208901378</v>
      </c>
      <c r="CZ22" s="59">
        <f t="shared" si="42"/>
        <v>246.23353541360947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68.400000000000006</v>
      </c>
      <c r="DP22" s="17">
        <f>DO22*VLOOKUP('Données projet'!$B$14,Paramètres!$A$1:$I$89,3,0)*VLOOKUP('Données projet'!$B$14,Paramètres!$A$1:$I$89,5,0)</f>
        <v>54.419040000000003</v>
      </c>
      <c r="DQ22" s="13">
        <f t="shared" si="43"/>
        <v>15.749310274925152</v>
      </c>
      <c r="DR22" s="20">
        <f t="shared" si="16"/>
        <v>122.20987672882796</v>
      </c>
      <c r="DS22" s="59">
        <f t="shared" si="17"/>
        <v>336.36197097185152</v>
      </c>
      <c r="DT22" s="59">
        <f ca="1">AVERAGE(OFFSET($DS$3,0,0,'Données projet'!$E$14+1,1))-AVERAGE(OFFSET($H$3,0,0,'Données projet'!$E$14+1,1))</f>
        <v>323.01113210765487</v>
      </c>
      <c r="DU22" s="59">
        <f t="shared" si="44"/>
        <v>311.68541696405975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458.87552190543755</v>
      </c>
      <c r="S23" s="59">
        <f ca="1">AVERAGE(OFFSET($R$3,0,0,'Données projet'!$E$9+1,1))-AVERAGE(OFFSET($H$3,0,0,'Données projet'!$E$9+1,1))</f>
        <v>337.99164391755608</v>
      </c>
      <c r="T23" s="59">
        <f t="shared" si="34"/>
        <v>421.45428231923393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3.6141025641025637</v>
      </c>
      <c r="AI23" s="13">
        <f>IF('Données projet'!$A$62&gt;35,AI22+AH23-AQ22,IF(A23&lt;'Données projet'!$A$62,$AF$205^A23,IF(A23='Données projet'!$A$62,'Données projet'!$B$62,AI22+AH23-AQ22)))</f>
        <v>22.73776735404245</v>
      </c>
      <c r="AJ23" s="13">
        <f>AI23*VLOOKUP('Données projet'!$B$10,Paramètres!$A$1:$I$89,3,0)*VLOOKUP('Données projet'!$B$10,Paramètres!$A$1:$I$89,5,0)</f>
        <v>23.056096096999045</v>
      </c>
      <c r="AK23" s="13">
        <f t="shared" si="35"/>
        <v>7.3741093667960733</v>
      </c>
      <c r="AL23" s="20">
        <f t="shared" si="4"/>
        <v>52.999274516109828</v>
      </c>
      <c r="AM23" s="59">
        <f t="shared" si="5"/>
        <v>269.51397740300553</v>
      </c>
      <c r="AN23" s="59">
        <f ca="1">AVERAGE(OFFSET($AM$3,0,0,'Données projet'!$E$10+1,1))-AVERAGE(OFFSET($H$3,0,0,'Données projet'!$E$10+1,1))</f>
        <v>596.42822894047072</v>
      </c>
      <c r="AO23" s="59">
        <f t="shared" si="36"/>
        <v>298.31525330951047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129</v>
      </c>
      <c r="BB23" s="12">
        <f>VLOOKUP(A23,'Données projet'!$A$87:$I$107,9,0)</f>
        <v>11.2</v>
      </c>
      <c r="BC23" s="12">
        <f t="array" ref="BC23">INDEX(BB:BB,MIN(IF(ISNUMBER(BB23:BB219),ROW(BB23:BB219),"")))</f>
        <v>11.2</v>
      </c>
      <c r="BD23" s="12">
        <f>IF('Données projet'!$A$88&gt;35,BD22+BC23-BL22,IF(A23&lt;'Données projet'!$A$88,$BA$205^A23,IF(A23='Données projet'!$A$88,'Données projet'!$B$88,BD22+BC23-BL22)))</f>
        <v>129</v>
      </c>
      <c r="BE23" s="13">
        <f>BD23*VLOOKUP('Données projet'!$B$11,Paramètres!$A$1:$I$89,3,0)*VLOOKUP('Données projet'!$B$11,Paramètres!$A$1:$I$89,5,0)</f>
        <v>134.83080000000001</v>
      </c>
      <c r="BF23" s="13">
        <f t="shared" si="37"/>
        <v>35.110233978560416</v>
      </c>
      <c r="BG23" s="20">
        <f t="shared" si="7"/>
        <v>295.98063417932605</v>
      </c>
      <c r="BH23" s="59">
        <f t="shared" si="8"/>
        <v>512.49533706622174</v>
      </c>
      <c r="BI23" s="59">
        <f ca="1">AVERAGE(OFFSET($BH$3,0,0,'Données projet'!$E$11+1,1))-AVERAGE(OFFSET($H$3,0,0,'Données projet'!$E$11+1,1))</f>
        <v>446.06835300781546</v>
      </c>
      <c r="BJ23" s="59">
        <f t="shared" si="38"/>
        <v>396.46809188573138</v>
      </c>
      <c r="BK23" s="15">
        <f>IF(ISNA(VLOOKUP(A23,'Données projet'!$A$87:$I$107,3,0)),0,VLOOKUP(A23,'Données projet'!$A$87:$I$107,3,0))</f>
        <v>1</v>
      </c>
      <c r="BL23" s="15" t="str">
        <f>IF(ISNA(VLOOKUP(A23,'Données projet'!$A$87:$I$107,4,0)),0,VLOOKUP(A23,'Données projet'!$A$87:$I$107,4,0))</f>
        <v>54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5.29</v>
      </c>
      <c r="BY23" s="12">
        <f>IF('Données projet'!$A$114&gt;35,BY22+BX23-CG22,IF(A23&lt;'Données projet'!$A$114,$BV$205^A23,IF(A23='Données projet'!$A$114,'Données projet'!$B$114,BY22+BX23-CG22)))</f>
        <v>29.312393658793169</v>
      </c>
      <c r="BZ23" s="13">
        <f>BY23*VLOOKUP('Données projet'!$B$12,Paramètres!$A$1:$I$89,3,0)*VLOOKUP('Données projet'!$B$12,Paramètres!$A$1:$I$89,5,0)</f>
        <v>13.718200232315203</v>
      </c>
      <c r="CA23" s="13">
        <f t="shared" si="39"/>
        <v>4.6608788623333854</v>
      </c>
      <c r="CB23" s="20">
        <f t="shared" si="10"/>
        <v>32.010229423179624</v>
      </c>
      <c r="CC23" s="59">
        <f t="shared" si="11"/>
        <v>248.52493231007534</v>
      </c>
      <c r="CD23" s="59">
        <f ca="1">AVERAGE(OFFSET($CC$3,0,0,'Données projet'!$E$12+1,1))-AVERAGE(OFFSET($H$3,0,0,'Données projet'!$E$12+1,1))</f>
        <v>307.52821153421951</v>
      </c>
      <c r="CE23" s="59">
        <f t="shared" si="40"/>
        <v>221.23619018904222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2.5115384615384619</v>
      </c>
      <c r="CT23" s="12">
        <f>IF('Données projet'!$A$140&gt;35,CT22+CS23-DB22,IF(A23&lt;'Données projet'!$A$140,$CQ$205^A23,IF(A23='Données projet'!$A$140,'Données projet'!$B$140,CT22+CS23-DB22)))</f>
        <v>17.839145950605833</v>
      </c>
      <c r="CU23" s="17">
        <f>CT23*VLOOKUP('Données projet'!$B$13,Paramètres!$A$1:$I$89,3,0)*VLOOKUP('Données projet'!$B$13,Paramètres!$A$1:$I$89,5,0)</f>
        <v>20.315219408549922</v>
      </c>
      <c r="CV23" s="13">
        <f t="shared" si="41"/>
        <v>6.5939121597794035</v>
      </c>
      <c r="CW23" s="20">
        <f t="shared" si="13"/>
        <v>46.866737481506902</v>
      </c>
      <c r="CX23" s="59">
        <f t="shared" si="14"/>
        <v>263.38144036840265</v>
      </c>
      <c r="CY23" s="59">
        <f ca="1">AVERAGE(OFFSET($CX$3,0,0,'Données projet'!$E$13+1,1))-AVERAGE(OFFSET($H$3,0,0,'Données projet'!$E$13+1,1))</f>
        <v>598.12133208901378</v>
      </c>
      <c r="CZ23" s="59">
        <f t="shared" si="42"/>
        <v>246.23353541360947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80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80</v>
      </c>
      <c r="DP23" s="17">
        <f>DO23*VLOOKUP('Données projet'!$B$14,Paramètres!$A$1:$I$89,3,0)*VLOOKUP('Données projet'!$B$14,Paramètres!$A$1:$I$89,5,0)</f>
        <v>63.647999999999996</v>
      </c>
      <c r="DQ23" s="13">
        <f t="shared" si="43"/>
        <v>18.087405707268363</v>
      </c>
      <c r="DR23" s="20">
        <f t="shared" si="16"/>
        <v>142.35583160682572</v>
      </c>
      <c r="DS23" s="59">
        <f t="shared" si="17"/>
        <v>358.87053449372144</v>
      </c>
      <c r="DT23" s="59">
        <f ca="1">AVERAGE(OFFSET($DS$3,0,0,'Données projet'!$E$14+1,1))-AVERAGE(OFFSET($H$3,0,0,'Données projet'!$E$14+1,1))</f>
        <v>323.01113210765487</v>
      </c>
      <c r="DU23" s="59">
        <f t="shared" si="44"/>
        <v>311.68541696405975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422.98597418500094</v>
      </c>
      <c r="S24" s="59">
        <f ca="1">AVERAGE(OFFSET($R$3,0,0,'Données projet'!$E$9+1,1))-AVERAGE(OFFSET($H$3,0,0,'Données projet'!$E$9+1,1))</f>
        <v>337.99164391755608</v>
      </c>
      <c r="T24" s="59">
        <f t="shared" si="34"/>
        <v>421.45428231923393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3.6141025641025637</v>
      </c>
      <c r="AI24" s="13">
        <f>IF('Données projet'!$A$62&gt;35,AI23+AH24-AQ23,IF(A24&lt;'Données projet'!$A$62,$AF$205^A24,IF(A24='Données projet'!$A$62,'Données projet'!$B$62,AI23+AH24-AQ23)))</f>
        <v>26.581850401329536</v>
      </c>
      <c r="AJ24" s="13">
        <f>AI24*VLOOKUP('Données projet'!$B$10,Paramètres!$A$1:$I$89,3,0)*VLOOKUP('Données projet'!$B$10,Paramètres!$A$1:$I$89,5,0)</f>
        <v>26.953996306948152</v>
      </c>
      <c r="AK24" s="13">
        <f t="shared" si="35"/>
        <v>8.4654625548738949</v>
      </c>
      <c r="AL24" s="20">
        <f t="shared" si="4"/>
        <v>61.68889085100674</v>
      </c>
      <c r="AM24" s="59">
        <f t="shared" si="5"/>
        <v>280.54641922688114</v>
      </c>
      <c r="AN24" s="59">
        <f ca="1">AVERAGE(OFFSET($AM$3,0,0,'Données projet'!$E$10+1,1))-AVERAGE(OFFSET($H$3,0,0,'Données projet'!$E$10+1,1))</f>
        <v>596.42822894047072</v>
      </c>
      <c r="AO24" s="59">
        <f t="shared" si="36"/>
        <v>298.31525330951047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10.199999999999999</v>
      </c>
      <c r="BD24" s="12">
        <f>IF('Données projet'!$A$88&gt;35,BD23+BC24-BL23,IF(A24&lt;'Données projet'!$A$88,$BA$205^A24,IF(A24='Données projet'!$A$88,'Données projet'!$B$88,BD23+BC24-BL23)))</f>
        <v>85.199999999999989</v>
      </c>
      <c r="BE24" s="13">
        <f>BD24*VLOOKUP('Données projet'!$B$11,Paramètres!$A$1:$I$89,3,0)*VLOOKUP('Données projet'!$B$11,Paramètres!$A$1:$I$89,5,0)</f>
        <v>89.05104</v>
      </c>
      <c r="BF24" s="13">
        <f t="shared" si="37"/>
        <v>24.336217692365963</v>
      </c>
      <c r="BG24" s="20">
        <f t="shared" si="7"/>
        <v>197.48280714753739</v>
      </c>
      <c r="BH24" s="59">
        <f t="shared" si="8"/>
        <v>416.3403355234118</v>
      </c>
      <c r="BI24" s="59">
        <f ca="1">AVERAGE(OFFSET($BH$3,0,0,'Données projet'!$E$11+1,1))-AVERAGE(OFFSET($H$3,0,0,'Données projet'!$E$11+1,1))</f>
        <v>446.06835300781546</v>
      </c>
      <c r="BJ24" s="59">
        <f t="shared" si="38"/>
        <v>396.46809188573138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5.29</v>
      </c>
      <c r="BY24" s="12">
        <f>IF('Données projet'!$A$114&gt;35,BY23+BX24-CG23,IF(A24&lt;'Données projet'!$A$114,$BV$205^A24,IF(A24='Données projet'!$A$114,'Données projet'!$B$114,BY23+BX24-CG23)))</f>
        <v>34.705942964357149</v>
      </c>
      <c r="BZ24" s="13">
        <f>BY24*VLOOKUP('Données projet'!$B$12,Paramètres!$A$1:$I$89,3,0)*VLOOKUP('Données projet'!$B$12,Paramètres!$A$1:$I$89,5,0)</f>
        <v>16.242381307319146</v>
      </c>
      <c r="CA24" s="13">
        <f t="shared" si="39"/>
        <v>5.4110574058466536</v>
      </c>
      <c r="CB24" s="20">
        <f t="shared" si="10"/>
        <v>37.713072425430433</v>
      </c>
      <c r="CC24" s="59">
        <f t="shared" si="11"/>
        <v>256.57060080130481</v>
      </c>
      <c r="CD24" s="59">
        <f ca="1">AVERAGE(OFFSET($CC$3,0,0,'Données projet'!$E$12+1,1))-AVERAGE(OFFSET($H$3,0,0,'Données projet'!$E$12+1,1))</f>
        <v>307.52821153421951</v>
      </c>
      <c r="CE24" s="59">
        <f t="shared" si="40"/>
        <v>221.23619018904222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2.5115384615384619</v>
      </c>
      <c r="CT24" s="12">
        <f>IF('Données projet'!$A$140&gt;35,CT23+CS24-DB23,IF(A24&lt;'Données projet'!$A$140,$CQ$205^A24,IF(A24='Données projet'!$A$140,'Données projet'!$B$140,CT23+CS24-DB23)))</f>
        <v>20.603583478748867</v>
      </c>
      <c r="CU24" s="17">
        <f>CT24*VLOOKUP('Données projet'!$B$13,Paramètres!$A$1:$I$89,3,0)*VLOOKUP('Données projet'!$B$13,Paramètres!$A$1:$I$89,5,0)</f>
        <v>23.46336086559921</v>
      </c>
      <c r="CV24" s="13">
        <f t="shared" si="41"/>
        <v>7.4890867856487731</v>
      </c>
      <c r="CW24" s="20">
        <f t="shared" si="13"/>
        <v>53.90884632592357</v>
      </c>
      <c r="CX24" s="59">
        <f t="shared" si="14"/>
        <v>272.76637470179793</v>
      </c>
      <c r="CY24" s="59">
        <f ca="1">AVERAGE(OFFSET($CX$3,0,0,'Données projet'!$E$13+1,1))-AVERAGE(OFFSET($H$3,0,0,'Données projet'!$E$13+1,1))</f>
        <v>598.12133208901378</v>
      </c>
      <c r="CZ24" s="59">
        <f t="shared" si="42"/>
        <v>246.23353541360947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64.599999999999994</v>
      </c>
      <c r="DP24" s="17">
        <f>DO24*VLOOKUP('Données projet'!$B$14,Paramètres!$A$1:$I$89,3,0)*VLOOKUP('Données projet'!$B$14,Paramètres!$A$1:$I$89,5,0)</f>
        <v>51.395759999999996</v>
      </c>
      <c r="DQ24" s="13">
        <f t="shared" si="43"/>
        <v>14.973641136922506</v>
      </c>
      <c r="DR24" s="20">
        <f t="shared" si="16"/>
        <v>115.59337364680668</v>
      </c>
      <c r="DS24" s="59">
        <f t="shared" si="17"/>
        <v>334.45090202268108</v>
      </c>
      <c r="DT24" s="59">
        <f ca="1">AVERAGE(OFFSET($DS$3,0,0,'Données projet'!$E$14+1,1))-AVERAGE(OFFSET($H$3,0,0,'Données projet'!$E$14+1,1))</f>
        <v>323.01113210765487</v>
      </c>
      <c r="DU24" s="59">
        <f t="shared" si="44"/>
        <v>311.68541696405975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449.91763863662749</v>
      </c>
      <c r="S25" s="59">
        <f ca="1">AVERAGE(OFFSET($R$3,0,0,'Données projet'!$E$9+1,1))-AVERAGE(OFFSET($H$3,0,0,'Données projet'!$E$9+1,1))</f>
        <v>337.99164391755608</v>
      </c>
      <c r="T25" s="59">
        <f t="shared" si="34"/>
        <v>421.45428231923393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3.6141025641025637</v>
      </c>
      <c r="AI25" s="13">
        <f>IF('Données projet'!$A$62&gt;35,AI24+AH25-AQ24,IF(A25&lt;'Données projet'!$A$62,$AF$205^A25,IF(A25='Données projet'!$A$62,'Données projet'!$B$62,AI24+AH25-AQ24)))</f>
        <v>31.075820231445945</v>
      </c>
      <c r="AJ25" s="13">
        <f>AI25*VLOOKUP('Données projet'!$B$10,Paramètres!$A$1:$I$89,3,0)*VLOOKUP('Données projet'!$B$10,Paramètres!$A$1:$I$89,5,0)</f>
        <v>31.510881714686189</v>
      </c>
      <c r="AK25" s="13">
        <f t="shared" si="35"/>
        <v>9.7183337950829536</v>
      </c>
      <c r="AL25" s="20">
        <f t="shared" si="4"/>
        <v>71.807550346181259</v>
      </c>
      <c r="AM25" s="59">
        <f t="shared" si="5"/>
        <v>292.98846424964967</v>
      </c>
      <c r="AN25" s="59">
        <f ca="1">AVERAGE(OFFSET($AM$3,0,0,'Données projet'!$E$10+1,1))-AVERAGE(OFFSET($H$3,0,0,'Données projet'!$E$10+1,1))</f>
        <v>596.42822894047072</v>
      </c>
      <c r="AO25" s="59">
        <f t="shared" si="36"/>
        <v>298.31525330951047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10.199999999999999</v>
      </c>
      <c r="BD25" s="12">
        <f>IF('Données projet'!$A$88&gt;35,BD24+BC25-BL24,IF(A25&lt;'Données projet'!$A$88,$BA$205^A25,IF(A25='Données projet'!$A$88,'Données projet'!$B$88,BD24+BC25-BL24)))</f>
        <v>95.399999999999991</v>
      </c>
      <c r="BE25" s="13">
        <f>BD25*VLOOKUP('Données projet'!$B$11,Paramètres!$A$1:$I$89,3,0)*VLOOKUP('Données projet'!$B$11,Paramètres!$A$1:$I$89,5,0)</f>
        <v>99.71208</v>
      </c>
      <c r="BF25" s="13">
        <f t="shared" si="37"/>
        <v>26.893393072251083</v>
      </c>
      <c r="BG25" s="20">
        <f t="shared" si="7"/>
        <v>220.50453226750395</v>
      </c>
      <c r="BH25" s="59">
        <f t="shared" si="8"/>
        <v>441.68544617097234</v>
      </c>
      <c r="BI25" s="59">
        <f ca="1">AVERAGE(OFFSET($BH$3,0,0,'Données projet'!$E$11+1,1))-AVERAGE(OFFSET($H$3,0,0,'Données projet'!$E$11+1,1))</f>
        <v>446.06835300781546</v>
      </c>
      <c r="BJ25" s="59">
        <f t="shared" si="38"/>
        <v>396.46809188573138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5.29</v>
      </c>
      <c r="BY25" s="12">
        <f>IF('Données projet'!$A$114&gt;35,BY24+BX25-CG24,IF(A25&lt;'Données projet'!$A$114,$BV$205^A25,IF(A25='Données projet'!$A$114,'Données projet'!$B$114,BY24+BX25-CG24)))</f>
        <v>41.091918014818397</v>
      </c>
      <c r="BZ25" s="13">
        <f>BY25*VLOOKUP('Données projet'!$B$12,Paramètres!$A$1:$I$89,3,0)*VLOOKUP('Données projet'!$B$12,Paramètres!$A$1:$I$89,5,0)</f>
        <v>19.23101763093501</v>
      </c>
      <c r="CA25" s="13">
        <f t="shared" si="39"/>
        <v>6.281978810045632</v>
      </c>
      <c r="CB25" s="20">
        <f t="shared" si="10"/>
        <v>44.435135468041288</v>
      </c>
      <c r="CC25" s="59">
        <f t="shared" si="11"/>
        <v>265.61604937150969</v>
      </c>
      <c r="CD25" s="59">
        <f ca="1">AVERAGE(OFFSET($CC$3,0,0,'Données projet'!$E$12+1,1))-AVERAGE(OFFSET($H$3,0,0,'Données projet'!$E$12+1,1))</f>
        <v>307.52821153421951</v>
      </c>
      <c r="CE25" s="59">
        <f t="shared" si="40"/>
        <v>221.23619018904222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2.5115384615384619</v>
      </c>
      <c r="CT25" s="12">
        <f>IF('Données projet'!$A$140&gt;35,CT24+CS25-DB24,IF(A25&lt;'Données projet'!$A$140,$CQ$205^A25,IF(A25='Données projet'!$A$140,'Données projet'!$B$140,CT24+CS25-DB24)))</f>
        <v>23.796411181408413</v>
      </c>
      <c r="CU25" s="17">
        <f>CT25*VLOOKUP('Données projet'!$B$13,Paramètres!$A$1:$I$89,3,0)*VLOOKUP('Données projet'!$B$13,Paramètres!$A$1:$I$89,5,0)</f>
        <v>27.099353053387905</v>
      </c>
      <c r="CV25" s="13">
        <f t="shared" si="41"/>
        <v>8.5057882974369843</v>
      </c>
      <c r="CW25" s="20">
        <f t="shared" si="13"/>
        <v>62.012287852686683</v>
      </c>
      <c r="CX25" s="59">
        <f t="shared" si="14"/>
        <v>283.19320175615508</v>
      </c>
      <c r="CY25" s="59">
        <f ca="1">AVERAGE(OFFSET($CX$3,0,0,'Données projet'!$E$13+1,1))-AVERAGE(OFFSET($H$3,0,0,'Données projet'!$E$13+1,1))</f>
        <v>598.12133208901378</v>
      </c>
      <c r="CZ25" s="59">
        <f t="shared" si="42"/>
        <v>246.23353541360947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77.199999999999989</v>
      </c>
      <c r="DP25" s="17">
        <f>DO25*VLOOKUP('Données projet'!$B$14,Paramètres!$A$1:$I$89,3,0)*VLOOKUP('Données projet'!$B$14,Paramètres!$A$1:$I$89,5,0)</f>
        <v>61.42031999999999</v>
      </c>
      <c r="DQ25" s="13">
        <f t="shared" si="43"/>
        <v>17.526880037631354</v>
      </c>
      <c r="DR25" s="20">
        <f t="shared" si="16"/>
        <v>137.4997067322079</v>
      </c>
      <c r="DS25" s="59">
        <f t="shared" si="17"/>
        <v>358.68062063567629</v>
      </c>
      <c r="DT25" s="59">
        <f ca="1">AVERAGE(OFFSET($DS$3,0,0,'Données projet'!$E$14+1,1))-AVERAGE(OFFSET($H$3,0,0,'Données projet'!$E$14+1,1))</f>
        <v>323.01113210765487</v>
      </c>
      <c r="DU25" s="59">
        <f t="shared" si="44"/>
        <v>311.68541696405975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476.76962024900251</v>
      </c>
      <c r="S26" s="59">
        <f ca="1">AVERAGE(OFFSET($R$3,0,0,'Données projet'!$E$9+1,1))-AVERAGE(OFFSET($H$3,0,0,'Données projet'!$E$9+1,1))</f>
        <v>337.99164391755608</v>
      </c>
      <c r="T26" s="59">
        <f t="shared" si="34"/>
        <v>421.45428231923393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3.6141025641025637</v>
      </c>
      <c r="AI26" s="13">
        <f>IF('Données projet'!$A$62&gt;35,AI25+AH26-AQ25,IF(A26&lt;'Données projet'!$A$62,$AF$205^A26,IF(A26='Données projet'!$A$62,'Données projet'!$B$62,AI25+AH26-AQ25)))</f>
        <v>36.329547735655126</v>
      </c>
      <c r="AJ26" s="13">
        <f>AI26*VLOOKUP('Données projet'!$B$10,Paramètres!$A$1:$I$89,3,0)*VLOOKUP('Données projet'!$B$10,Paramètres!$A$1:$I$89,5,0)</f>
        <v>36.838161403954302</v>
      </c>
      <c r="AK26" s="13">
        <f t="shared" si="35"/>
        <v>11.15662743062696</v>
      </c>
      <c r="AL26" s="20">
        <f t="shared" si="4"/>
        <v>83.590923886895695</v>
      </c>
      <c r="AM26" s="59">
        <f t="shared" si="5"/>
        <v>307.07612059644219</v>
      </c>
      <c r="AN26" s="59">
        <f ca="1">AVERAGE(OFFSET($AM$3,0,0,'Données projet'!$E$10+1,1))-AVERAGE(OFFSET($H$3,0,0,'Données projet'!$E$10+1,1))</f>
        <v>596.42822894047072</v>
      </c>
      <c r="AO26" s="59">
        <f t="shared" si="36"/>
        <v>298.31525330951047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10.199999999999999</v>
      </c>
      <c r="BD26" s="12">
        <f>IF('Données projet'!$A$88&gt;35,BD25+BC26-BL25,IF(A26&lt;'Données projet'!$A$88,$BA$205^A26,IF(A26='Données projet'!$A$88,'Données projet'!$B$88,BD25+BC26-BL25)))</f>
        <v>105.6</v>
      </c>
      <c r="BE26" s="13">
        <f>BD26*VLOOKUP('Données projet'!$B$11,Paramètres!$A$1:$I$89,3,0)*VLOOKUP('Données projet'!$B$11,Paramètres!$A$1:$I$89,5,0)</f>
        <v>110.37312</v>
      </c>
      <c r="BF26" s="13">
        <f t="shared" si="37"/>
        <v>29.418877221958358</v>
      </c>
      <c r="BG26" s="20">
        <f t="shared" si="7"/>
        <v>243.47106182824413</v>
      </c>
      <c r="BH26" s="59">
        <f t="shared" si="8"/>
        <v>466.95625853779063</v>
      </c>
      <c r="BI26" s="59">
        <f ca="1">AVERAGE(OFFSET($BH$3,0,0,'Données projet'!$E$11+1,1))-AVERAGE(OFFSET($H$3,0,0,'Données projet'!$E$11+1,1))</f>
        <v>446.06835300781546</v>
      </c>
      <c r="BJ26" s="59">
        <f t="shared" si="38"/>
        <v>396.46809188573138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5.29</v>
      </c>
      <c r="BY26" s="12">
        <f>IF('Données projet'!$A$114&gt;35,BY25+BX26-CG25,IF(A26&lt;'Données projet'!$A$114,$BV$205^A26,IF(A26='Données projet'!$A$114,'Données projet'!$B$114,BY25+BX26-CG25)))</f>
        <v>48.652927479039704</v>
      </c>
      <c r="BZ26" s="13">
        <f>BY26*VLOOKUP('Données projet'!$B$12,Paramètres!$A$1:$I$89,3,0)*VLOOKUP('Données projet'!$B$12,Paramètres!$A$1:$I$89,5,0)</f>
        <v>22.769570060190581</v>
      </c>
      <c r="CA26" s="13">
        <f t="shared" si="39"/>
        <v>7.2930768997612647</v>
      </c>
      <c r="CB26" s="20">
        <f t="shared" si="10"/>
        <v>52.359110121916132</v>
      </c>
      <c r="CC26" s="59">
        <f t="shared" si="11"/>
        <v>275.84430683146263</v>
      </c>
      <c r="CD26" s="59">
        <f ca="1">AVERAGE(OFFSET($CC$3,0,0,'Données projet'!$E$12+1,1))-AVERAGE(OFFSET($H$3,0,0,'Données projet'!$E$12+1,1))</f>
        <v>307.52821153421951</v>
      </c>
      <c r="CE26" s="59">
        <f t="shared" si="40"/>
        <v>221.23619018904222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2.5115384615384619</v>
      </c>
      <c r="CT26" s="12">
        <f>IF('Données projet'!$A$140&gt;35,CT25+CS26-DB25,IF(A26&lt;'Données projet'!$A$140,$CQ$205^A26,IF(A26='Données projet'!$A$140,'Données projet'!$B$140,CT25+CS26-DB25)))</f>
        <v>27.484014404519773</v>
      </c>
      <c r="CU26" s="17">
        <f>CT26*VLOOKUP('Données projet'!$B$13,Paramètres!$A$1:$I$89,3,0)*VLOOKUP('Données projet'!$B$13,Paramètres!$A$1:$I$89,5,0)</f>
        <v>31.298795603867116</v>
      </c>
      <c r="CV26" s="13">
        <f t="shared" si="41"/>
        <v>9.6605149107707273</v>
      </c>
      <c r="CW26" s="20">
        <f t="shared" si="13"/>
        <v>71.337465812994239</v>
      </c>
      <c r="CX26" s="59">
        <f t="shared" si="14"/>
        <v>294.82266252254072</v>
      </c>
      <c r="CY26" s="59">
        <f ca="1">AVERAGE(OFFSET($CX$3,0,0,'Données projet'!$E$13+1,1))-AVERAGE(OFFSET($H$3,0,0,'Données projet'!$E$13+1,1))</f>
        <v>598.12133208901378</v>
      </c>
      <c r="CZ26" s="59">
        <f t="shared" si="42"/>
        <v>246.23353541360947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89.799999999999983</v>
      </c>
      <c r="DP26" s="17">
        <f>DO26*VLOOKUP('Données projet'!$B$14,Paramètres!$A$1:$I$89,3,0)*VLOOKUP('Données projet'!$B$14,Paramètres!$A$1:$I$89,5,0)</f>
        <v>71.444879999999998</v>
      </c>
      <c r="DQ26" s="13">
        <f t="shared" si="43"/>
        <v>20.03184442542841</v>
      </c>
      <c r="DR26" s="20">
        <f t="shared" si="16"/>
        <v>159.32196170762117</v>
      </c>
      <c r="DS26" s="59">
        <f t="shared" si="17"/>
        <v>382.80715841716767</v>
      </c>
      <c r="DT26" s="59">
        <f ca="1">AVERAGE(OFFSET($DS$3,0,0,'Données projet'!$E$14+1,1))-AVERAGE(OFFSET($H$3,0,0,'Données projet'!$E$14+1,1))</f>
        <v>323.01113210765487</v>
      </c>
      <c r="DU26" s="59">
        <f t="shared" si="44"/>
        <v>311.68541696405975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503.54894594605287</v>
      </c>
      <c r="S27" s="59">
        <f ca="1">AVERAGE(OFFSET($R$3,0,0,'Données projet'!$E$9+1,1))-AVERAGE(OFFSET($H$3,0,0,'Données projet'!$E$9+1,1))</f>
        <v>337.99164391755608</v>
      </c>
      <c r="T27" s="59">
        <f t="shared" si="34"/>
        <v>421.45428231923393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3.6141025641025637</v>
      </c>
      <c r="AI27" s="13">
        <f>IF('Données projet'!$A$62&gt;35,AI26+AH27-AQ26,IF(A27&lt;'Données projet'!$A$62,$AF$205^A27,IF(A27='Données projet'!$A$62,'Données projet'!$B$62,AI26+AH27-AQ26)))</f>
        <v>42.47147875252827</v>
      </c>
      <c r="AJ27" s="13">
        <f>AI27*VLOOKUP('Données projet'!$B$10,Paramètres!$A$1:$I$89,3,0)*VLOOKUP('Données projet'!$B$10,Paramètres!$A$1:$I$89,5,0)</f>
        <v>43.066079455063672</v>
      </c>
      <c r="AK27" s="13">
        <f t="shared" si="35"/>
        <v>12.807785598884697</v>
      </c>
      <c r="AL27" s="20">
        <f t="shared" si="4"/>
        <v>97.313648302293402</v>
      </c>
      <c r="AM27" s="59">
        <f t="shared" si="5"/>
        <v>323.08435648591319</v>
      </c>
      <c r="AN27" s="59">
        <f ca="1">AVERAGE(OFFSET($AM$3,0,0,'Données projet'!$E$10+1,1))-AVERAGE(OFFSET($H$3,0,0,'Données projet'!$E$10+1,1))</f>
        <v>596.42822894047072</v>
      </c>
      <c r="AO27" s="59">
        <f t="shared" si="36"/>
        <v>298.31525330951047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10.199999999999999</v>
      </c>
      <c r="BD27" s="12">
        <f>IF('Données projet'!$A$88&gt;35,BD26+BC27-BL26,IF(A27&lt;'Données projet'!$A$88,$BA$205^A27,IF(A27='Données projet'!$A$88,'Données projet'!$B$88,BD26+BC27-BL26)))</f>
        <v>115.8</v>
      </c>
      <c r="BE27" s="13">
        <f>BD27*VLOOKUP('Données projet'!$B$11,Paramètres!$A$1:$I$89,3,0)*VLOOKUP('Données projet'!$B$11,Paramètres!$A$1:$I$89,5,0)</f>
        <v>121.03416</v>
      </c>
      <c r="BF27" s="13">
        <f t="shared" si="37"/>
        <v>31.916079538986775</v>
      </c>
      <c r="BG27" s="20">
        <f t="shared" si="7"/>
        <v>266.38833386373528</v>
      </c>
      <c r="BH27" s="59">
        <f t="shared" si="8"/>
        <v>492.15904204735511</v>
      </c>
      <c r="BI27" s="59">
        <f ca="1">AVERAGE(OFFSET($BH$3,0,0,'Données projet'!$E$11+1,1))-AVERAGE(OFFSET($H$3,0,0,'Données projet'!$E$11+1,1))</f>
        <v>446.06835300781546</v>
      </c>
      <c r="BJ27" s="59">
        <f t="shared" si="38"/>
        <v>396.46809188573138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5.29</v>
      </c>
      <c r="BY27" s="12">
        <f>IF('Données projet'!$A$114&gt;35,BY26+BX27-CG26,IF(A27&lt;'Données projet'!$A$114,$BV$205^A27,IF(A27='Données projet'!$A$114,'Données projet'!$B$114,BY26+BX27-CG26)))</f>
        <v>57.605180450011609</v>
      </c>
      <c r="BZ27" s="13">
        <f>BY27*VLOOKUP('Données projet'!$B$12,Paramètres!$A$1:$I$89,3,0)*VLOOKUP('Données projet'!$B$12,Paramètres!$A$1:$I$89,5,0)</f>
        <v>26.959224450605433</v>
      </c>
      <c r="CA27" s="13">
        <f t="shared" si="39"/>
        <v>8.4669134160045001</v>
      </c>
      <c r="CB27" s="20">
        <f t="shared" si="10"/>
        <v>61.700523451012309</v>
      </c>
      <c r="CC27" s="59">
        <f t="shared" si="11"/>
        <v>287.47123163463209</v>
      </c>
      <c r="CD27" s="59">
        <f ca="1">AVERAGE(OFFSET($CC$3,0,0,'Données projet'!$E$12+1,1))-AVERAGE(OFFSET($H$3,0,0,'Données projet'!$E$12+1,1))</f>
        <v>307.52821153421951</v>
      </c>
      <c r="CE27" s="59">
        <f t="shared" si="40"/>
        <v>221.23619018904222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2.5115384615384619</v>
      </c>
      <c r="CT27" s="12">
        <f>IF('Données projet'!$A$140&gt;35,CT26+CS27-DB26,IF(A27&lt;'Données projet'!$A$140,$CQ$205^A27,IF(A27='Données projet'!$A$140,'Données projet'!$B$140,CT26+CS27-DB26)))</f>
        <v>31.743065877849862</v>
      </c>
      <c r="CU27" s="17">
        <f>CT27*VLOOKUP('Données projet'!$B$13,Paramètres!$A$1:$I$89,3,0)*VLOOKUP('Données projet'!$B$13,Paramètres!$A$1:$I$89,5,0)</f>
        <v>36.149003421695419</v>
      </c>
      <c r="CV27" s="13">
        <f t="shared" si="41"/>
        <v>10.972004601777462</v>
      </c>
      <c r="CW27" s="20">
        <f t="shared" si="13"/>
        <v>82.069088974215262</v>
      </c>
      <c r="CX27" s="59">
        <f t="shared" si="14"/>
        <v>307.83979715783505</v>
      </c>
      <c r="CY27" s="59">
        <f ca="1">AVERAGE(OFFSET($CX$3,0,0,'Données projet'!$E$13+1,1))-AVERAGE(OFFSET($H$3,0,0,'Données projet'!$E$13+1,1))</f>
        <v>598.12133208901378</v>
      </c>
      <c r="CZ27" s="59">
        <f t="shared" si="42"/>
        <v>246.23353541360947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102.39999999999998</v>
      </c>
      <c r="DP27" s="17">
        <f>DO27*VLOOKUP('Données projet'!$B$14,Paramètres!$A$1:$I$89,3,0)*VLOOKUP('Données projet'!$B$14,Paramètres!$A$1:$I$89,5,0)</f>
        <v>81.469439999999992</v>
      </c>
      <c r="DQ27" s="13">
        <f t="shared" si="43"/>
        <v>22.496088365195678</v>
      </c>
      <c r="DR27" s="20">
        <f t="shared" si="16"/>
        <v>181.07329523604912</v>
      </c>
      <c r="DS27" s="59">
        <f t="shared" si="17"/>
        <v>406.84400341966892</v>
      </c>
      <c r="DT27" s="59">
        <f ca="1">AVERAGE(OFFSET($DS$3,0,0,'Données projet'!$E$14+1,1))-AVERAGE(OFFSET($H$3,0,0,'Données projet'!$E$14+1,1))</f>
        <v>323.01113210765487</v>
      </c>
      <c r="DU27" s="59">
        <f t="shared" si="44"/>
        <v>311.68541696405975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530.26135877586375</v>
      </c>
      <c r="S28" s="59">
        <f ca="1">AVERAGE(OFFSET($R$3,0,0,'Données projet'!$E$9+1,1))-AVERAGE(OFFSET($H$3,0,0,'Données projet'!$E$9+1,1))</f>
        <v>337.99164391755608</v>
      </c>
      <c r="T28" s="59">
        <f t="shared" si="34"/>
        <v>421.45428231923393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3.6141025641025637</v>
      </c>
      <c r="AI28" s="13">
        <f>IF('Données projet'!$A$62&gt;35,AI27+AH28-AQ27,IF(A28&lt;'Données projet'!$A$62,$AF$205^A28,IF(A28='Données projet'!$A$62,'Données projet'!$B$62,AI27+AH28-AQ27)))</f>
        <v>49.651774378025635</v>
      </c>
      <c r="AJ28" s="13">
        <f>AI28*VLOOKUP('Données projet'!$B$10,Paramètres!$A$1:$I$89,3,0)*VLOOKUP('Données projet'!$B$10,Paramètres!$A$1:$I$89,5,0)</f>
        <v>50.346899219318004</v>
      </c>
      <c r="AK28" s="13">
        <f t="shared" si="35"/>
        <v>14.703311817752425</v>
      </c>
      <c r="AL28" s="20">
        <f t="shared" si="4"/>
        <v>113.29578422289764</v>
      </c>
      <c r="AM28" s="59">
        <f t="shared" si="5"/>
        <v>341.33355818922973</v>
      </c>
      <c r="AN28" s="59">
        <f ca="1">AVERAGE(OFFSET($AM$3,0,0,'Données projet'!$E$10+1,1))-AVERAGE(OFFSET($H$3,0,0,'Données projet'!$E$10+1,1))</f>
        <v>596.42822894047072</v>
      </c>
      <c r="AO28" s="59">
        <f t="shared" si="36"/>
        <v>298.31525330951047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126</v>
      </c>
      <c r="BB28" s="12">
        <f>VLOOKUP(A28,'Données projet'!$A$87:$I$107,9,0)</f>
        <v>10.199999999999999</v>
      </c>
      <c r="BC28" s="12">
        <f t="array" ref="BC28">INDEX(BB:BB,MIN(IF(ISNUMBER(BB28:BB224),ROW(BB28:BB224),"")))</f>
        <v>10.199999999999999</v>
      </c>
      <c r="BD28" s="12">
        <f>IF('Données projet'!$A$88&gt;35,BD27+BC28-BL27,IF(A28&lt;'Données projet'!$A$88,$BA$205^A28,IF(A28='Données projet'!$A$88,'Données projet'!$B$88,BD27+BC28-BL27)))</f>
        <v>126</v>
      </c>
      <c r="BE28" s="13">
        <f>BD28*VLOOKUP('Données projet'!$B$11,Paramètres!$A$1:$I$89,3,0)*VLOOKUP('Données projet'!$B$11,Paramètres!$A$1:$I$89,5,0)</f>
        <v>131.6952</v>
      </c>
      <c r="BF28" s="13">
        <f t="shared" si="37"/>
        <v>34.387774432362242</v>
      </c>
      <c r="BG28" s="20">
        <f t="shared" si="7"/>
        <v>289.26118046969754</v>
      </c>
      <c r="BH28" s="59">
        <f t="shared" si="8"/>
        <v>517.29895443602959</v>
      </c>
      <c r="BI28" s="59">
        <f ca="1">AVERAGE(OFFSET($BH$3,0,0,'Données projet'!$E$11+1,1))-AVERAGE(OFFSET($H$3,0,0,'Données projet'!$E$11+1,1))</f>
        <v>446.06835300781546</v>
      </c>
      <c r="BJ28" s="59">
        <f t="shared" si="38"/>
        <v>396.46809188573138</v>
      </c>
      <c r="BK28" s="15">
        <f>IF(ISNA(VLOOKUP(A28,'Données projet'!$A$87:$I$107,3,0)),0,VLOOKUP(A28,'Données projet'!$A$87:$I$107,3,0))</f>
        <v>2</v>
      </c>
      <c r="BL28" s="15" t="str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5.29</v>
      </c>
      <c r="BY28" s="12">
        <f>IF('Données projet'!$A$114&gt;35,BY27+BX28-CG27,IF(A28&lt;'Données projet'!$A$114,$BV$205^A28,IF(A28='Données projet'!$A$114,'Données projet'!$B$114,BY27+BX28-CG27)))</f>
        <v>68.204669001839406</v>
      </c>
      <c r="BZ28" s="13">
        <f>BY28*VLOOKUP('Données projet'!$B$12,Paramètres!$A$1:$I$89,3,0)*VLOOKUP('Données projet'!$B$12,Paramètres!$A$1:$I$89,5,0)</f>
        <v>31.919785092860842</v>
      </c>
      <c r="CA28" s="13">
        <f t="shared" si="39"/>
        <v>9.8296814608473024</v>
      </c>
      <c r="CB28" s="20">
        <f t="shared" si="10"/>
        <v>72.713654247708348</v>
      </c>
      <c r="CC28" s="59">
        <f t="shared" si="11"/>
        <v>300.75142821404046</v>
      </c>
      <c r="CD28" s="59">
        <f ca="1">AVERAGE(OFFSET($CC$3,0,0,'Données projet'!$E$12+1,1))-AVERAGE(OFFSET($H$3,0,0,'Données projet'!$E$12+1,1))</f>
        <v>307.52821153421951</v>
      </c>
      <c r="CE28" s="59">
        <f t="shared" si="40"/>
        <v>221.23619018904222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2.5115384615384619</v>
      </c>
      <c r="CT28" s="12">
        <f>IF('Données projet'!$A$140&gt;35,CT27+CS28-DB27,IF(A28&lt;'Données projet'!$A$140,$CQ$205^A28,IF(A28='Données projet'!$A$140,'Données projet'!$B$140,CT27+CS28-DB27)))</f>
        <v>36.662119896131756</v>
      </c>
      <c r="CU28" s="17">
        <f>CT28*VLOOKUP('Données projet'!$B$13,Paramètres!$A$1:$I$89,3,0)*VLOOKUP('Données projet'!$B$13,Paramètres!$A$1:$I$89,5,0)</f>
        <v>41.750822137714849</v>
      </c>
      <c r="CV28" s="13">
        <f t="shared" si="41"/>
        <v>12.461539171913715</v>
      </c>
      <c r="CW28" s="20">
        <f t="shared" si="13"/>
        <v>94.419862614269732</v>
      </c>
      <c r="CX28" s="59">
        <f t="shared" si="14"/>
        <v>322.45763658060184</v>
      </c>
      <c r="CY28" s="59">
        <f ca="1">AVERAGE(OFFSET($CX$3,0,0,'Données projet'!$E$13+1,1))-AVERAGE(OFFSET($H$3,0,0,'Données projet'!$E$13+1,1))</f>
        <v>598.12133208901378</v>
      </c>
      <c r="CZ28" s="59">
        <f t="shared" si="42"/>
        <v>246.23353541360947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115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114.99999999999997</v>
      </c>
      <c r="DP28" s="17">
        <f>DO28*VLOOKUP('Données projet'!$B$14,Paramètres!$A$1:$I$89,3,0)*VLOOKUP('Données projet'!$B$14,Paramètres!$A$1:$I$89,5,0)</f>
        <v>91.493999999999986</v>
      </c>
      <c r="DQ28" s="13">
        <f t="shared" si="43"/>
        <v>24.925195840896517</v>
      </c>
      <c r="DR28" s="20">
        <f t="shared" si="16"/>
        <v>202.76343275622807</v>
      </c>
      <c r="DS28" s="59">
        <f t="shared" si="17"/>
        <v>430.80120672256021</v>
      </c>
      <c r="DT28" s="59">
        <f ca="1">AVERAGE(OFFSET($DS$3,0,0,'Données projet'!$E$14+1,1))-AVERAGE(OFFSET($H$3,0,0,'Données projet'!$E$14+1,1))</f>
        <v>323.01113210765487</v>
      </c>
      <c r="DU28" s="59">
        <f t="shared" si="44"/>
        <v>311.68541696405975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3.785714285714286E-2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0.9286122147211483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0.9286122147211483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556.91164790784387</v>
      </c>
      <c r="S29" s="59">
        <f ca="1">AVERAGE(OFFSET($R$3,0,0,'Données projet'!$E$9+1,1))-AVERAGE(OFFSET($H$3,0,0,'Données projet'!$E$9+1,1))</f>
        <v>337.99164391755608</v>
      </c>
      <c r="T29" s="59">
        <f t="shared" si="34"/>
        <v>421.45428231923393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3.6141025641025637</v>
      </c>
      <c r="AI29" s="13">
        <f>IF('Données projet'!$A$62&gt;35,AI28+AH29-AQ28,IF(A29&lt;'Données projet'!$A$62,$AF$205^A29,IF(A29='Données projet'!$A$62,'Données projet'!$B$62,AI28+AH29-AQ28)))</f>
        <v>58.045982181385838</v>
      </c>
      <c r="AJ29" s="13">
        <f>AI29*VLOOKUP('Données projet'!$B$10,Paramètres!$A$1:$I$89,3,0)*VLOOKUP('Données projet'!$B$10,Paramètres!$A$1:$I$89,5,0)</f>
        <v>58.858625931925246</v>
      </c>
      <c r="AK29" s="13">
        <f t="shared" si="35"/>
        <v>16.87937206170001</v>
      </c>
      <c r="AL29" s="20">
        <f t="shared" si="4"/>
        <v>131.91034650556398</v>
      </c>
      <c r="AM29" s="59">
        <f t="shared" si="5"/>
        <v>362.19706055475416</v>
      </c>
      <c r="AN29" s="59">
        <f ca="1">AVERAGE(OFFSET($AM$3,0,0,'Données projet'!$E$10+1,1))-AVERAGE(OFFSET($H$3,0,0,'Données projet'!$E$10+1,1))</f>
        <v>596.42822894047072</v>
      </c>
      <c r="AO29" s="59">
        <f t="shared" si="36"/>
        <v>298.31525330951047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9.8000000000000007</v>
      </c>
      <c r="BD29" s="12">
        <f>IF('Données projet'!$A$88&gt;35,BD28+BC29-BL28,IF(A29&lt;'Données projet'!$A$88,$BA$205^A29,IF(A29='Données projet'!$A$88,'Données projet'!$B$88,BD28+BC29-BL28)))</f>
        <v>109.80000000000001</v>
      </c>
      <c r="BE29" s="13">
        <f>BD29*VLOOKUP('Données projet'!$B$11,Paramètres!$A$1:$I$89,3,0)*VLOOKUP('Données projet'!$B$11,Paramètres!$A$1:$I$89,5,0)</f>
        <v>114.76296000000004</v>
      </c>
      <c r="BF29" s="13">
        <f t="shared" si="37"/>
        <v>30.450391685635733</v>
      </c>
      <c r="BG29" s="20">
        <f t="shared" si="7"/>
        <v>252.91325418581559</v>
      </c>
      <c r="BH29" s="59">
        <f t="shared" si="8"/>
        <v>483.19996823500577</v>
      </c>
      <c r="BI29" s="59">
        <f ca="1">AVERAGE(OFFSET($BH$3,0,0,'Données projet'!$E$11+1,1))-AVERAGE(OFFSET($H$3,0,0,'Données projet'!$E$11+1,1))</f>
        <v>446.06835300781546</v>
      </c>
      <c r="BJ29" s="59">
        <f t="shared" si="38"/>
        <v>396.46809188573138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5.29</v>
      </c>
      <c r="BY29" s="12">
        <f>IF('Données projet'!$A$114&gt;35,BY28+BX29-CG28,IF(A29&lt;'Données projet'!$A$114,$BV$205^A29,IF(A29='Données projet'!$A$114,'Données projet'!$B$114,BY28+BX29-CG28)))</f>
        <v>80.754488351742239</v>
      </c>
      <c r="BZ29" s="13">
        <f>BY29*VLOOKUP('Données projet'!$B$12,Paramètres!$A$1:$I$89,3,0)*VLOOKUP('Données projet'!$B$12,Paramètres!$A$1:$I$89,5,0)</f>
        <v>37.793100548615364</v>
      </c>
      <c r="CA29" s="13">
        <f t="shared" si="39"/>
        <v>11.411789972847142</v>
      </c>
      <c r="CB29" s="20">
        <f t="shared" si="10"/>
        <v>85.698517658213859</v>
      </c>
      <c r="CC29" s="59">
        <f t="shared" si="11"/>
        <v>315.98523170740407</v>
      </c>
      <c r="CD29" s="59">
        <f ca="1">AVERAGE(OFFSET($CC$3,0,0,'Données projet'!$E$12+1,1))-AVERAGE(OFFSET($H$3,0,0,'Données projet'!$E$12+1,1))</f>
        <v>307.52821153421951</v>
      </c>
      <c r="CE29" s="59">
        <f t="shared" si="40"/>
        <v>221.23619018904222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2.5115384615384619</v>
      </c>
      <c r="CT29" s="12">
        <f>IF('Données projet'!$A$140&gt;35,CT28+CS29-DB28,IF(A29&lt;'Données projet'!$A$140,$CQ$205^A29,IF(A29='Données projet'!$A$140,'Données projet'!$B$140,CT28+CS29-DB28)))</f>
        <v>42.3434535419672</v>
      </c>
      <c r="CU29" s="17">
        <f>CT29*VLOOKUP('Données projet'!$B$13,Paramètres!$A$1:$I$89,3,0)*VLOOKUP('Données projet'!$B$13,Paramètres!$A$1:$I$89,5,0)</f>
        <v>48.220724893592248</v>
      </c>
      <c r="CV29" s="13">
        <f t="shared" si="41"/>
        <v>14.153289591947749</v>
      </c>
      <c r="CW29" s="20">
        <f t="shared" si="13"/>
        <v>108.63474189564882</v>
      </c>
      <c r="CX29" s="59">
        <f t="shared" si="14"/>
        <v>338.92145594483901</v>
      </c>
      <c r="CY29" s="59">
        <f ca="1">AVERAGE(OFFSET($CX$3,0,0,'Données projet'!$E$13+1,1))-AVERAGE(OFFSET($H$3,0,0,'Données projet'!$E$13+1,1))</f>
        <v>598.12133208901378</v>
      </c>
      <c r="CZ29" s="59">
        <f t="shared" si="42"/>
        <v>246.23353541360947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11.8</v>
      </c>
      <c r="DO29" s="12">
        <f>IF('Données projet'!$A$166&gt;35,DO28+DN29-DW28,IF(A29&lt;'Données projet'!$A$166,$DL$205^A29,IF(A29='Données projet'!$A$166,'Données projet'!$B$166,DO28+DN29-DW28)))</f>
        <v>98.799999999999969</v>
      </c>
      <c r="DP29" s="17">
        <f>DO29*VLOOKUP('Données projet'!$B$14,Paramètres!$A$1:$I$89,3,0)*VLOOKUP('Données projet'!$B$14,Paramètres!$A$1:$I$89,5,0)</f>
        <v>78.605279999999979</v>
      </c>
      <c r="DQ29" s="13">
        <f t="shared" si="43"/>
        <v>21.795819556945734</v>
      </c>
      <c r="DR29" s="20">
        <f t="shared" si="16"/>
        <v>174.86524839501377</v>
      </c>
      <c r="DS29" s="59">
        <f t="shared" si="17"/>
        <v>405.15196244420395</v>
      </c>
      <c r="DT29" s="59">
        <f ca="1">AVERAGE(OFFSET($DS$3,0,0,'Données projet'!$E$14+1,1))-AVERAGE(OFFSET($H$3,0,0,'Données projet'!$E$14+1,1))</f>
        <v>323.01113210765487</v>
      </c>
      <c r="DU29" s="59">
        <f t="shared" si="44"/>
        <v>311.68541696405975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0.90321926487600446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0.90321926487600446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523.82755528579264</v>
      </c>
      <c r="S30" s="59">
        <f ca="1">AVERAGE(OFFSET($R$3,0,0,'Données projet'!$E$9+1,1))-AVERAGE(OFFSET($H$3,0,0,'Données projet'!$E$9+1,1))</f>
        <v>337.99164391755608</v>
      </c>
      <c r="T30" s="59">
        <f t="shared" si="34"/>
        <v>421.45428231923393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3.6141025641025637</v>
      </c>
      <c r="AI30" s="13">
        <f>IF('Données projet'!$A$62&gt;35,AI29+AH30-AQ29,IF(A30&lt;'Données projet'!$A$62,$AF$205^A30,IF(A30='Données projet'!$A$62,'Données projet'!$B$62,AI29+AH30-AQ29)))</f>
        <v>67.859328082601763</v>
      </c>
      <c r="AJ30" s="13">
        <f>AI30*VLOOKUP('Données projet'!$B$10,Paramètres!$A$1:$I$89,3,0)*VLOOKUP('Données projet'!$B$10,Paramètres!$A$1:$I$89,5,0)</f>
        <v>68.80935867575819</v>
      </c>
      <c r="AK30" s="13">
        <f t="shared" si="35"/>
        <v>19.377484795860848</v>
      </c>
      <c r="AL30" s="20">
        <f t="shared" si="4"/>
        <v>153.59208571306985</v>
      </c>
      <c r="AM30" s="59">
        <f t="shared" si="5"/>
        <v>386.10992858563338</v>
      </c>
      <c r="AN30" s="59">
        <f ca="1">AVERAGE(OFFSET($AM$3,0,0,'Données projet'!$E$10+1,1))-AVERAGE(OFFSET($H$3,0,0,'Données projet'!$E$10+1,1))</f>
        <v>596.42822894047072</v>
      </c>
      <c r="AO30" s="59">
        <f t="shared" si="36"/>
        <v>298.31525330951047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9.8000000000000007</v>
      </c>
      <c r="BD30" s="12">
        <f>IF('Données projet'!$A$88&gt;35,BD29+BC30-BL29,IF(A30&lt;'Données projet'!$A$88,$BA$205^A30,IF(A30='Données projet'!$A$88,'Données projet'!$B$88,BD29+BC30-BL29)))</f>
        <v>119.60000000000001</v>
      </c>
      <c r="BE30" s="13">
        <f>BD30*VLOOKUP('Données projet'!$B$11,Paramètres!$A$1:$I$89,3,0)*VLOOKUP('Données projet'!$B$11,Paramètres!$A$1:$I$89,5,0)</f>
        <v>125.00592000000002</v>
      </c>
      <c r="BF30" s="13">
        <f t="shared" si="37"/>
        <v>32.839756328142556</v>
      </c>
      <c r="BG30" s="20">
        <f t="shared" si="7"/>
        <v>274.91455293818166</v>
      </c>
      <c r="BH30" s="59">
        <f t="shared" si="8"/>
        <v>507.43239581074516</v>
      </c>
      <c r="BI30" s="59">
        <f ca="1">AVERAGE(OFFSET($BH$3,0,0,'Données projet'!$E$11+1,1))-AVERAGE(OFFSET($H$3,0,0,'Données projet'!$E$11+1,1))</f>
        <v>446.06835300781546</v>
      </c>
      <c r="BJ30" s="59">
        <f t="shared" si="38"/>
        <v>396.46809188573138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5.29</v>
      </c>
      <c r="BY30" s="12">
        <f>IF('Données projet'!$A$114&gt;35,BY29+BX30-CG29,IF(A30&lt;'Données projet'!$A$114,$BV$205^A30,IF(A30='Données projet'!$A$114,'Données projet'!$B$114,BY29+BX30-CG29)))</f>
        <v>95.613503949059606</v>
      </c>
      <c r="BZ30" s="13">
        <f>BY30*VLOOKUP('Données projet'!$B$12,Paramètres!$A$1:$I$89,3,0)*VLOOKUP('Données projet'!$B$12,Paramètres!$A$1:$I$89,5,0)</f>
        <v>44.747119848159898</v>
      </c>
      <c r="CA30" s="13">
        <f t="shared" si="39"/>
        <v>13.248542275056513</v>
      </c>
      <c r="CB30" s="20">
        <f t="shared" si="10"/>
        <v>101.00911153126857</v>
      </c>
      <c r="CC30" s="59">
        <f t="shared" si="11"/>
        <v>333.52695440383206</v>
      </c>
      <c r="CD30" s="59">
        <f ca="1">AVERAGE(OFFSET($CC$3,0,0,'Données projet'!$E$12+1,1))-AVERAGE(OFFSET($H$3,0,0,'Données projet'!$E$12+1,1))</f>
        <v>307.52821153421951</v>
      </c>
      <c r="CE30" s="59">
        <f t="shared" si="40"/>
        <v>221.23619018904222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2.5115384615384619</v>
      </c>
      <c r="CT30" s="12">
        <f>IF('Données projet'!$A$140&gt;35,CT29+CS30-DB29,IF(A30&lt;'Données projet'!$A$140,$CQ$205^A30,IF(A30='Données projet'!$A$140,'Données projet'!$B$140,CT29+CS30-DB29)))</f>
        <v>48.90519323324542</v>
      </c>
      <c r="CU30" s="17">
        <f>CT30*VLOOKUP('Données projet'!$B$13,Paramètres!$A$1:$I$89,3,0)*VLOOKUP('Données projet'!$B$13,Paramètres!$A$1:$I$89,5,0)</f>
        <v>55.693234054019882</v>
      </c>
      <c r="CV30" s="13">
        <f t="shared" si="41"/>
        <v>16.074708229061745</v>
      </c>
      <c r="CW30" s="20">
        <f t="shared" si="13"/>
        <v>124.99583280970047</v>
      </c>
      <c r="CX30" s="59">
        <f t="shared" si="14"/>
        <v>357.51367568226397</v>
      </c>
      <c r="CY30" s="59">
        <f ca="1">AVERAGE(OFFSET($CX$3,0,0,'Données projet'!$E$13+1,1))-AVERAGE(OFFSET($H$3,0,0,'Données projet'!$E$13+1,1))</f>
        <v>598.12133208901378</v>
      </c>
      <c r="CZ30" s="59">
        <f t="shared" si="42"/>
        <v>246.23353541360947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11.8</v>
      </c>
      <c r="DO30" s="12">
        <f>IF('Données projet'!$A$166&gt;35,DO29+DN30-DW29,IF(A30&lt;'Données projet'!$A$166,$DL$205^A30,IF(A30='Données projet'!$A$166,'Données projet'!$B$166,DO29+DN30-DW29)))</f>
        <v>110.59999999999997</v>
      </c>
      <c r="DP30" s="17">
        <f>DO30*VLOOKUP('Données projet'!$B$14,Paramètres!$A$1:$I$89,3,0)*VLOOKUP('Données projet'!$B$14,Paramètres!$A$1:$I$89,5,0)</f>
        <v>87.993359999999981</v>
      </c>
      <c r="DQ30" s="13">
        <f t="shared" si="43"/>
        <v>24.080638481970816</v>
      </c>
      <c r="DR30" s="20">
        <f t="shared" si="16"/>
        <v>195.19554735609913</v>
      </c>
      <c r="DS30" s="59">
        <f t="shared" si="17"/>
        <v>427.71339022866266</v>
      </c>
      <c r="DT30" s="59">
        <f ca="1">AVERAGE(OFFSET($DS$3,0,0,'Données projet'!$E$14+1,1))-AVERAGE(OFFSET($H$3,0,0,'Données projet'!$E$14+1,1))</f>
        <v>323.01113210765487</v>
      </c>
      <c r="DU30" s="59">
        <f t="shared" si="44"/>
        <v>311.68541696405975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0.87852068657973326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0.87852068657973326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550.87335590369594</v>
      </c>
      <c r="S31" s="59">
        <f ca="1">AVERAGE(OFFSET($R$3,0,0,'Données projet'!$E$9+1,1))-AVERAGE(OFFSET($H$3,0,0,'Données projet'!$E$9+1,1))</f>
        <v>337.99164391755608</v>
      </c>
      <c r="T31" s="59">
        <f t="shared" si="34"/>
        <v>421.45428231923393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3.6141025641025637</v>
      </c>
      <c r="AI31" s="13">
        <f>IF('Données projet'!$A$62&gt;35,AI30+AH31-AQ30,IF(A31&lt;'Données projet'!$A$62,$AF$205^A31,IF(A31='Données projet'!$A$62,'Données projet'!$B$62,AI30+AH31-AQ30)))</f>
        <v>79.331733821516394</v>
      </c>
      <c r="AJ31" s="13">
        <f>AI31*VLOOKUP('Données projet'!$B$10,Paramètres!$A$1:$I$89,3,0)*VLOOKUP('Données projet'!$B$10,Paramètres!$A$1:$I$89,5,0)</f>
        <v>80.442378095017631</v>
      </c>
      <c r="AK31" s="13">
        <f t="shared" si="35"/>
        <v>22.245313133763656</v>
      </c>
      <c r="AL31" s="20">
        <f t="shared" si="4"/>
        <v>178.84772889012743</v>
      </c>
      <c r="AM31" s="59">
        <f t="shared" si="5"/>
        <v>413.57919831211154</v>
      </c>
      <c r="AN31" s="59">
        <f ca="1">AVERAGE(OFFSET($AM$3,0,0,'Données projet'!$E$10+1,1))-AVERAGE(OFFSET($H$3,0,0,'Données projet'!$E$10+1,1))</f>
        <v>596.42822894047072</v>
      </c>
      <c r="AO31" s="59">
        <f t="shared" si="36"/>
        <v>298.31525330951047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9.8000000000000007</v>
      </c>
      <c r="BD31" s="12">
        <f>IF('Données projet'!$A$88&gt;35,BD30+BC31-BL30,IF(A31&lt;'Données projet'!$A$88,$BA$205^A31,IF(A31='Données projet'!$A$88,'Données projet'!$B$88,BD30+BC31-BL30)))</f>
        <v>129.4</v>
      </c>
      <c r="BE31" s="13">
        <f>BD31*VLOOKUP('Données projet'!$B$11,Paramètres!$A$1:$I$89,3,0)*VLOOKUP('Données projet'!$B$11,Paramètres!$A$1:$I$89,5,0)</f>
        <v>135.24888000000001</v>
      </c>
      <c r="BF31" s="13">
        <f t="shared" si="37"/>
        <v>35.206413236083414</v>
      </c>
      <c r="BG31" s="20">
        <f t="shared" si="7"/>
        <v>296.87630238617862</v>
      </c>
      <c r="BH31" s="59">
        <f t="shared" si="8"/>
        <v>531.60777180816274</v>
      </c>
      <c r="BI31" s="59">
        <f ca="1">AVERAGE(OFFSET($BH$3,0,0,'Données projet'!$E$11+1,1))-AVERAGE(OFFSET($H$3,0,0,'Données projet'!$E$11+1,1))</f>
        <v>446.06835300781546</v>
      </c>
      <c r="BJ31" s="59">
        <f t="shared" si="38"/>
        <v>396.46809188573138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5.29</v>
      </c>
      <c r="BY31" s="12">
        <f>IF('Données projet'!$A$114&gt;35,BY30+BX31-CG30,IF(A31&lt;'Données projet'!$A$114,$BV$205^A31,IF(A31='Données projet'!$A$114,'Données projet'!$B$114,BY30+BX31-CG30)))</f>
        <v>113.20661332899896</v>
      </c>
      <c r="BZ31" s="13">
        <f>BY31*VLOOKUP('Données projet'!$B$12,Paramètres!$A$1:$I$89,3,0)*VLOOKUP('Données projet'!$B$12,Paramètres!$A$1:$I$89,5,0)</f>
        <v>52.980695037971508</v>
      </c>
      <c r="CA31" s="13">
        <f t="shared" si="39"/>
        <v>15.380923836803472</v>
      </c>
      <c r="CB31" s="20">
        <f t="shared" si="10"/>
        <v>119.06315287356641</v>
      </c>
      <c r="CC31" s="59">
        <f t="shared" si="11"/>
        <v>353.79462229555048</v>
      </c>
      <c r="CD31" s="59">
        <f ca="1">AVERAGE(OFFSET($CC$3,0,0,'Données projet'!$E$12+1,1))-AVERAGE(OFFSET($H$3,0,0,'Données projet'!$E$12+1,1))</f>
        <v>307.52821153421951</v>
      </c>
      <c r="CE31" s="59">
        <f t="shared" si="40"/>
        <v>221.23619018904222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2.5115384615384619</v>
      </c>
      <c r="CT31" s="12">
        <f>IF('Données projet'!$A$140&gt;35,CT30+CS31-DB30,IF(A31&lt;'Données projet'!$A$140,$CQ$205^A31,IF(A31='Données projet'!$A$140,'Données projet'!$B$140,CT30+CS31-DB30)))</f>
        <v>56.483770810300285</v>
      </c>
      <c r="CU31" s="17">
        <f>CT31*VLOOKUP('Données projet'!$B$13,Paramètres!$A$1:$I$89,3,0)*VLOOKUP('Données projet'!$B$13,Paramètres!$A$1:$I$89,5,0)</f>
        <v>64.323718198769967</v>
      </c>
      <c r="CV31" s="13">
        <f t="shared" si="41"/>
        <v>18.256974321819499</v>
      </c>
      <c r="CW31" s="20">
        <f t="shared" si="13"/>
        <v>143.82803947335998</v>
      </c>
      <c r="CX31" s="59">
        <f t="shared" si="14"/>
        <v>378.55950889534404</v>
      </c>
      <c r="CY31" s="59">
        <f ca="1">AVERAGE(OFFSET($CX$3,0,0,'Données projet'!$E$13+1,1))-AVERAGE(OFFSET($H$3,0,0,'Données projet'!$E$13+1,1))</f>
        <v>598.12133208901378</v>
      </c>
      <c r="CZ31" s="59">
        <f t="shared" si="42"/>
        <v>246.23353541360947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11.8</v>
      </c>
      <c r="DO31" s="12">
        <f>IF('Données projet'!$A$166&gt;35,DO30+DN31-DW30,IF(A31&lt;'Données projet'!$A$166,$DL$205^A31,IF(A31='Données projet'!$A$166,'Données projet'!$B$166,DO30+DN31-DW30)))</f>
        <v>122.39999999999996</v>
      </c>
      <c r="DP31" s="17">
        <f>DO31*VLOOKUP('Données projet'!$B$14,Paramètres!$A$1:$I$89,3,0)*VLOOKUP('Données projet'!$B$14,Paramètres!$A$1:$I$89,5,0)</f>
        <v>97.381439999999984</v>
      </c>
      <c r="DQ31" s="13">
        <f t="shared" si="43"/>
        <v>26.337201615555198</v>
      </c>
      <c r="DR31" s="20">
        <f t="shared" si="16"/>
        <v>215.47663414709197</v>
      </c>
      <c r="DS31" s="59">
        <f t="shared" si="17"/>
        <v>450.20810356907606</v>
      </c>
      <c r="DT31" s="59">
        <f ca="1">AVERAGE(OFFSET($DS$3,0,0,'Données projet'!$E$14+1,1))-AVERAGE(OFFSET($H$3,0,0,'Données projet'!$E$14+1,1))</f>
        <v>323.01113210765487</v>
      </c>
      <c r="DU31" s="59">
        <f t="shared" si="44"/>
        <v>311.68541696405975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0.85449749220581539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0.85449749220581539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577.85874957260353</v>
      </c>
      <c r="S32" s="59">
        <f ca="1">AVERAGE(OFFSET($R$3,0,0,'Données projet'!$E$9+1,1))-AVERAGE(OFFSET($H$3,0,0,'Données projet'!$E$9+1,1))</f>
        <v>337.99164391755608</v>
      </c>
      <c r="T32" s="59">
        <f t="shared" si="34"/>
        <v>421.45428231923393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3.6141025641025637</v>
      </c>
      <c r="AI32" s="13">
        <f>IF('Données projet'!$A$62&gt;35,AI31+AH32-AQ31,IF(A32&lt;'Données projet'!$A$62,$AF$205^A32,IF(A32='Données projet'!$A$62,'Données projet'!$B$62,AI31+AH32-AQ31)))</f>
        <v>92.74368268820956</v>
      </c>
      <c r="AJ32" s="13">
        <f>AI32*VLOOKUP('Données projet'!$B$10,Paramètres!$A$1:$I$89,3,0)*VLOOKUP('Données projet'!$B$10,Paramètres!$A$1:$I$89,5,0)</f>
        <v>94.042094245844496</v>
      </c>
      <c r="AK32" s="13">
        <f t="shared" si="35"/>
        <v>25.537574232797304</v>
      </c>
      <c r="AL32" s="20">
        <f t="shared" si="4"/>
        <v>208.26792260030109</v>
      </c>
      <c r="AM32" s="59">
        <f t="shared" si="5"/>
        <v>445.1958199230769</v>
      </c>
      <c r="AN32" s="59">
        <f ca="1">AVERAGE(OFFSET($AM$3,0,0,'Données projet'!$E$10+1,1))-AVERAGE(OFFSET($H$3,0,0,'Données projet'!$E$10+1,1))</f>
        <v>596.42822894047072</v>
      </c>
      <c r="AO32" s="59">
        <f t="shared" si="36"/>
        <v>298.31525330951047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9.8000000000000007</v>
      </c>
      <c r="BD32" s="12">
        <f>IF('Données projet'!$A$88&gt;35,BD31+BC32-BL31,IF(A32&lt;'Données projet'!$A$88,$BA$205^A32,IF(A32='Données projet'!$A$88,'Données projet'!$B$88,BD31+BC32-BL31)))</f>
        <v>139.20000000000002</v>
      </c>
      <c r="BE32" s="13">
        <f>BD32*VLOOKUP('Données projet'!$B$11,Paramètres!$A$1:$I$89,3,0)*VLOOKUP('Données projet'!$B$11,Paramètres!$A$1:$I$89,5,0)</f>
        <v>145.49184000000002</v>
      </c>
      <c r="BF32" s="13">
        <f t="shared" si="37"/>
        <v>37.552277703979321</v>
      </c>
      <c r="BG32" s="20">
        <f t="shared" si="7"/>
        <v>318.80183833443067</v>
      </c>
      <c r="BH32" s="59">
        <f t="shared" si="8"/>
        <v>555.72973565720645</v>
      </c>
      <c r="BI32" s="59">
        <f ca="1">AVERAGE(OFFSET($BH$3,0,0,'Données projet'!$E$11+1,1))-AVERAGE(OFFSET($H$3,0,0,'Données projet'!$E$11+1,1))</f>
        <v>446.06835300781546</v>
      </c>
      <c r="BJ32" s="59">
        <f t="shared" si="38"/>
        <v>396.46809188573138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5.29</v>
      </c>
      <c r="BY32" s="12">
        <f>IF('Données projet'!$A$114&gt;35,BY31+BX32-CG31,IF(A32&lt;'Données projet'!$A$114,$BV$205^A32,IF(A32='Données projet'!$A$114,'Données projet'!$B$114,BY31+BX32-CG31)))</f>
        <v>134.03689617158449</v>
      </c>
      <c r="BZ32" s="13">
        <f>BY32*VLOOKUP('Données projet'!$B$12,Paramètres!$A$1:$I$89,3,0)*VLOOKUP('Données projet'!$B$12,Paramètres!$A$1:$I$89,5,0)</f>
        <v>62.729267408301546</v>
      </c>
      <c r="CA32" s="13">
        <f t="shared" si="39"/>
        <v>17.856516827436398</v>
      </c>
      <c r="CB32" s="20">
        <f t="shared" si="10"/>
        <v>140.35357421057691</v>
      </c>
      <c r="CC32" s="59">
        <f t="shared" si="11"/>
        <v>377.28147153335271</v>
      </c>
      <c r="CD32" s="59">
        <f ca="1">AVERAGE(OFFSET($CC$3,0,0,'Données projet'!$E$12+1,1))-AVERAGE(OFFSET($H$3,0,0,'Données projet'!$E$12+1,1))</f>
        <v>307.52821153421951</v>
      </c>
      <c r="CE32" s="59">
        <f t="shared" si="40"/>
        <v>221.23619018904222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2.5115384615384619</v>
      </c>
      <c r="CT32" s="12">
        <f>IF('Données projet'!$A$140&gt;35,CT31+CS32-DB31,IF(A32&lt;'Données projet'!$A$140,$CQ$205^A32,IF(A32='Données projet'!$A$140,'Données projet'!$B$140,CT31+CS32-DB31)))</f>
        <v>65.236760229825805</v>
      </c>
      <c r="CU32" s="17">
        <f>CT32*VLOOKUP('Données projet'!$B$13,Paramètres!$A$1:$I$89,3,0)*VLOOKUP('Données projet'!$B$13,Paramètres!$A$1:$I$89,5,0)</f>
        <v>74.291622549725631</v>
      </c>
      <c r="CV32" s="13">
        <f t="shared" si="41"/>
        <v>20.735499931810079</v>
      </c>
      <c r="CW32" s="20">
        <f t="shared" si="13"/>
        <v>165.50557165534136</v>
      </c>
      <c r="CX32" s="59">
        <f t="shared" si="14"/>
        <v>402.43346897811716</v>
      </c>
      <c r="CY32" s="59">
        <f ca="1">AVERAGE(OFFSET($CX$3,0,0,'Données projet'!$E$13+1,1))-AVERAGE(OFFSET($H$3,0,0,'Données projet'!$E$13+1,1))</f>
        <v>598.12133208901378</v>
      </c>
      <c r="CZ32" s="59">
        <f t="shared" si="42"/>
        <v>246.23353541360947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11.8</v>
      </c>
      <c r="DO32" s="12">
        <f>IF('Données projet'!$A$166&gt;35,DO31+DN32-DW31,IF(A32&lt;'Données projet'!$A$166,$DL$205^A32,IF(A32='Données projet'!$A$166,'Données projet'!$B$166,DO31+DN32-DW31)))</f>
        <v>134.19999999999996</v>
      </c>
      <c r="DP32" s="17">
        <f>DO32*VLOOKUP('Données projet'!$B$14,Paramètres!$A$1:$I$89,3,0)*VLOOKUP('Données projet'!$B$14,Paramètres!$A$1:$I$89,5,0)</f>
        <v>106.76951999999997</v>
      </c>
      <c r="DQ32" s="13">
        <f t="shared" si="43"/>
        <v>28.568542914630683</v>
      </c>
      <c r="DR32" s="20">
        <f t="shared" si="16"/>
        <v>235.71379290964839</v>
      </c>
      <c r="DS32" s="59">
        <f t="shared" si="17"/>
        <v>472.64169023242425</v>
      </c>
      <c r="DT32" s="59">
        <f ca="1">AVERAGE(OFFSET($DS$3,0,0,'Données projet'!$E$14+1,1))-AVERAGE(OFFSET($H$3,0,0,'Données projet'!$E$14+1,1))</f>
        <v>323.01113210765487</v>
      </c>
      <c r="DU32" s="59">
        <f t="shared" si="44"/>
        <v>311.68541696405975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0.83113121334537721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0.83113121334537721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604.7876156525673</v>
      </c>
      <c r="S33" s="59">
        <f ca="1">AVERAGE(OFFSET($R$3,0,0,'Données projet'!$E$9+1,1))-AVERAGE(OFFSET($H$3,0,0,'Données projet'!$E$9+1,1))</f>
        <v>337.99164391755608</v>
      </c>
      <c r="T33" s="59">
        <f t="shared" si="34"/>
        <v>421.45428231923393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108.42307692307691</v>
      </c>
      <c r="AG33" s="12">
        <f>VLOOKUP(A33,'Données projet'!$A$61:$I$81,9,0)</f>
        <v>3.6141025641025637</v>
      </c>
      <c r="AH33" s="12">
        <f t="array" ref="AH33">INDEX(AG:AG,MIN(IF(ISNUMBER(AG33:AG229),ROW(AG33:AG229),"")))</f>
        <v>3.6141025641025637</v>
      </c>
      <c r="AI33" s="13">
        <f>IF('Données projet'!$A$62&gt;35,AI32+AH33-AQ32,IF(A33&lt;'Données projet'!$A$62,$AF$205^A33,IF(A33='Données projet'!$A$62,'Données projet'!$B$62,AI32+AH33-AQ32)))</f>
        <v>108.42307692307691</v>
      </c>
      <c r="AJ33" s="13">
        <f>AI33*VLOOKUP('Données projet'!$B$10,Paramètres!$A$1:$I$89,3,0)*VLOOKUP('Données projet'!$B$10,Paramètres!$A$1:$I$89,5,0)</f>
        <v>109.94099999999999</v>
      </c>
      <c r="AK33" s="13">
        <f t="shared" si="35"/>
        <v>29.317083278355092</v>
      </c>
      <c r="AL33" s="20">
        <f t="shared" si="4"/>
        <v>242.5411617098018</v>
      </c>
      <c r="AM33" s="59">
        <f t="shared" si="5"/>
        <v>481.64858664284378</v>
      </c>
      <c r="AN33" s="59">
        <f ca="1">AVERAGE(OFFSET($AM$3,0,0,'Données projet'!$E$10+1,1))-AVERAGE(OFFSET($H$3,0,0,'Données projet'!$E$10+1,1))</f>
        <v>596.42822894047072</v>
      </c>
      <c r="AO33" s="59">
        <f t="shared" si="36"/>
        <v>298.31525330951047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9.8000000000000007</v>
      </c>
      <c r="BC33" s="12">
        <f t="array" ref="BC33">INDEX(BB:BB,MIN(IF(ISNUMBER(BB33:BB229),ROW(BB33:BB229),"")))</f>
        <v>9.8000000000000007</v>
      </c>
      <c r="BD33" s="12">
        <f>IF('Données projet'!$A$88&gt;35,BD32+BC33-BL32,IF(A33&lt;'Données projet'!$A$88,$BA$205^A33,IF(A33='Données projet'!$A$88,'Données projet'!$B$88,BD32+BC33-BL32)))</f>
        <v>149.00000000000003</v>
      </c>
      <c r="BE33" s="13">
        <f>BD33*VLOOKUP('Données projet'!$B$11,Paramètres!$A$1:$I$89,3,0)*VLOOKUP('Données projet'!$B$11,Paramètres!$A$1:$I$89,5,0)</f>
        <v>155.73480000000004</v>
      </c>
      <c r="BF33" s="13">
        <f t="shared" si="37"/>
        <v>39.878980068529806</v>
      </c>
      <c r="BG33" s="20">
        <f t="shared" si="7"/>
        <v>340.6940002860228</v>
      </c>
      <c r="BH33" s="59">
        <f t="shared" si="8"/>
        <v>579.80142521906475</v>
      </c>
      <c r="BI33" s="59">
        <f ca="1">AVERAGE(OFFSET($BH$3,0,0,'Données projet'!$E$11+1,1))-AVERAGE(OFFSET($H$3,0,0,'Données projet'!$E$11+1,1))</f>
        <v>446.06835300781546</v>
      </c>
      <c r="BJ33" s="59">
        <f t="shared" si="38"/>
        <v>396.46809188573138</v>
      </c>
      <c r="BK33" s="15">
        <f>IF(ISNA(VLOOKUP(A33,'Données projet'!$A$87:$I$107,3,0)),0,VLOOKUP(A33,'Données projet'!$A$87:$I$107,3,0))</f>
        <v>3</v>
      </c>
      <c r="BL33" s="15" t="str">
        <f>IF(ISNA(VLOOKUP(A33,'Données projet'!$A$87:$I$107,4,0)),0,VLOOKUP(A33,'Données projet'!$A$87:$I$107,4,0))</f>
        <v>27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158.69999999999999</v>
      </c>
      <c r="BW33" s="12">
        <f>VLOOKUP(A33,'Données projet'!$A$113:$I$133,9,0)</f>
        <v>5.29</v>
      </c>
      <c r="BX33" s="12">
        <f t="array" ref="BX33">INDEX(BW:BW,MIN(IF(ISNUMBER(BW33:BW229),ROW(BW33:BW229),"")))</f>
        <v>5.29</v>
      </c>
      <c r="BY33" s="12">
        <f>IF('Données projet'!$A$114&gt;35,BY32+BX33-CG32,IF(A33&lt;'Données projet'!$A$114,$BV$205^A33,IF(A33='Données projet'!$A$114,'Données projet'!$B$114,BY32+BX33-CG32)))</f>
        <v>158.69999999999999</v>
      </c>
      <c r="BZ33" s="13">
        <f>BY33*VLOOKUP('Données projet'!$B$12,Paramètres!$A$1:$I$89,3,0)*VLOOKUP('Données projet'!$B$12,Paramètres!$A$1:$I$89,5,0)</f>
        <v>74.271599999999992</v>
      </c>
      <c r="CA33" s="13">
        <f t="shared" si="39"/>
        <v>20.730561869473863</v>
      </c>
      <c r="CB33" s="20">
        <f t="shared" si="10"/>
        <v>165.46209858933361</v>
      </c>
      <c r="CC33" s="59">
        <f t="shared" si="11"/>
        <v>404.56952352237556</v>
      </c>
      <c r="CD33" s="59">
        <f ca="1">AVERAGE(OFFSET($CC$3,0,0,'Données projet'!$E$12+1,1))-AVERAGE(OFFSET($H$3,0,0,'Données projet'!$E$12+1,1))</f>
        <v>307.52821153421951</v>
      </c>
      <c r="CE33" s="59">
        <f t="shared" si="40"/>
        <v>221.23619018904222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75.346153846153854</v>
      </c>
      <c r="CR33" s="12">
        <f>VLOOKUP(A33,'Données projet'!$A$139:$I$159,9,0)</f>
        <v>2.5115384615384619</v>
      </c>
      <c r="CS33" s="12">
        <f t="array" ref="CS33">INDEX(CR:CR,MIN(IF(ISNUMBER(CR33:CR229),ROW(CR33:CR229),"")))</f>
        <v>2.5115384615384619</v>
      </c>
      <c r="CT33" s="12">
        <f>IF('Données projet'!$A$140&gt;35,CT32+CS33-DB32,IF(A33&lt;'Données projet'!$A$140,$CQ$205^A33,IF(A33='Données projet'!$A$140,'Données projet'!$B$140,CT32+CS33-DB32)))</f>
        <v>75.346153846153854</v>
      </c>
      <c r="CU33" s="17">
        <f>CT33*VLOOKUP('Données projet'!$B$13,Paramètres!$A$1:$I$89,3,0)*VLOOKUP('Données projet'!$B$13,Paramètres!$A$1:$I$89,5,0)</f>
        <v>85.804200000000009</v>
      </c>
      <c r="CV33" s="13">
        <f t="shared" si="41"/>
        <v>23.550504582144008</v>
      </c>
      <c r="CW33" s="20">
        <f t="shared" si="13"/>
        <v>190.45944381390083</v>
      </c>
      <c r="CX33" s="59">
        <f t="shared" si="14"/>
        <v>429.56686874694282</v>
      </c>
      <c r="CY33" s="59">
        <f ca="1">AVERAGE(OFFSET($CX$3,0,0,'Données projet'!$E$13+1,1))-AVERAGE(OFFSET($H$3,0,0,'Données projet'!$E$13+1,1))</f>
        <v>598.12133208901378</v>
      </c>
      <c r="CZ33" s="59">
        <f t="shared" si="42"/>
        <v>246.23353541360947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146</v>
      </c>
      <c r="DM33" s="12">
        <f>VLOOKUP(A33,'Données projet'!$A$165:$I$185,9,0)</f>
        <v>11.8</v>
      </c>
      <c r="DN33" s="12">
        <f t="array" ref="DN33">INDEX(DM:DM,MIN(IF(ISNUMBER(DM33:DM229),ROW(DM33:DM229),"")))</f>
        <v>11.8</v>
      </c>
      <c r="DO33" s="12">
        <f>IF('Données projet'!$A$166&gt;35,DO32+DN33-DW32,IF(A33&lt;'Données projet'!$A$166,$DL$205^A33,IF(A33='Données projet'!$A$166,'Données projet'!$B$166,DO32+DN33-DW32)))</f>
        <v>145.99999999999997</v>
      </c>
      <c r="DP33" s="17">
        <f>DO33*VLOOKUP('Données projet'!$B$14,Paramètres!$A$1:$I$89,3,0)*VLOOKUP('Données projet'!$B$14,Paramètres!$A$1:$I$89,5,0)</f>
        <v>116.15759999999999</v>
      </c>
      <c r="DQ33" s="13">
        <f t="shared" si="43"/>
        <v>30.777132266613055</v>
      </c>
      <c r="DR33" s="20">
        <f t="shared" si="16"/>
        <v>255.91132536435109</v>
      </c>
      <c r="DS33" s="59">
        <f t="shared" si="17"/>
        <v>495.01875029739307</v>
      </c>
      <c r="DT33" s="59">
        <f ca="1">AVERAGE(OFFSET($DS$3,0,0,'Données projet'!$E$14+1,1))-AVERAGE(OFFSET($H$3,0,0,'Données projet'!$E$14+1,1))</f>
        <v>323.01113210765487</v>
      </c>
      <c r="DU33" s="59">
        <f t="shared" si="44"/>
        <v>311.68541696405975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1.892857142857143E-2</v>
      </c>
      <c r="DY33" s="16">
        <f>IF(ISNA(VLOOKUP(A33,'Données projet'!$A$165:$I$185,6,0)),0%,VLOOKUP(A33,'Données projet'!$A$165:$I$185,6,0)*VLOOKUP('Données projet'!$B$14,Paramètres!$A$1:$I$89,7,0))</f>
        <v>0.15142857142857144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0.46614148399690009</v>
      </c>
      <c r="EB33" s="21">
        <f>EXP(-LN(2)/25)*EB32+(1-EXP(-LN(2)/25))/(LN(2)/25)*Calculateur!DW33*Calculateur!DY33*VLOOKUP('Données projet'!$B$14,Paramètres!$A$1:$I$89,3,0)*0.475*44/12</f>
        <v>4.5228527454937506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4.9889942294906504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630.4410819676342</v>
      </c>
      <c r="S34" s="59">
        <f ca="1">AVERAGE(OFFSET($R$3,0,0,'Données projet'!$E$9+1,1))-AVERAGE(OFFSET($H$3,0,0,'Données projet'!$E$9+1,1))</f>
        <v>337.99164391755608</v>
      </c>
      <c r="T34" s="59">
        <f t="shared" si="34"/>
        <v>421.45428231923393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8.3413461538461533</v>
      </c>
      <c r="AI34" s="13">
        <f>IF('Données projet'!$A$62&gt;35,AI33+AH34-AQ33,IF(A34&lt;'Données projet'!$A$62,$AF$205^A34,IF(A34='Données projet'!$A$62,'Données projet'!$B$62,AI33+AH34-AQ33)))</f>
        <v>116.76442307692307</v>
      </c>
      <c r="AJ34" s="13">
        <f>AI34*VLOOKUP('Données projet'!$B$10,Paramètres!$A$1:$I$89,3,0)*VLOOKUP('Données projet'!$B$10,Paramètres!$A$1:$I$89,5,0)</f>
        <v>118.399125</v>
      </c>
      <c r="AK34" s="13">
        <f t="shared" si="35"/>
        <v>31.30133014064851</v>
      </c>
      <c r="AL34" s="20">
        <f t="shared" si="4"/>
        <v>260.72829270329612</v>
      </c>
      <c r="AM34" s="59">
        <f t="shared" si="5"/>
        <v>500.77641591611371</v>
      </c>
      <c r="AN34" s="59">
        <f ca="1">AVERAGE(OFFSET($AM$3,0,0,'Données projet'!$E$10+1,1))-AVERAGE(OFFSET($H$3,0,0,'Données projet'!$E$10+1,1))</f>
        <v>596.42822894047072</v>
      </c>
      <c r="AO34" s="59">
        <f t="shared" si="36"/>
        <v>298.31525330951047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9.1999999999999993</v>
      </c>
      <c r="BD34" s="12">
        <f>IF('Données projet'!$A$88&gt;35,BD33+BC34-BL33,IF(A34&lt;'Données projet'!$A$88,$BA$205^A34,IF(A34='Données projet'!$A$88,'Données projet'!$B$88,BD33+BC34-BL33)))</f>
        <v>131.20000000000002</v>
      </c>
      <c r="BE34" s="13">
        <f>BD34*VLOOKUP('Données projet'!$B$11,Paramètres!$A$1:$I$89,3,0)*VLOOKUP('Données projet'!$B$11,Paramètres!$A$1:$I$89,5,0)</f>
        <v>137.13024000000001</v>
      </c>
      <c r="BF34" s="13">
        <f t="shared" si="37"/>
        <v>35.638793424767798</v>
      </c>
      <c r="BG34" s="20">
        <f t="shared" si="7"/>
        <v>300.90606654813729</v>
      </c>
      <c r="BH34" s="59">
        <f t="shared" si="8"/>
        <v>540.95418976095482</v>
      </c>
      <c r="BI34" s="59">
        <f ca="1">AVERAGE(OFFSET($BH$3,0,0,'Données projet'!$E$11+1,1))-AVERAGE(OFFSET($H$3,0,0,'Données projet'!$E$11+1,1))</f>
        <v>446.06835300781546</v>
      </c>
      <c r="BJ34" s="59">
        <f t="shared" si="38"/>
        <v>396.46809188573138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14.691666666666668</v>
      </c>
      <c r="BY34" s="12">
        <f>IF('Données projet'!$A$114&gt;35,BY33+BX34-CG33,IF(A34&lt;'Données projet'!$A$114,$BV$205^A34,IF(A34='Données projet'!$A$114,'Données projet'!$B$114,BY33+BX34-CG33)))</f>
        <v>173.39166666666665</v>
      </c>
      <c r="BZ34" s="13">
        <f>BY34*VLOOKUP('Données projet'!$B$12,Paramètres!$A$1:$I$89,3,0)*VLOOKUP('Données projet'!$B$12,Paramètres!$A$1:$I$89,5,0)</f>
        <v>81.147299999999987</v>
      </c>
      <c r="CA34" s="13">
        <f t="shared" si="39"/>
        <v>22.417472043590124</v>
      </c>
      <c r="CB34" s="20">
        <f t="shared" si="10"/>
        <v>180.37531130925277</v>
      </c>
      <c r="CC34" s="59">
        <f t="shared" si="11"/>
        <v>420.42343452207035</v>
      </c>
      <c r="CD34" s="59">
        <f ca="1">AVERAGE(OFFSET($CC$3,0,0,'Données projet'!$E$12+1,1))-AVERAGE(OFFSET($H$3,0,0,'Données projet'!$E$12+1,1))</f>
        <v>307.52821153421951</v>
      </c>
      <c r="CE34" s="59">
        <f t="shared" si="40"/>
        <v>221.23619018904222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5.4791666666666652</v>
      </c>
      <c r="CT34" s="12">
        <f>IF('Données projet'!$A$140&gt;35,CT33+CS34-DB33,IF(A34&lt;'Données projet'!$A$140,$CQ$205^A34,IF(A34='Données projet'!$A$140,'Données projet'!$B$140,CT33+CS34-DB33)))</f>
        <v>80.825320512820525</v>
      </c>
      <c r="CU34" s="17">
        <f>CT34*VLOOKUP('Données projet'!$B$13,Paramètres!$A$1:$I$89,3,0)*VLOOKUP('Données projet'!$B$13,Paramètres!$A$1:$I$89,5,0)</f>
        <v>92.043875000000014</v>
      </c>
      <c r="CV34" s="13">
        <f t="shared" si="41"/>
        <v>25.057512355239083</v>
      </c>
      <c r="CW34" s="20">
        <f t="shared" si="13"/>
        <v>203.95158297704143</v>
      </c>
      <c r="CX34" s="59">
        <f t="shared" si="14"/>
        <v>443.99970618985901</v>
      </c>
      <c r="CY34" s="59">
        <f ca="1">AVERAGE(OFFSET($CX$3,0,0,'Données projet'!$E$13+1,1))-AVERAGE(OFFSET($H$3,0,0,'Données projet'!$E$13+1,1))</f>
        <v>598.12133208901378</v>
      </c>
      <c r="CZ34" s="59">
        <f t="shared" si="42"/>
        <v>246.23353541360947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10.8</v>
      </c>
      <c r="DO34" s="12">
        <f>IF('Données projet'!$A$166&gt;35,DO33+DN34-DW33,IF(A34&lt;'Données projet'!$A$166,$DL$205^A34,IF(A34='Données projet'!$A$166,'Données projet'!$B$166,DO33+DN34-DW33)))</f>
        <v>128.79999999999998</v>
      </c>
      <c r="DP34" s="17">
        <f>DO34*VLOOKUP('Données projet'!$B$14,Paramètres!$A$1:$I$89,3,0)*VLOOKUP('Données projet'!$B$14,Paramètres!$A$1:$I$89,5,0)</f>
        <v>102.47327999999999</v>
      </c>
      <c r="DQ34" s="13">
        <f t="shared" si="43"/>
        <v>27.550381949314474</v>
      </c>
      <c r="DR34" s="20">
        <f t="shared" si="16"/>
        <v>226.45787789505599</v>
      </c>
      <c r="DS34" s="59">
        <f t="shared" si="17"/>
        <v>466.50600110787354</v>
      </c>
      <c r="DT34" s="59">
        <f ca="1">AVERAGE(OFFSET($DS$3,0,0,'Données projet'!$E$14+1,1))-AVERAGE(OFFSET($H$3,0,0,'Données projet'!$E$14+1,1))</f>
        <v>323.01113210765487</v>
      </c>
      <c r="DU34" s="59">
        <f t="shared" si="44"/>
        <v>311.68541696405975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0.45700073381395201</v>
      </c>
      <c r="EB34" s="21">
        <f>EXP(-LN(2)/25)*EB33+(1-EXP(-LN(2)/25))/(LN(2)/25)*Calculateur!DW34*Calculateur!DY34*VLOOKUP('Données projet'!$B$14,Paramètres!$A$1:$I$89,3,0)*0.475*44/12</f>
        <v>4.3991750993217353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4.856175833135687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656.04429728908974</v>
      </c>
      <c r="S35" s="59">
        <f ca="1">AVERAGE(OFFSET($R$3,0,0,'Données projet'!$E$9+1,1))-AVERAGE(OFFSET($H$3,0,0,'Données projet'!$E$9+1,1))</f>
        <v>337.99164391755608</v>
      </c>
      <c r="T35" s="59">
        <f t="shared" si="34"/>
        <v>421.45428231923393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8.3413461538461533</v>
      </c>
      <c r="AI35" s="13">
        <f>IF('Données projet'!$A$62&gt;35,AI34+AH35-AQ34,IF(A35&lt;'Données projet'!$A$62,$AF$205^A35,IF(A35='Données projet'!$A$62,'Données projet'!$B$62,AI34+AH35-AQ34)))</f>
        <v>125.10576923076923</v>
      </c>
      <c r="AJ35" s="13">
        <f>AI35*VLOOKUP('Données projet'!$B$10,Paramètres!$A$1:$I$89,3,0)*VLOOKUP('Données projet'!$B$10,Paramètres!$A$1:$I$89,5,0)</f>
        <v>126.85724999999999</v>
      </c>
      <c r="AK35" s="13">
        <f t="shared" si="35"/>
        <v>33.269131020763432</v>
      </c>
      <c r="AL35" s="20">
        <f t="shared" si="4"/>
        <v>278.88678027782959</v>
      </c>
      <c r="AM35" s="59">
        <f t="shared" si="5"/>
        <v>519.85928275835488</v>
      </c>
      <c r="AN35" s="59">
        <f ca="1">AVERAGE(OFFSET($AM$3,0,0,'Données projet'!$E$10+1,1))-AVERAGE(OFFSET($H$3,0,0,'Données projet'!$E$10+1,1))</f>
        <v>596.42822894047072</v>
      </c>
      <c r="AO35" s="59">
        <f t="shared" si="36"/>
        <v>298.31525330951047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9.1999999999999993</v>
      </c>
      <c r="BD35" s="12">
        <f>IF('Données projet'!$A$88&gt;35,BD34+BC35-BL34,IF(A35&lt;'Données projet'!$A$88,$BA$205^A35,IF(A35='Données projet'!$A$88,'Données projet'!$B$88,BD34+BC35-BL34)))</f>
        <v>140.4</v>
      </c>
      <c r="BE35" s="13">
        <f>BD35*VLOOKUP('Données projet'!$B$11,Paramètres!$A$1:$I$89,3,0)*VLOOKUP('Données projet'!$B$11,Paramètres!$A$1:$I$89,5,0)</f>
        <v>146.74608000000003</v>
      </c>
      <c r="BF35" s="13">
        <f t="shared" si="37"/>
        <v>37.83817941034674</v>
      </c>
      <c r="BG35" s="20">
        <f t="shared" si="7"/>
        <v>321.48425180635394</v>
      </c>
      <c r="BH35" s="59">
        <f t="shared" si="8"/>
        <v>562.45675428687923</v>
      </c>
      <c r="BI35" s="59">
        <f ca="1">AVERAGE(OFFSET($BH$3,0,0,'Données projet'!$E$11+1,1))-AVERAGE(OFFSET($H$3,0,0,'Données projet'!$E$11+1,1))</f>
        <v>446.06835300781546</v>
      </c>
      <c r="BJ35" s="59">
        <f t="shared" si="38"/>
        <v>396.46809188573138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14.691666666666668</v>
      </c>
      <c r="BY35" s="12">
        <f>IF('Données projet'!$A$114&gt;35,BY34+BX35-CG34,IF(A35&lt;'Données projet'!$A$114,$BV$205^A35,IF(A35='Données projet'!$A$114,'Données projet'!$B$114,BY34+BX35-CG34)))</f>
        <v>188.08333333333331</v>
      </c>
      <c r="BZ35" s="13">
        <f>BY35*VLOOKUP('Données projet'!$B$12,Paramètres!$A$1:$I$89,3,0)*VLOOKUP('Données projet'!$B$12,Paramètres!$A$1:$I$89,5,0)</f>
        <v>88.022999999999996</v>
      </c>
      <c r="CA35" s="13">
        <f t="shared" si="39"/>
        <v>24.087805582395404</v>
      </c>
      <c r="CB35" s="20">
        <f t="shared" si="10"/>
        <v>195.25965305600531</v>
      </c>
      <c r="CC35" s="59">
        <f t="shared" si="11"/>
        <v>436.23215553653063</v>
      </c>
      <c r="CD35" s="59">
        <f ca="1">AVERAGE(OFFSET($CC$3,0,0,'Données projet'!$E$12+1,1))-AVERAGE(OFFSET($H$3,0,0,'Données projet'!$E$12+1,1))</f>
        <v>307.52821153421951</v>
      </c>
      <c r="CE35" s="59">
        <f t="shared" si="40"/>
        <v>221.23619018904222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5.4791666666666652</v>
      </c>
      <c r="CT35" s="12">
        <f>IF('Données projet'!$A$140&gt;35,CT34+CS35-DB34,IF(A35&lt;'Données projet'!$A$140,$CQ$205^A35,IF(A35='Données projet'!$A$140,'Données projet'!$B$140,CT34+CS35-DB34)))</f>
        <v>86.304487179487197</v>
      </c>
      <c r="CU35" s="17">
        <f>CT35*VLOOKUP('Données projet'!$B$13,Paramètres!$A$1:$I$89,3,0)*VLOOKUP('Données projet'!$B$13,Paramètres!$A$1:$I$89,5,0)</f>
        <v>98.28355000000002</v>
      </c>
      <c r="CV35" s="13">
        <f t="shared" si="41"/>
        <v>26.552665870921636</v>
      </c>
      <c r="CW35" s="20">
        <f t="shared" si="13"/>
        <v>217.42307597518854</v>
      </c>
      <c r="CX35" s="59">
        <f t="shared" si="14"/>
        <v>458.39557845571386</v>
      </c>
      <c r="CY35" s="59">
        <f ca="1">AVERAGE(OFFSET($CX$3,0,0,'Données projet'!$E$13+1,1))-AVERAGE(OFFSET($H$3,0,0,'Données projet'!$E$13+1,1))</f>
        <v>598.12133208901378</v>
      </c>
      <c r="CZ35" s="59">
        <f t="shared" si="42"/>
        <v>246.23353541360947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10.8</v>
      </c>
      <c r="DO35" s="12">
        <f>IF('Données projet'!$A$166&gt;35,DO34+DN35-DW34,IF(A35&lt;'Données projet'!$A$166,$DL$205^A35,IF(A35='Données projet'!$A$166,'Données projet'!$B$166,DO34+DN35-DW34)))</f>
        <v>139.6</v>
      </c>
      <c r="DP35" s="17">
        <f>DO35*VLOOKUP('Données projet'!$B$14,Paramètres!$A$1:$I$89,3,0)*VLOOKUP('Données projet'!$B$14,Paramètres!$A$1:$I$89,5,0)</f>
        <v>111.06576</v>
      </c>
      <c r="DQ35" s="13">
        <f t="shared" si="43"/>
        <v>29.581944857062648</v>
      </c>
      <c r="DR35" s="20">
        <f t="shared" si="16"/>
        <v>244.96141929271744</v>
      </c>
      <c r="DS35" s="59">
        <f t="shared" si="17"/>
        <v>485.93392177324279</v>
      </c>
      <c r="DT35" s="59">
        <f ca="1">AVERAGE(OFFSET($DS$3,0,0,'Données projet'!$E$14+1,1))-AVERAGE(OFFSET($H$3,0,0,'Données projet'!$E$14+1,1))</f>
        <v>323.01113210765487</v>
      </c>
      <c r="DU35" s="59">
        <f t="shared" si="44"/>
        <v>311.68541696405975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0.44803922816678449</v>
      </c>
      <c r="EB35" s="21">
        <f>EXP(-LN(2)/25)*EB34+(1-EXP(-LN(2)/25))/(LN(2)/25)*Calculateur!DW35*Calculateur!DY35*VLOOKUP('Données projet'!$B$14,Paramètres!$A$1:$I$89,3,0)*0.475*44/12</f>
        <v>4.2788794248882187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4.7269186530550034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597.76449158945638</v>
      </c>
      <c r="S36" s="59">
        <f ca="1">AVERAGE(OFFSET($R$3,0,0,'Données projet'!$E$9+1,1))-AVERAGE(OFFSET($H$3,0,0,'Données projet'!$E$9+1,1))</f>
        <v>337.99164391755608</v>
      </c>
      <c r="T36" s="59">
        <f t="shared" si="34"/>
        <v>421.45428231923393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8.3413461538461533</v>
      </c>
      <c r="AI36" s="13">
        <f>IF('Données projet'!$A$62&gt;35,AI35+AH36-AQ35,IF(A36&lt;'Données projet'!$A$62,$AF$205^A36,IF(A36='Données projet'!$A$62,'Données projet'!$B$62,AI35+AH36-AQ35)))</f>
        <v>133.44711538461539</v>
      </c>
      <c r="AJ36" s="13">
        <f>AI36*VLOOKUP('Données projet'!$B$10,Paramètres!$A$1:$I$89,3,0)*VLOOKUP('Données projet'!$B$10,Paramètres!$A$1:$I$89,5,0)</f>
        <v>135.31537500000002</v>
      </c>
      <c r="AK36" s="13">
        <f t="shared" si="35"/>
        <v>35.221707211140988</v>
      </c>
      <c r="AL36" s="20">
        <f t="shared" si="4"/>
        <v>297.01875151773726</v>
      </c>
      <c r="AM36" s="59">
        <f t="shared" si="5"/>
        <v>538.89959735227797</v>
      </c>
      <c r="AN36" s="59">
        <f ca="1">AVERAGE(OFFSET($AM$3,0,0,'Données projet'!$E$10+1,1))-AVERAGE(OFFSET($H$3,0,0,'Données projet'!$E$10+1,1))</f>
        <v>596.42822894047072</v>
      </c>
      <c r="AO36" s="59">
        <f t="shared" si="36"/>
        <v>298.31525330951047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9.1999999999999993</v>
      </c>
      <c r="BD36" s="12">
        <f>IF('Données projet'!$A$88&gt;35,BD35+BC36-BL35,IF(A36&lt;'Données projet'!$A$88,$BA$205^A36,IF(A36='Données projet'!$A$88,'Données projet'!$B$88,BD35+BC36-BL35)))</f>
        <v>149.6</v>
      </c>
      <c r="BE36" s="13">
        <f>BD36*VLOOKUP('Données projet'!$B$11,Paramètres!$A$1:$I$89,3,0)*VLOOKUP('Données projet'!$B$11,Paramètres!$A$1:$I$89,5,0)</f>
        <v>156.36192</v>
      </c>
      <c r="BF36" s="13">
        <f t="shared" si="37"/>
        <v>40.020841092261293</v>
      </c>
      <c r="BG36" s="20">
        <f t="shared" si="7"/>
        <v>342.03330890235503</v>
      </c>
      <c r="BH36" s="59">
        <f t="shared" si="8"/>
        <v>583.91415473689574</v>
      </c>
      <c r="BI36" s="59">
        <f ca="1">AVERAGE(OFFSET($BH$3,0,0,'Données projet'!$E$11+1,1))-AVERAGE(OFFSET($H$3,0,0,'Données projet'!$E$11+1,1))</f>
        <v>446.06835300781546</v>
      </c>
      <c r="BJ36" s="59">
        <f t="shared" si="38"/>
        <v>396.46809188573138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14.691666666666668</v>
      </c>
      <c r="BY36" s="12">
        <f>IF('Données projet'!$A$114&gt;35,BY35+BX36-CG35,IF(A36&lt;'Données projet'!$A$114,$BV$205^A36,IF(A36='Données projet'!$A$114,'Données projet'!$B$114,BY35+BX36-CG35)))</f>
        <v>202.77499999999998</v>
      </c>
      <c r="BZ36" s="13">
        <f>BY36*VLOOKUP('Données projet'!$B$12,Paramètres!$A$1:$I$89,3,0)*VLOOKUP('Données projet'!$B$12,Paramètres!$A$1:$I$89,5,0)</f>
        <v>94.898699999999991</v>
      </c>
      <c r="CA36" s="13">
        <f t="shared" si="39"/>
        <v>25.743004546126805</v>
      </c>
      <c r="CB36" s="20">
        <f t="shared" si="10"/>
        <v>210.1176354178375</v>
      </c>
      <c r="CC36" s="59">
        <f t="shared" si="11"/>
        <v>451.99848125237827</v>
      </c>
      <c r="CD36" s="59">
        <f ca="1">AVERAGE(OFFSET($CC$3,0,0,'Données projet'!$E$12+1,1))-AVERAGE(OFFSET($H$3,0,0,'Données projet'!$E$12+1,1))</f>
        <v>307.52821153421951</v>
      </c>
      <c r="CE36" s="59">
        <f t="shared" si="40"/>
        <v>221.23619018904222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5.4791666666666652</v>
      </c>
      <c r="CT36" s="12">
        <f>IF('Données projet'!$A$140&gt;35,CT35+CS36-DB35,IF(A36&lt;'Données projet'!$A$140,$CQ$205^A36,IF(A36='Données projet'!$A$140,'Données projet'!$B$140,CT35+CS36-DB35)))</f>
        <v>91.783653846153868</v>
      </c>
      <c r="CU36" s="17">
        <f>CT36*VLOOKUP('Données projet'!$B$13,Paramètres!$A$1:$I$89,3,0)*VLOOKUP('Données projet'!$B$13,Paramètres!$A$1:$I$89,5,0)</f>
        <v>104.52322500000004</v>
      </c>
      <c r="CV36" s="13">
        <f t="shared" si="41"/>
        <v>28.036803379699439</v>
      </c>
      <c r="CW36" s="20">
        <f t="shared" si="13"/>
        <v>230.87538276130991</v>
      </c>
      <c r="CX36" s="59">
        <f t="shared" si="14"/>
        <v>472.75622859585064</v>
      </c>
      <c r="CY36" s="59">
        <f ca="1">AVERAGE(OFFSET($CX$3,0,0,'Données projet'!$E$13+1,1))-AVERAGE(OFFSET($H$3,0,0,'Données projet'!$E$13+1,1))</f>
        <v>598.12133208901378</v>
      </c>
      <c r="CZ36" s="59">
        <f t="shared" si="42"/>
        <v>246.23353541360947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10.8</v>
      </c>
      <c r="DO36" s="12">
        <f>IF('Données projet'!$A$166&gt;35,DO35+DN36-DW35,IF(A36&lt;'Données projet'!$A$166,$DL$205^A36,IF(A36='Données projet'!$A$166,'Données projet'!$B$166,DO35+DN36-DW35)))</f>
        <v>150.4</v>
      </c>
      <c r="DP36" s="17">
        <f>DO36*VLOOKUP('Données projet'!$B$14,Paramètres!$A$1:$I$89,3,0)*VLOOKUP('Données projet'!$B$14,Paramètres!$A$1:$I$89,5,0)</f>
        <v>119.65824000000002</v>
      </c>
      <c r="DQ36" s="13">
        <f t="shared" si="43"/>
        <v>31.595276160231336</v>
      </c>
      <c r="DR36" s="20">
        <f t="shared" si="16"/>
        <v>263.43320731240294</v>
      </c>
      <c r="DS36" s="59">
        <f t="shared" si="17"/>
        <v>505.31405314694371</v>
      </c>
      <c r="DT36" s="59">
        <f ca="1">AVERAGE(OFFSET($DS$3,0,0,'Données projet'!$E$14+1,1))-AVERAGE(OFFSET($H$3,0,0,'Données projet'!$E$14+1,1))</f>
        <v>323.01113210765487</v>
      </c>
      <c r="DU36" s="59">
        <f t="shared" si="44"/>
        <v>311.68541696405975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0.43925345217937917</v>
      </c>
      <c r="EB36" s="21">
        <f>EXP(-LN(2)/25)*EB35+(1-EXP(-LN(2)/25))/(LN(2)/25)*Calculateur!DW36*Calculateur!DY36*VLOOKUP('Données projet'!$B$14,Paramètres!$A$1:$I$89,3,0)*0.475*44/12</f>
        <v>4.161873241998161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4.6011266941775402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621.67941519870897</v>
      </c>
      <c r="S37" s="59">
        <f ca="1">AVERAGE(OFFSET($R$3,0,0,'Données projet'!$E$9+1,1))-AVERAGE(OFFSET($H$3,0,0,'Données projet'!$E$9+1,1))</f>
        <v>337.99164391755608</v>
      </c>
      <c r="T37" s="59">
        <f t="shared" si="34"/>
        <v>421.45428231923393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141.78846153846152</v>
      </c>
      <c r="AG37" s="12">
        <f>VLOOKUP(A37,'Données projet'!$A$61:$I$81,9,0)</f>
        <v>8.3413461538461533</v>
      </c>
      <c r="AH37" s="12">
        <f t="array" ref="AH37">INDEX(AG:AG,MIN(IF(ISNUMBER(AG37:AG233),ROW(AG37:AG233),"")))</f>
        <v>8.3413461538461533</v>
      </c>
      <c r="AI37" s="13">
        <f>IF('Données projet'!$A$62&gt;35,AI36+AH37-AQ36,IF(A37&lt;'Données projet'!$A$62,$AF$205^A37,IF(A37='Données projet'!$A$62,'Données projet'!$B$62,AI36+AH37-AQ36)))</f>
        <v>141.78846153846155</v>
      </c>
      <c r="AJ37" s="13">
        <f>AI37*VLOOKUP('Données projet'!$B$10,Paramètres!$A$1:$I$89,3,0)*VLOOKUP('Données projet'!$B$10,Paramètres!$A$1:$I$89,5,0)</f>
        <v>143.77350000000001</v>
      </c>
      <c r="AK37" s="13">
        <f t="shared" si="35"/>
        <v>37.160118696765238</v>
      </c>
      <c r="AL37" s="20">
        <f t="shared" si="4"/>
        <v>315.12605256353282</v>
      </c>
      <c r="AM37" s="59">
        <f t="shared" si="5"/>
        <v>557.89948402564846</v>
      </c>
      <c r="AN37" s="59">
        <f ca="1">AVERAGE(OFFSET($AM$3,0,0,'Données projet'!$E$10+1,1))-AVERAGE(OFFSET($H$3,0,0,'Données projet'!$E$10+1,1))</f>
        <v>596.42822894047072</v>
      </c>
      <c r="AO37" s="59">
        <f t="shared" si="36"/>
        <v>298.31525330951047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31.615384615384613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9.1999999999999993</v>
      </c>
      <c r="BD37" s="12">
        <f>IF('Données projet'!$A$88&gt;35,BD36+BC37-BL36,IF(A37&lt;'Données projet'!$A$88,$BA$205^A37,IF(A37='Données projet'!$A$88,'Données projet'!$B$88,BD36+BC37-BL36)))</f>
        <v>158.79999999999998</v>
      </c>
      <c r="BE37" s="13">
        <f>BD37*VLOOKUP('Données projet'!$B$11,Paramètres!$A$1:$I$89,3,0)*VLOOKUP('Données projet'!$B$11,Paramètres!$A$1:$I$89,5,0)</f>
        <v>165.97776000000002</v>
      </c>
      <c r="BF37" s="13">
        <f t="shared" si="37"/>
        <v>42.18792407593731</v>
      </c>
      <c r="BG37" s="20">
        <f t="shared" si="7"/>
        <v>362.55523309892413</v>
      </c>
      <c r="BH37" s="59">
        <f t="shared" si="8"/>
        <v>605.32866456103966</v>
      </c>
      <c r="BI37" s="59">
        <f ca="1">AVERAGE(OFFSET($BH$3,0,0,'Données projet'!$E$11+1,1))-AVERAGE(OFFSET($H$3,0,0,'Données projet'!$E$11+1,1))</f>
        <v>446.06835300781546</v>
      </c>
      <c r="BJ37" s="59">
        <f t="shared" si="38"/>
        <v>396.46809188573138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14.691666666666668</v>
      </c>
      <c r="BY37" s="12">
        <f>IF('Données projet'!$A$114&gt;35,BY36+BX37-CG36,IF(A37&lt;'Données projet'!$A$114,$BV$205^A37,IF(A37='Données projet'!$A$114,'Données projet'!$B$114,BY36+BX37-CG36)))</f>
        <v>217.46666666666664</v>
      </c>
      <c r="BZ37" s="13">
        <f>BY37*VLOOKUP('Données projet'!$B$12,Paramètres!$A$1:$I$89,3,0)*VLOOKUP('Données projet'!$B$12,Paramètres!$A$1:$I$89,5,0)</f>
        <v>101.77439999999999</v>
      </c>
      <c r="CA37" s="13">
        <f t="shared" si="39"/>
        <v>27.384290185982298</v>
      </c>
      <c r="CB37" s="20">
        <f t="shared" si="10"/>
        <v>224.95138540725247</v>
      </c>
      <c r="CC37" s="59">
        <f t="shared" si="11"/>
        <v>467.72481686936806</v>
      </c>
      <c r="CD37" s="59">
        <f ca="1">AVERAGE(OFFSET($CC$3,0,0,'Données projet'!$E$12+1,1))-AVERAGE(OFFSET($H$3,0,0,'Données projet'!$E$12+1,1))</f>
        <v>307.52821153421951</v>
      </c>
      <c r="CE37" s="59">
        <f t="shared" si="40"/>
        <v>221.23619018904222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5.4791666666666652</v>
      </c>
      <c r="CT37" s="12">
        <f>IF('Données projet'!$A$140&gt;35,CT36+CS37-DB36,IF(A37&lt;'Données projet'!$A$140,$CQ$205^A37,IF(A37='Données projet'!$A$140,'Données projet'!$B$140,CT36+CS37-DB36)))</f>
        <v>97.262820512820539</v>
      </c>
      <c r="CU37" s="17">
        <f>CT37*VLOOKUP('Données projet'!$B$13,Paramètres!$A$1:$I$89,3,0)*VLOOKUP('Données projet'!$B$13,Paramètres!$A$1:$I$89,5,0)</f>
        <v>110.76290000000003</v>
      </c>
      <c r="CV37" s="13">
        <f t="shared" si="41"/>
        <v>29.510657396558475</v>
      </c>
      <c r="CW37" s="20">
        <f t="shared" si="13"/>
        <v>244.30977913233937</v>
      </c>
      <c r="CX37" s="59">
        <f t="shared" si="14"/>
        <v>487.08321059445495</v>
      </c>
      <c r="CY37" s="59">
        <f ca="1">AVERAGE(OFFSET($CX$3,0,0,'Données projet'!$E$13+1,1))-AVERAGE(OFFSET($H$3,0,0,'Données projet'!$E$13+1,1))</f>
        <v>598.12133208901378</v>
      </c>
      <c r="CZ37" s="59">
        <f t="shared" si="42"/>
        <v>246.23353541360947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10.8</v>
      </c>
      <c r="DO37" s="12">
        <f>IF('Données projet'!$A$166&gt;35,DO36+DN37-DW36,IF(A37&lt;'Données projet'!$A$166,$DL$205^A37,IF(A37='Données projet'!$A$166,'Données projet'!$B$166,DO36+DN37-DW36)))</f>
        <v>161.20000000000002</v>
      </c>
      <c r="DP37" s="17">
        <f>DO37*VLOOKUP('Données projet'!$B$14,Paramètres!$A$1:$I$89,3,0)*VLOOKUP('Données projet'!$B$14,Paramètres!$A$1:$I$89,5,0)</f>
        <v>128.25072</v>
      </c>
      <c r="DQ37" s="13">
        <f t="shared" si="43"/>
        <v>33.591833937449593</v>
      </c>
      <c r="DR37" s="20">
        <f t="shared" si="16"/>
        <v>281.875781441058</v>
      </c>
      <c r="DS37" s="59">
        <f t="shared" si="17"/>
        <v>524.64921290317352</v>
      </c>
      <c r="DT37" s="59">
        <f ca="1">AVERAGE(OFFSET($DS$3,0,0,'Données projet'!$E$14+1,1))-AVERAGE(OFFSET($H$3,0,0,'Données projet'!$E$14+1,1))</f>
        <v>323.01113210765487</v>
      </c>
      <c r="DU37" s="59">
        <f t="shared" si="44"/>
        <v>311.68541696405975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0.43063995990029263</v>
      </c>
      <c r="EB37" s="21">
        <f>EXP(-LN(2)/25)*EB36+(1-EXP(-LN(2)/25))/(LN(2)/25)*Calculateur!DW37*Calculateur!DY37*VLOOKUP('Données projet'!$B$14,Paramètres!$A$1:$I$89,3,0)*0.475*44/12</f>
        <v>4.0480665993323193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4.4787065592326121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645.54842285085704</v>
      </c>
      <c r="S38" s="59">
        <f ca="1">AVERAGE(OFFSET($R$3,0,0,'Données projet'!$E$9+1,1))-AVERAGE(OFFSET($H$3,0,0,'Données projet'!$E$9+1,1))</f>
        <v>337.99164391755608</v>
      </c>
      <c r="T38" s="59">
        <f t="shared" si="34"/>
        <v>421.45428231923393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9.8108974358974379</v>
      </c>
      <c r="AI38" s="13">
        <f>IF('Données projet'!$A$62&gt;35,AI37+AH38-AQ37,IF(A38&lt;'Données projet'!$A$62,$AF$205^A38,IF(A38='Données projet'!$A$62,'Données projet'!$B$62,AI37+AH38-AQ37)))</f>
        <v>119.98397435897436</v>
      </c>
      <c r="AJ38" s="13">
        <f>AI38*VLOOKUP('Données projet'!$B$10,Paramètres!$A$1:$I$89,3,0)*VLOOKUP('Données projet'!$B$10,Paramètres!$A$1:$I$89,5,0)</f>
        <v>121.66375000000002</v>
      </c>
      <c r="AK38" s="13">
        <f t="shared" si="35"/>
        <v>32.062730144863565</v>
      </c>
      <c r="AL38" s="20">
        <f t="shared" si="4"/>
        <v>267.74028625230409</v>
      </c>
      <c r="AM38" s="59">
        <f t="shared" si="5"/>
        <v>511.39081897687856</v>
      </c>
      <c r="AN38" s="59">
        <f ca="1">AVERAGE(OFFSET($AM$3,0,0,'Données projet'!$E$10+1,1))-AVERAGE(OFFSET($H$3,0,0,'Données projet'!$E$10+1,1))</f>
        <v>596.42822894047072</v>
      </c>
      <c r="AO38" s="59">
        <f t="shared" si="36"/>
        <v>298.31525330951047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168</v>
      </c>
      <c r="BB38" s="12">
        <f>VLOOKUP(A38,'Données projet'!$A$87:$I$107,9,0)</f>
        <v>9.1999999999999993</v>
      </c>
      <c r="BC38" s="12">
        <f t="array" ref="BC38">INDEX(BB:BB,MIN(IF(ISNUMBER(BB38:BB234),ROW(BB38:BB234),"")))</f>
        <v>9.1999999999999993</v>
      </c>
      <c r="BD38" s="12">
        <f>IF('Données projet'!$A$88&gt;35,BD37+BC38-BL37,IF(A38&lt;'Données projet'!$A$88,$BA$205^A38,IF(A38='Données projet'!$A$88,'Données projet'!$B$88,BD37+BC38-BL37)))</f>
        <v>167.99999999999997</v>
      </c>
      <c r="BE38" s="13">
        <f>BD38*VLOOKUP('Données projet'!$B$11,Paramètres!$A$1:$I$89,3,0)*VLOOKUP('Données projet'!$B$11,Paramètres!$A$1:$I$89,5,0)</f>
        <v>175.59359999999998</v>
      </c>
      <c r="BF38" s="13">
        <f t="shared" si="37"/>
        <v>44.340433728638573</v>
      </c>
      <c r="BG38" s="20">
        <f t="shared" si="7"/>
        <v>383.05177541071208</v>
      </c>
      <c r="BH38" s="59">
        <f t="shared" si="8"/>
        <v>626.70230813528656</v>
      </c>
      <c r="BI38" s="59">
        <f ca="1">AVERAGE(OFFSET($BH$3,0,0,'Données projet'!$E$11+1,1))-AVERAGE(OFFSET($H$3,0,0,'Données projet'!$E$11+1,1))</f>
        <v>446.06835300781546</v>
      </c>
      <c r="BJ38" s="59">
        <f t="shared" si="38"/>
        <v>396.46809188573138</v>
      </c>
      <c r="BK38" s="15">
        <f>IF(ISNA(VLOOKUP(A38,'Données projet'!$A$87:$I$107,3,0)),0,VLOOKUP(A38,'Données projet'!$A$87:$I$107,3,0))</f>
        <v>4</v>
      </c>
      <c r="BL38" s="15" t="str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6.6809062473653311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6.6809062473653311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14.691666666666668</v>
      </c>
      <c r="BY38" s="12">
        <f>IF('Données projet'!$A$114&gt;35,BY37+BX38-CG37,IF(A38&lt;'Données projet'!$A$114,$BV$205^A38,IF(A38='Données projet'!$A$114,'Données projet'!$B$114,BY37+BX38-CG37)))</f>
        <v>232.1583333333333</v>
      </c>
      <c r="BZ38" s="13">
        <f>BY38*VLOOKUP('Données projet'!$B$12,Paramètres!$A$1:$I$89,3,0)*VLOOKUP('Données projet'!$B$12,Paramètres!$A$1:$I$89,5,0)</f>
        <v>108.65009999999998</v>
      </c>
      <c r="CA38" s="13">
        <f t="shared" si="39"/>
        <v>29.012709404129307</v>
      </c>
      <c r="CB38" s="20">
        <f t="shared" si="10"/>
        <v>239.76272637885847</v>
      </c>
      <c r="CC38" s="59">
        <f t="shared" si="11"/>
        <v>483.41325910343301</v>
      </c>
      <c r="CD38" s="59">
        <f ca="1">AVERAGE(OFFSET($CC$3,0,0,'Données projet'!$E$12+1,1))-AVERAGE(OFFSET($H$3,0,0,'Données projet'!$E$12+1,1))</f>
        <v>307.52821153421951</v>
      </c>
      <c r="CE38" s="59">
        <f t="shared" si="40"/>
        <v>221.23619018904222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5.4791666666666652</v>
      </c>
      <c r="CT38" s="12">
        <f>IF('Données projet'!$A$140&gt;35,CT37+CS38-DB37,IF(A38&lt;'Données projet'!$A$140,$CQ$205^A38,IF(A38='Données projet'!$A$140,'Données projet'!$B$140,CT37+CS38-DB37)))</f>
        <v>102.74198717948721</v>
      </c>
      <c r="CU38" s="17">
        <f>CT38*VLOOKUP('Données projet'!$B$13,Paramètres!$A$1:$I$89,3,0)*VLOOKUP('Données projet'!$B$13,Paramètres!$A$1:$I$89,5,0)</f>
        <v>117.00257500000004</v>
      </c>
      <c r="CV38" s="13">
        <f t="shared" si="41"/>
        <v>30.974873244681344</v>
      </c>
      <c r="CW38" s="20">
        <f t="shared" si="13"/>
        <v>257.72738902615339</v>
      </c>
      <c r="CX38" s="59">
        <f t="shared" si="14"/>
        <v>501.37792175072786</v>
      </c>
      <c r="CY38" s="59">
        <f ca="1">AVERAGE(OFFSET($CX$3,0,0,'Données projet'!$E$13+1,1))-AVERAGE(OFFSET($H$3,0,0,'Données projet'!$E$13+1,1))</f>
        <v>598.12133208901378</v>
      </c>
      <c r="CZ38" s="59">
        <f t="shared" si="42"/>
        <v>246.23353541360947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172</v>
      </c>
      <c r="DM38" s="12">
        <f>VLOOKUP(A38,'Données projet'!$A$165:$I$185,9,0)</f>
        <v>10.8</v>
      </c>
      <c r="DN38" s="12">
        <f t="array" ref="DN38">INDEX(DM:DM,MIN(IF(ISNUMBER(DM38:DM234),ROW(DM38:DM234),"")))</f>
        <v>10.8</v>
      </c>
      <c r="DO38" s="12">
        <f>IF('Données projet'!$A$166&gt;35,DO37+DN38-DW37,IF(A38&lt;'Données projet'!$A$166,$DL$205^A38,IF(A38='Données projet'!$A$166,'Données projet'!$B$166,DO37+DN38-DW37)))</f>
        <v>172.00000000000003</v>
      </c>
      <c r="DP38" s="17">
        <f>DO38*VLOOKUP('Données projet'!$B$14,Paramètres!$A$1:$I$89,3,0)*VLOOKUP('Données projet'!$B$14,Paramètres!$A$1:$I$89,5,0)</f>
        <v>136.84320000000002</v>
      </c>
      <c r="DQ38" s="13">
        <f t="shared" si="43"/>
        <v>35.572869837729648</v>
      </c>
      <c r="DR38" s="20">
        <f t="shared" si="16"/>
        <v>300.2913216340458</v>
      </c>
      <c r="DS38" s="59">
        <f t="shared" si="17"/>
        <v>543.94185435862028</v>
      </c>
      <c r="DT38" s="59">
        <f ca="1">AVERAGE(OFFSET($DS$3,0,0,'Données projet'!$E$14+1,1))-AVERAGE(OFFSET($H$3,0,0,'Données projet'!$E$14+1,1))</f>
        <v>323.01113210765487</v>
      </c>
      <c r="DU38" s="59">
        <f t="shared" si="44"/>
        <v>311.68541696405975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9.4642857142857154E-2</v>
      </c>
      <c r="DY38" s="16">
        <f>IF(ISNA(VLOOKUP(A38,'Données projet'!$A$165:$I$185,6,0)),0%,VLOOKUP(A38,'Données projet'!$A$165:$I$185,6,0)*VLOOKUP('Données projet'!$B$14,Paramètres!$A$1:$I$89,7,0))</f>
        <v>0.22714285714285715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2.752902792935588</v>
      </c>
      <c r="EB38" s="21">
        <f>EXP(-LN(2)/25)*EB37+(1-EXP(-LN(2)/25))/(LN(2)/25)*Calculateur!DW38*Calculateur!DY38*VLOOKUP('Données projet'!$B$14,Paramètres!$A$1:$I$89,3,0)*0.475*44/12</f>
        <v>9.5090452936218952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12.261948086557483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669.37376755251694</v>
      </c>
      <c r="S39" s="59">
        <f ca="1">AVERAGE(OFFSET($R$3,0,0,'Données projet'!$E$9+1,1))-AVERAGE(OFFSET($H$3,0,0,'Données projet'!$E$9+1,1))</f>
        <v>337.99164391755608</v>
      </c>
      <c r="T39" s="59">
        <f t="shared" si="34"/>
        <v>421.45428231923393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9.8108974358974379</v>
      </c>
      <c r="AI39" s="13">
        <f>IF('Données projet'!$A$62&gt;35,AI38+AH39-AQ38,IF(A39&lt;'Données projet'!$A$62,$AF$205^A39,IF(A39='Données projet'!$A$62,'Données projet'!$B$62,AI38+AH39-AQ38)))</f>
        <v>129.7948717948718</v>
      </c>
      <c r="AJ39" s="13">
        <f>AI39*VLOOKUP('Données projet'!$B$10,Paramètres!$A$1:$I$89,3,0)*VLOOKUP('Données projet'!$B$10,Paramètres!$A$1:$I$89,5,0)</f>
        <v>131.61200000000002</v>
      </c>
      <c r="AK39" s="13">
        <f t="shared" si="35"/>
        <v>34.368577619623039</v>
      </c>
      <c r="AL39" s="20">
        <f t="shared" si="4"/>
        <v>289.08283935417683</v>
      </c>
      <c r="AM39" s="59">
        <f t="shared" si="5"/>
        <v>533.59525759521125</v>
      </c>
      <c r="AN39" s="59">
        <f ca="1">AVERAGE(OFFSET($AM$3,0,0,'Données projet'!$E$10+1,1))-AVERAGE(OFFSET($H$3,0,0,'Données projet'!$E$10+1,1))</f>
        <v>596.42822894047072</v>
      </c>
      <c r="AO39" s="59">
        <f t="shared" si="36"/>
        <v>298.31525330951047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8.8000000000000007</v>
      </c>
      <c r="BD39" s="12">
        <f>IF('Données projet'!$A$88&gt;35,BD38+BC39-BL38,IF(A39&lt;'Données projet'!$A$88,$BA$205^A39,IF(A39='Données projet'!$A$88,'Données projet'!$B$88,BD38+BC39-BL38)))</f>
        <v>149.79999999999998</v>
      </c>
      <c r="BE39" s="13">
        <f>BD39*VLOOKUP('Données projet'!$B$11,Paramètres!$A$1:$I$89,3,0)*VLOOKUP('Données projet'!$B$11,Paramètres!$A$1:$I$89,5,0)</f>
        <v>156.57096000000001</v>
      </c>
      <c r="BF39" s="13">
        <f t="shared" si="37"/>
        <v>40.0681133718019</v>
      </c>
      <c r="BG39" s="20">
        <f t="shared" si="7"/>
        <v>342.4797194558883</v>
      </c>
      <c r="BH39" s="59">
        <f t="shared" si="8"/>
        <v>586.99213769692278</v>
      </c>
      <c r="BI39" s="59">
        <f ca="1">AVERAGE(OFFSET($BH$3,0,0,'Données projet'!$E$11+1,1))-AVERAGE(OFFSET($H$3,0,0,'Données projet'!$E$11+1,1))</f>
        <v>446.06835300781546</v>
      </c>
      <c r="BJ39" s="59">
        <f t="shared" si="38"/>
        <v>396.46809188573138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6.4982165146975364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6.4982165146975364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14.691666666666668</v>
      </c>
      <c r="BY39" s="12">
        <f>IF('Données projet'!$A$114&gt;35,BY38+BX39-CG38,IF(A39&lt;'Données projet'!$A$114,$BV$205^A39,IF(A39='Données projet'!$A$114,'Données projet'!$B$114,BY38+BX39-CG38)))</f>
        <v>246.84999999999997</v>
      </c>
      <c r="BZ39" s="13">
        <f>BY39*VLOOKUP('Données projet'!$B$12,Paramètres!$A$1:$I$89,3,0)*VLOOKUP('Données projet'!$B$12,Paramètres!$A$1:$I$89,5,0)</f>
        <v>115.52579999999999</v>
      </c>
      <c r="CA39" s="13">
        <f t="shared" si="39"/>
        <v>30.629169110425391</v>
      </c>
      <c r="CB39" s="20">
        <f t="shared" si="10"/>
        <v>254.55323786732421</v>
      </c>
      <c r="CC39" s="59">
        <f t="shared" si="11"/>
        <v>499.06565610835867</v>
      </c>
      <c r="CD39" s="59">
        <f ca="1">AVERAGE(OFFSET($CC$3,0,0,'Données projet'!$E$12+1,1))-AVERAGE(OFFSET($H$3,0,0,'Données projet'!$E$12+1,1))</f>
        <v>307.52821153421951</v>
      </c>
      <c r="CE39" s="59">
        <f t="shared" si="40"/>
        <v>221.23619018904222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5.4791666666666652</v>
      </c>
      <c r="CT39" s="12">
        <f>IF('Données projet'!$A$140&gt;35,CT38+CS39-DB38,IF(A39&lt;'Données projet'!$A$140,$CQ$205^A39,IF(A39='Données projet'!$A$140,'Données projet'!$B$140,CT38+CS39-DB38)))</f>
        <v>108.22115384615388</v>
      </c>
      <c r="CU39" s="17">
        <f>CT39*VLOOKUP('Données projet'!$B$13,Paramètres!$A$1:$I$89,3,0)*VLOOKUP('Données projet'!$B$13,Paramètres!$A$1:$I$89,5,0)</f>
        <v>123.24225000000004</v>
      </c>
      <c r="CV39" s="13">
        <f t="shared" si="41"/>
        <v>32.430023530492392</v>
      </c>
      <c r="CW39" s="20">
        <f t="shared" si="13"/>
        <v>271.12920973227432</v>
      </c>
      <c r="CX39" s="59">
        <f t="shared" si="14"/>
        <v>515.64162797330869</v>
      </c>
      <c r="CY39" s="59">
        <f ca="1">AVERAGE(OFFSET($CX$3,0,0,'Données projet'!$E$13+1,1))-AVERAGE(OFFSET($H$3,0,0,'Données projet'!$E$13+1,1))</f>
        <v>598.12133208901378</v>
      </c>
      <c r="CZ39" s="59">
        <f t="shared" si="42"/>
        <v>246.23353541360947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153.60000000000002</v>
      </c>
      <c r="DP39" s="17">
        <f>DO39*VLOOKUP('Données projet'!$B$14,Paramètres!$A$1:$I$89,3,0)*VLOOKUP('Données projet'!$B$14,Paramètres!$A$1:$I$89,5,0)</f>
        <v>122.20416000000003</v>
      </c>
      <c r="DQ39" s="13">
        <f t="shared" si="43"/>
        <v>32.188537573102472</v>
      </c>
      <c r="DR39" s="20">
        <f t="shared" si="16"/>
        <v>268.90061493982017</v>
      </c>
      <c r="DS39" s="59">
        <f t="shared" si="17"/>
        <v>513.41303318085465</v>
      </c>
      <c r="DT39" s="59">
        <f ca="1">AVERAGE(OFFSET($DS$3,0,0,'Données projet'!$E$14+1,1))-AVERAGE(OFFSET($H$3,0,0,'Données projet'!$E$14+1,1))</f>
        <v>323.01113210765487</v>
      </c>
      <c r="DU39" s="59">
        <f t="shared" si="44"/>
        <v>311.68541696405975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2.6989200482710269</v>
      </c>
      <c r="EB39" s="21">
        <f>EXP(-LN(2)/25)*EB38+(1-EXP(-LN(2)/25))/(LN(2)/25)*Calculateur!DW39*Calculateur!DY39*VLOOKUP('Données projet'!$B$14,Paramètres!$A$1:$I$89,3,0)*0.475*44/12</f>
        <v>9.2490199500088455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11.947939998279873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693.15746577200275</v>
      </c>
      <c r="S40" s="59">
        <f ca="1">AVERAGE(OFFSET($R$3,0,0,'Données projet'!$E$9+1,1))-AVERAGE(OFFSET($H$3,0,0,'Données projet'!$E$9+1,1))</f>
        <v>337.99164391755608</v>
      </c>
      <c r="T40" s="59">
        <f t="shared" si="34"/>
        <v>421.45428231923393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9.8108974358974379</v>
      </c>
      <c r="AI40" s="13">
        <f>IF('Données projet'!$A$62&gt;35,AI39+AH40-AQ39,IF(A40&lt;'Données projet'!$A$62,$AF$205^A40,IF(A40='Données projet'!$A$62,'Données projet'!$B$62,AI39+AH40-AQ39)))</f>
        <v>139.60576923076923</v>
      </c>
      <c r="AJ40" s="13">
        <f>AI40*VLOOKUP('Données projet'!$B$10,Paramètres!$A$1:$I$89,3,0)*VLOOKUP('Données projet'!$B$10,Paramètres!$A$1:$I$89,5,0)</f>
        <v>141.56025000000002</v>
      </c>
      <c r="AK40" s="13">
        <f t="shared" si="35"/>
        <v>36.65420597962698</v>
      </c>
      <c r="AL40" s="20">
        <f t="shared" si="4"/>
        <v>310.39017749785035</v>
      </c>
      <c r="AM40" s="59">
        <f t="shared" si="5"/>
        <v>555.74952946852147</v>
      </c>
      <c r="AN40" s="59">
        <f ca="1">AVERAGE(OFFSET($AM$3,0,0,'Données projet'!$E$10+1,1))-AVERAGE(OFFSET($H$3,0,0,'Données projet'!$E$10+1,1))</f>
        <v>596.42822894047072</v>
      </c>
      <c r="AO40" s="59">
        <f t="shared" si="36"/>
        <v>298.31525330951047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8.8000000000000007</v>
      </c>
      <c r="BD40" s="12">
        <f>IF('Données projet'!$A$88&gt;35,BD39+BC40-BL39,IF(A40&lt;'Données projet'!$A$88,$BA$205^A40,IF(A40='Données projet'!$A$88,'Données projet'!$B$88,BD39+BC40-BL39)))</f>
        <v>158.6</v>
      </c>
      <c r="BE40" s="13">
        <f>BD40*VLOOKUP('Données projet'!$B$11,Paramètres!$A$1:$I$89,3,0)*VLOOKUP('Données projet'!$B$11,Paramètres!$A$1:$I$89,5,0)</f>
        <v>165.76872</v>
      </c>
      <c r="BF40" s="13">
        <f t="shared" si="37"/>
        <v>42.140971955776095</v>
      </c>
      <c r="BG40" s="20">
        <f t="shared" si="7"/>
        <v>362.10938015631001</v>
      </c>
      <c r="BH40" s="59">
        <f t="shared" si="8"/>
        <v>607.46873212698108</v>
      </c>
      <c r="BI40" s="59">
        <f ca="1">AVERAGE(OFFSET($BH$3,0,0,'Données projet'!$E$11+1,1))-AVERAGE(OFFSET($H$3,0,0,'Données projet'!$E$11+1,1))</f>
        <v>446.06835300781546</v>
      </c>
      <c r="BJ40" s="59">
        <f t="shared" si="38"/>
        <v>396.46809188573138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6.3205224423767774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6.3205224423767774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14.691666666666668</v>
      </c>
      <c r="BY40" s="12">
        <f>IF('Données projet'!$A$114&gt;35,BY39+BX40-CG39,IF(A40&lt;'Données projet'!$A$114,$BV$205^A40,IF(A40='Données projet'!$A$114,'Données projet'!$B$114,BY39+BX40-CG39)))</f>
        <v>261.54166666666663</v>
      </c>
      <c r="BZ40" s="13">
        <f>BY40*VLOOKUP('Données projet'!$B$12,Paramètres!$A$1:$I$89,3,0)*VLOOKUP('Données projet'!$B$12,Paramètres!$A$1:$I$89,5,0)</f>
        <v>122.40149999999998</v>
      </c>
      <c r="CA40" s="13">
        <f t="shared" si="39"/>
        <v>32.234462163626638</v>
      </c>
      <c r="CB40" s="20">
        <f t="shared" si="10"/>
        <v>269.32430076831633</v>
      </c>
      <c r="CC40" s="59">
        <f t="shared" si="11"/>
        <v>514.68365273898746</v>
      </c>
      <c r="CD40" s="59">
        <f ca="1">AVERAGE(OFFSET($CC$3,0,0,'Données projet'!$E$12+1,1))-AVERAGE(OFFSET($H$3,0,0,'Données projet'!$E$12+1,1))</f>
        <v>307.52821153421951</v>
      </c>
      <c r="CE40" s="59">
        <f t="shared" si="40"/>
        <v>221.23619018904222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5.4791666666666652</v>
      </c>
      <c r="CT40" s="12">
        <f>IF('Données projet'!$A$140&gt;35,CT39+CS40-DB39,IF(A40&lt;'Données projet'!$A$140,$CQ$205^A40,IF(A40='Données projet'!$A$140,'Données projet'!$B$140,CT39+CS40-DB39)))</f>
        <v>113.70032051282055</v>
      </c>
      <c r="CU40" s="17">
        <f>CT40*VLOOKUP('Données projet'!$B$13,Paramètres!$A$1:$I$89,3,0)*VLOOKUP('Données projet'!$B$13,Paramètres!$A$1:$I$89,5,0)</f>
        <v>129.48192500000005</v>
      </c>
      <c r="CV40" s="13">
        <f t="shared" si="41"/>
        <v>33.87661960387517</v>
      </c>
      <c r="CW40" s="20">
        <f t="shared" si="13"/>
        <v>284.51613185174932</v>
      </c>
      <c r="CX40" s="59">
        <f t="shared" si="14"/>
        <v>529.87548382242039</v>
      </c>
      <c r="CY40" s="59">
        <f ca="1">AVERAGE(OFFSET($CX$3,0,0,'Données projet'!$E$13+1,1))-AVERAGE(OFFSET($H$3,0,0,'Données projet'!$E$13+1,1))</f>
        <v>598.12133208901378</v>
      </c>
      <c r="CZ40" s="59">
        <f t="shared" si="42"/>
        <v>246.23353541360947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163.20000000000002</v>
      </c>
      <c r="DP40" s="17">
        <f>DO40*VLOOKUP('Données projet'!$B$14,Paramètres!$A$1:$I$89,3,0)*VLOOKUP('Données projet'!$B$14,Paramètres!$A$1:$I$89,5,0)</f>
        <v>129.84192000000002</v>
      </c>
      <c r="DQ40" s="13">
        <f t="shared" si="43"/>
        <v>33.959829099416851</v>
      </c>
      <c r="DR40" s="20">
        <f t="shared" si="16"/>
        <v>285.288046348151</v>
      </c>
      <c r="DS40" s="59">
        <f t="shared" si="17"/>
        <v>530.64739831882207</v>
      </c>
      <c r="DT40" s="59">
        <f ca="1">AVERAGE(OFFSET($DS$3,0,0,'Données projet'!$E$14+1,1))-AVERAGE(OFFSET($H$3,0,0,'Données projet'!$E$14+1,1))</f>
        <v>323.01113210765487</v>
      </c>
      <c r="DU40" s="59">
        <f t="shared" si="44"/>
        <v>311.68541696405975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2.6459958723031147</v>
      </c>
      <c r="EB40" s="21">
        <f>EXP(-LN(2)/25)*EB39+(1-EXP(-LN(2)/25))/(LN(2)/25)*Calculateur!DW40*Calculateur!DY40*VLOOKUP('Données projet'!$B$14,Paramètres!$A$1:$I$89,3,0)*0.475*44/12</f>
        <v>8.9961050130910341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11.642100885394148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716.90133534665779</v>
      </c>
      <c r="S41" s="59">
        <f ca="1">AVERAGE(OFFSET($R$3,0,0,'Données projet'!$E$9+1,1))-AVERAGE(OFFSET($H$3,0,0,'Données projet'!$E$9+1,1))</f>
        <v>337.99164391755608</v>
      </c>
      <c r="T41" s="59">
        <f t="shared" si="34"/>
        <v>421.45428231923393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9.8108974358974379</v>
      </c>
      <c r="AI41" s="13">
        <f>IF('Données projet'!$A$62&gt;35,AI40+AH41-AQ40,IF(A41&lt;'Données projet'!$A$62,$AF$205^A41,IF(A41='Données projet'!$A$62,'Données projet'!$B$62,AI40+AH41-AQ40)))</f>
        <v>149.41666666666666</v>
      </c>
      <c r="AJ41" s="13">
        <f>AI41*VLOOKUP('Données projet'!$B$10,Paramètres!$A$1:$I$89,3,0)*VLOOKUP('Données projet'!$B$10,Paramètres!$A$1:$I$89,5,0)</f>
        <v>151.5085</v>
      </c>
      <c r="AK41" s="13">
        <f t="shared" si="35"/>
        <v>38.921197758636005</v>
      </c>
      <c r="AL41" s="20">
        <f t="shared" si="4"/>
        <v>331.66505692962431</v>
      </c>
      <c r="AM41" s="59">
        <f t="shared" si="5"/>
        <v>577.85665022318301</v>
      </c>
      <c r="AN41" s="59">
        <f ca="1">AVERAGE(OFFSET($AM$3,0,0,'Données projet'!$E$10+1,1))-AVERAGE(OFFSET($H$3,0,0,'Données projet'!$E$10+1,1))</f>
        <v>596.42822894047072</v>
      </c>
      <c r="AO41" s="59">
        <f t="shared" si="36"/>
        <v>298.31525330951047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8.8000000000000007</v>
      </c>
      <c r="BD41" s="12">
        <f>IF('Données projet'!$A$88&gt;35,BD40+BC41-BL40,IF(A41&lt;'Données projet'!$A$88,$BA$205^A41,IF(A41='Données projet'!$A$88,'Données projet'!$B$88,BD40+BC41-BL40)))</f>
        <v>167.4</v>
      </c>
      <c r="BE41" s="13">
        <f>BD41*VLOOKUP('Données projet'!$B$11,Paramètres!$A$1:$I$89,3,0)*VLOOKUP('Données projet'!$B$11,Paramètres!$A$1:$I$89,5,0)</f>
        <v>174.96648000000002</v>
      </c>
      <c r="BF41" s="13">
        <f t="shared" si="37"/>
        <v>44.20047886519378</v>
      </c>
      <c r="BG41" s="20">
        <f t="shared" si="7"/>
        <v>381.71578669021255</v>
      </c>
      <c r="BH41" s="59">
        <f t="shared" si="8"/>
        <v>627.90737998377131</v>
      </c>
      <c r="BI41" s="59">
        <f ca="1">AVERAGE(OFFSET($BH$3,0,0,'Données projet'!$E$11+1,1))-AVERAGE(OFFSET($H$3,0,0,'Données projet'!$E$11+1,1))</f>
        <v>446.06835300781546</v>
      </c>
      <c r="BJ41" s="59">
        <f t="shared" si="38"/>
        <v>396.46809188573138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6.1476874238081551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6.1476874238081551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14.691666666666668</v>
      </c>
      <c r="BY41" s="12">
        <f>IF('Données projet'!$A$114&gt;35,BY40+BX41-CG40,IF(A41&lt;'Données projet'!$A$114,$BV$205^A41,IF(A41='Données projet'!$A$114,'Données projet'!$B$114,BY40+BX41-CG40)))</f>
        <v>276.23333333333329</v>
      </c>
      <c r="BZ41" s="13">
        <f>BY41*VLOOKUP('Données projet'!$B$12,Paramètres!$A$1:$I$89,3,0)*VLOOKUP('Données projet'!$B$12,Paramètres!$A$1:$I$89,5,0)</f>
        <v>129.27719999999999</v>
      </c>
      <c r="CA41" s="13">
        <f t="shared" si="39"/>
        <v>33.829287316483459</v>
      </c>
      <c r="CB41" s="20">
        <f t="shared" si="10"/>
        <v>284.07713207620867</v>
      </c>
      <c r="CC41" s="59">
        <f t="shared" si="11"/>
        <v>530.26872536976737</v>
      </c>
      <c r="CD41" s="59">
        <f ca="1">AVERAGE(OFFSET($CC$3,0,0,'Données projet'!$E$12+1,1))-AVERAGE(OFFSET($H$3,0,0,'Données projet'!$E$12+1,1))</f>
        <v>307.52821153421951</v>
      </c>
      <c r="CE41" s="59">
        <f t="shared" si="40"/>
        <v>221.23619018904222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5.4791666666666652</v>
      </c>
      <c r="CT41" s="12">
        <f>IF('Données projet'!$A$140&gt;35,CT40+CS41-DB40,IF(A41&lt;'Données projet'!$A$140,$CQ$205^A41,IF(A41='Données projet'!$A$140,'Données projet'!$B$140,CT40+CS41-DB40)))</f>
        <v>119.17948717948723</v>
      </c>
      <c r="CU41" s="17">
        <f>CT41*VLOOKUP('Données projet'!$B$13,Paramètres!$A$1:$I$89,3,0)*VLOOKUP('Données projet'!$B$13,Paramètres!$A$1:$I$89,5,0)</f>
        <v>135.72160000000005</v>
      </c>
      <c r="CV41" s="13">
        <f t="shared" si="41"/>
        <v>35.315120746706988</v>
      </c>
      <c r="CW41" s="20">
        <f t="shared" si="13"/>
        <v>297.88895530051474</v>
      </c>
      <c r="CX41" s="59">
        <f t="shared" si="14"/>
        <v>544.08054859407343</v>
      </c>
      <c r="CY41" s="59">
        <f ca="1">AVERAGE(OFFSET($CX$3,0,0,'Données projet'!$E$13+1,1))-AVERAGE(OFFSET($H$3,0,0,'Données projet'!$E$13+1,1))</f>
        <v>598.12133208901378</v>
      </c>
      <c r="CZ41" s="59">
        <f t="shared" si="42"/>
        <v>246.23353541360947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172.8</v>
      </c>
      <c r="DP41" s="17">
        <f>DO41*VLOOKUP('Données projet'!$B$14,Paramètres!$A$1:$I$89,3,0)*VLOOKUP('Données projet'!$B$14,Paramètres!$A$1:$I$89,5,0)</f>
        <v>137.47968000000003</v>
      </c>
      <c r="DQ41" s="13">
        <f t="shared" si="43"/>
        <v>35.719026553355249</v>
      </c>
      <c r="DR41" s="20">
        <f t="shared" si="16"/>
        <v>301.65441391376049</v>
      </c>
      <c r="DS41" s="59">
        <f t="shared" si="17"/>
        <v>547.84600720731919</v>
      </c>
      <c r="DT41" s="59">
        <f ca="1">AVERAGE(OFFSET($DS$3,0,0,'Données projet'!$E$14+1,1))-AVERAGE(OFFSET($H$3,0,0,'Données projet'!$E$14+1,1))</f>
        <v>323.01113210765487</v>
      </c>
      <c r="DU41" s="59">
        <f t="shared" si="44"/>
        <v>311.68541696405975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2.5941095071453737</v>
      </c>
      <c r="EB41" s="21">
        <f>EXP(-LN(2)/25)*EB40+(1-EXP(-LN(2)/25))/(LN(2)/25)*Calculateur!DW41*Calculateur!DY41*VLOOKUP('Données projet'!$B$14,Paramètres!$A$1:$I$89,3,0)*0.475*44/12</f>
        <v>8.7501060484234578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11.344215555568832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740.60702564048688</v>
      </c>
      <c r="S42" s="59">
        <f ca="1">AVERAGE(OFFSET($R$3,0,0,'Données projet'!$E$9+1,1))-AVERAGE(OFFSET($H$3,0,0,'Données projet'!$E$9+1,1))</f>
        <v>337.99164391755608</v>
      </c>
      <c r="T42" s="59">
        <f t="shared" si="34"/>
        <v>421.45428231923393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9.8108974358974379</v>
      </c>
      <c r="AI42" s="13">
        <f>IF('Données projet'!$A$62&gt;35,AI41+AH42-AQ41,IF(A42&lt;'Données projet'!$A$62,$AF$205^A42,IF(A42='Données projet'!$A$62,'Données projet'!$B$62,AI41+AH42-AQ41)))</f>
        <v>159.22756410256409</v>
      </c>
      <c r="AJ42" s="13">
        <f>AI42*VLOOKUP('Données projet'!$B$10,Paramètres!$A$1:$I$89,3,0)*VLOOKUP('Données projet'!$B$10,Paramètres!$A$1:$I$89,5,0)</f>
        <v>161.45675</v>
      </c>
      <c r="AK42" s="13">
        <f t="shared" si="35"/>
        <v>41.170915913537705</v>
      </c>
      <c r="AL42" s="20">
        <f t="shared" si="4"/>
        <v>352.90985146607812</v>
      </c>
      <c r="AM42" s="59">
        <f t="shared" si="5"/>
        <v>599.91924855618527</v>
      </c>
      <c r="AN42" s="59">
        <f ca="1">AVERAGE(OFFSET($AM$3,0,0,'Données projet'!$E$10+1,1))-AVERAGE(OFFSET($H$3,0,0,'Données projet'!$E$10+1,1))</f>
        <v>596.42822894047072</v>
      </c>
      <c r="AO42" s="59">
        <f t="shared" si="36"/>
        <v>298.31525330951047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8.8000000000000007</v>
      </c>
      <c r="BD42" s="12">
        <f>IF('Données projet'!$A$88&gt;35,BD41+BC42-BL41,IF(A42&lt;'Données projet'!$A$88,$BA$205^A42,IF(A42='Données projet'!$A$88,'Données projet'!$B$88,BD41+BC42-BL41)))</f>
        <v>176.20000000000002</v>
      </c>
      <c r="BE42" s="13">
        <f>BD42*VLOOKUP('Données projet'!$B$11,Paramètres!$A$1:$I$89,3,0)*VLOOKUP('Données projet'!$B$11,Paramètres!$A$1:$I$89,5,0)</f>
        <v>184.16424000000004</v>
      </c>
      <c r="BF42" s="13">
        <f t="shared" si="37"/>
        <v>46.247416025180279</v>
      </c>
      <c r="BG42" s="20">
        <f t="shared" si="7"/>
        <v>401.30030091052237</v>
      </c>
      <c r="BH42" s="59">
        <f t="shared" si="8"/>
        <v>648.30969800062951</v>
      </c>
      <c r="BI42" s="59">
        <f ca="1">AVERAGE(OFFSET($BH$3,0,0,'Données projet'!$E$11+1,1))-AVERAGE(OFFSET($H$3,0,0,'Données projet'!$E$11+1,1))</f>
        <v>446.06835300781546</v>
      </c>
      <c r="BJ42" s="59">
        <f t="shared" si="38"/>
        <v>396.46809188573138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5.9795785879112904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5.9795785879112904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14.691666666666668</v>
      </c>
      <c r="BY42" s="12">
        <f>IF('Données projet'!$A$114&gt;35,BY41+BX42-CG41,IF(A42&lt;'Données projet'!$A$114,$BV$205^A42,IF(A42='Données projet'!$A$114,'Données projet'!$B$114,BY41+BX42-CG41)))</f>
        <v>290.92499999999995</v>
      </c>
      <c r="BZ42" s="13">
        <f>BY42*VLOOKUP('Données projet'!$B$12,Paramètres!$A$1:$I$89,3,0)*VLOOKUP('Données projet'!$B$12,Paramètres!$A$1:$I$89,5,0)</f>
        <v>136.15289999999996</v>
      </c>
      <c r="CA42" s="13">
        <f t="shared" si="39"/>
        <v>35.41426479650432</v>
      </c>
      <c r="CB42" s="20">
        <f t="shared" si="10"/>
        <v>298.81281202057824</v>
      </c>
      <c r="CC42" s="59">
        <f t="shared" si="11"/>
        <v>545.82220911068532</v>
      </c>
      <c r="CD42" s="59">
        <f ca="1">AVERAGE(OFFSET($CC$3,0,0,'Données projet'!$E$12+1,1))-AVERAGE(OFFSET($H$3,0,0,'Données projet'!$E$12+1,1))</f>
        <v>307.52821153421951</v>
      </c>
      <c r="CE42" s="59">
        <f t="shared" si="40"/>
        <v>221.23619018904222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5.4791666666666652</v>
      </c>
      <c r="CT42" s="12">
        <f>IF('Données projet'!$A$140&gt;35,CT41+CS42-DB41,IF(A42&lt;'Données projet'!$A$140,$CQ$205^A42,IF(A42='Données projet'!$A$140,'Données projet'!$B$140,CT41+CS42-DB41)))</f>
        <v>124.6586538461539</v>
      </c>
      <c r="CU42" s="17">
        <f>CT42*VLOOKUP('Données projet'!$B$13,Paramètres!$A$1:$I$89,3,0)*VLOOKUP('Données projet'!$B$13,Paramètres!$A$1:$I$89,5,0)</f>
        <v>141.96127500000006</v>
      </c>
      <c r="CV42" s="13">
        <f t="shared" si="41"/>
        <v>36.745941623866244</v>
      </c>
      <c r="CW42" s="20">
        <f t="shared" si="13"/>
        <v>311.24840228656717</v>
      </c>
      <c r="CX42" s="59">
        <f t="shared" si="14"/>
        <v>558.25779937667426</v>
      </c>
      <c r="CY42" s="59">
        <f ca="1">AVERAGE(OFFSET($CX$3,0,0,'Données projet'!$E$13+1,1))-AVERAGE(OFFSET($H$3,0,0,'Données projet'!$E$13+1,1))</f>
        <v>598.12133208901378</v>
      </c>
      <c r="CZ42" s="59">
        <f t="shared" si="42"/>
        <v>246.23353541360947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182.4</v>
      </c>
      <c r="DP42" s="17">
        <f>DO42*VLOOKUP('Données projet'!$B$14,Paramètres!$A$1:$I$89,3,0)*VLOOKUP('Données projet'!$B$14,Paramètres!$A$1:$I$89,5,0)</f>
        <v>145.11744000000002</v>
      </c>
      <c r="DQ42" s="13">
        <f t="shared" si="43"/>
        <v>37.466878406916173</v>
      </c>
      <c r="DR42" s="20">
        <f t="shared" si="16"/>
        <v>318.00102122537902</v>
      </c>
      <c r="DS42" s="59">
        <f t="shared" si="17"/>
        <v>565.01041831548616</v>
      </c>
      <c r="DT42" s="59">
        <f ca="1">AVERAGE(OFFSET($DS$3,0,0,'Données projet'!$E$14+1,1))-AVERAGE(OFFSET($H$3,0,0,'Données projet'!$E$14+1,1))</f>
        <v>323.01113210765487</v>
      </c>
      <c r="DU42" s="59">
        <f t="shared" si="44"/>
        <v>311.68541696405975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2.543240601960818</v>
      </c>
      <c r="EB42" s="21">
        <f>EXP(-LN(2)/25)*EB41+(1-EXP(-LN(2)/25))/(LN(2)/25)*Calculateur!DW42*Calculateur!DY42*VLOOKUP('Données projet'!$B$14,Paramètres!$A$1:$I$89,3,0)*0.475*44/12</f>
        <v>8.5108339383812392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11.054074540342057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764.27604183197661</v>
      </c>
      <c r="S43" s="59">
        <f ca="1">AVERAGE(OFFSET($R$3,0,0,'Données projet'!$E$9+1,1))-AVERAGE(OFFSET($H$3,0,0,'Données projet'!$E$9+1,1))</f>
        <v>337.99164391755608</v>
      </c>
      <c r="T43" s="59">
        <f t="shared" si="34"/>
        <v>421.45428231923393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9.8108974358974379</v>
      </c>
      <c r="AI43" s="13">
        <f>IF('Données projet'!$A$62&gt;35,AI42+AH43-AQ42,IF(A43&lt;'Données projet'!$A$62,$AF$205^A43,IF(A43='Données projet'!$A$62,'Données projet'!$B$62,AI42+AH43-AQ42)))</f>
        <v>169.03846153846152</v>
      </c>
      <c r="AJ43" s="13">
        <f>AI43*VLOOKUP('Données projet'!$B$10,Paramètres!$A$1:$I$89,3,0)*VLOOKUP('Données projet'!$B$10,Paramètres!$A$1:$I$89,5,0)</f>
        <v>171.40499999999997</v>
      </c>
      <c r="AK43" s="13">
        <f t="shared" si="35"/>
        <v>43.404545950880426</v>
      </c>
      <c r="AL43" s="20">
        <f t="shared" si="4"/>
        <v>374.12662586444998</v>
      </c>
      <c r="AM43" s="59">
        <f t="shared" si="5"/>
        <v>621.93963968357082</v>
      </c>
      <c r="AN43" s="59">
        <f ca="1">AVERAGE(OFFSET($AM$3,0,0,'Données projet'!$E$10+1,1))-AVERAGE(OFFSET($H$3,0,0,'Données projet'!$E$10+1,1))</f>
        <v>596.42822894047072</v>
      </c>
      <c r="AO43" s="59">
        <f t="shared" si="36"/>
        <v>298.31525330951047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185</v>
      </c>
      <c r="BB43" s="12">
        <f>VLOOKUP(A43,'Données projet'!$A$87:$I$107,9,0)</f>
        <v>8.8000000000000007</v>
      </c>
      <c r="BC43" s="12">
        <f t="array" ref="BC43">INDEX(BB:BB,MIN(IF(ISNUMBER(BB43:BB239),ROW(BB43:BB239),"")))</f>
        <v>8.8000000000000007</v>
      </c>
      <c r="BD43" s="12">
        <f>IF('Données projet'!$A$88&gt;35,BD42+BC43-BL42,IF(A43&lt;'Données projet'!$A$88,$BA$205^A43,IF(A43='Données projet'!$A$88,'Données projet'!$B$88,BD42+BC43-BL42)))</f>
        <v>185.00000000000003</v>
      </c>
      <c r="BE43" s="13">
        <f>BD43*VLOOKUP('Données projet'!$B$11,Paramètres!$A$1:$I$89,3,0)*VLOOKUP('Données projet'!$B$11,Paramètres!$A$1:$I$89,5,0)</f>
        <v>193.36200000000005</v>
      </c>
      <c r="BF43" s="13">
        <f t="shared" si="37"/>
        <v>48.282482845036888</v>
      </c>
      <c r="BG43" s="20">
        <f t="shared" si="7"/>
        <v>420.864140955106</v>
      </c>
      <c r="BH43" s="59">
        <f t="shared" si="8"/>
        <v>668.67715477422678</v>
      </c>
      <c r="BI43" s="59">
        <f ca="1">AVERAGE(OFFSET($BH$3,0,0,'Données projet'!$E$11+1,1))-AVERAGE(OFFSET($H$3,0,0,'Données projet'!$E$11+1,1))</f>
        <v>446.06835300781546</v>
      </c>
      <c r="BJ43" s="59">
        <f t="shared" si="38"/>
        <v>396.46809188573138</v>
      </c>
      <c r="BK43" s="15">
        <f>IF(ISNA(VLOOKUP(A43,'Données projet'!$A$87:$I$107,3,0)),0,VLOOKUP(A43,'Données projet'!$A$87:$I$107,3,0))</f>
        <v>5</v>
      </c>
      <c r="BL43" s="15" t="str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12.496972944337816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12.496972944337816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14.691666666666668</v>
      </c>
      <c r="BY43" s="12">
        <f>IF('Données projet'!$A$114&gt;35,BY42+BX43-CG42,IF(A43&lt;'Données projet'!$A$114,$BV$205^A43,IF(A43='Données projet'!$A$114,'Données projet'!$B$114,BY42+BX43-CG42)))</f>
        <v>305.61666666666662</v>
      </c>
      <c r="BZ43" s="13">
        <f>BY43*VLOOKUP('Données projet'!$B$12,Paramètres!$A$1:$I$89,3,0)*VLOOKUP('Données projet'!$B$12,Paramètres!$A$1:$I$89,5,0)</f>
        <v>143.02859999999998</v>
      </c>
      <c r="CA43" s="13">
        <f t="shared" si="39"/>
        <v>36.989948649912783</v>
      </c>
      <c r="CB43" s="20">
        <f t="shared" si="10"/>
        <v>313.53230556526472</v>
      </c>
      <c r="CC43" s="59">
        <f t="shared" si="11"/>
        <v>561.34531938438556</v>
      </c>
      <c r="CD43" s="59">
        <f ca="1">AVERAGE(OFFSET($CC$3,0,0,'Données projet'!$E$12+1,1))-AVERAGE(OFFSET($H$3,0,0,'Données projet'!$E$12+1,1))</f>
        <v>307.52821153421951</v>
      </c>
      <c r="CE43" s="59">
        <f t="shared" si="40"/>
        <v>221.23619018904222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5.4791666666666652</v>
      </c>
      <c r="CT43" s="12">
        <f>IF('Données projet'!$A$140&gt;35,CT42+CS43-DB42,IF(A43&lt;'Données projet'!$A$140,$CQ$205^A43,IF(A43='Données projet'!$A$140,'Données projet'!$B$140,CT42+CS43-DB42)))</f>
        <v>130.13782051282055</v>
      </c>
      <c r="CU43" s="17">
        <f>CT43*VLOOKUP('Données projet'!$B$13,Paramètres!$A$1:$I$89,3,0)*VLOOKUP('Données projet'!$B$13,Paramètres!$A$1:$I$89,5,0)</f>
        <v>148.20095000000003</v>
      </c>
      <c r="CV43" s="13">
        <f t="shared" si="41"/>
        <v>38.169458387273394</v>
      </c>
      <c r="CW43" s="20">
        <f t="shared" si="13"/>
        <v>324.59512794116785</v>
      </c>
      <c r="CX43" s="59">
        <f t="shared" si="14"/>
        <v>572.40814176028869</v>
      </c>
      <c r="CY43" s="59">
        <f ca="1">AVERAGE(OFFSET($CX$3,0,0,'Données projet'!$E$13+1,1))-AVERAGE(OFFSET($H$3,0,0,'Données projet'!$E$13+1,1))</f>
        <v>598.12133208901378</v>
      </c>
      <c r="CZ43" s="59">
        <f t="shared" si="42"/>
        <v>246.23353541360947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192</v>
      </c>
      <c r="DP43" s="17">
        <f>DO43*VLOOKUP('Données projet'!$B$14,Paramètres!$A$1:$I$89,3,0)*VLOOKUP('Données projet'!$B$14,Paramètres!$A$1:$I$89,5,0)</f>
        <v>152.7552</v>
      </c>
      <c r="DQ43" s="13">
        <f t="shared" si="43"/>
        <v>39.204049895729561</v>
      </c>
      <c r="DR43" s="20">
        <f t="shared" si="16"/>
        <v>334.32902690172892</v>
      </c>
      <c r="DS43" s="59">
        <f t="shared" si="17"/>
        <v>582.14204072084976</v>
      </c>
      <c r="DT43" s="59">
        <f ca="1">AVERAGE(OFFSET($DS$3,0,0,'Données projet'!$E$14+1,1))-AVERAGE(OFFSET($H$3,0,0,'Données projet'!$E$14+1,1))</f>
        <v>323.01113210765487</v>
      </c>
      <c r="DU43" s="59">
        <f t="shared" si="44"/>
        <v>311.68541696405975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0.20821428571428571</v>
      </c>
      <c r="DY43" s="16">
        <f>IF(ISNA(VLOOKUP(A43,'Données projet'!$A$165:$I$185,6,0)),0%,VLOOKUP(A43,'Données projet'!$A$165:$I$185,6,0)*VLOOKUP('Données projet'!$B$14,Paramètres!$A$1:$I$89,7,0))</f>
        <v>0.20821428571428571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7.6209255289458637</v>
      </c>
      <c r="EB43" s="21">
        <f>EXP(-LN(2)/25)*EB42+(1-EXP(-LN(2)/25))/(LN(2)/25)*Calculateur!DW43*Calculateur!DY43*VLOOKUP('Données projet'!$B$14,Paramètres!$A$1:$I$89,3,0)*0.475*44/12</f>
        <v>13.385471917737213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21.006397446683078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666.81921881110031</v>
      </c>
      <c r="S44" s="59">
        <f ca="1">AVERAGE(OFFSET($R$3,0,0,'Données projet'!$E$9+1,1))-AVERAGE(OFFSET($H$3,0,0,'Données projet'!$E$9+1,1))</f>
        <v>337.99164391755608</v>
      </c>
      <c r="T44" s="59">
        <f t="shared" si="34"/>
        <v>421.45428231923393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9.8108974358974379</v>
      </c>
      <c r="AI44" s="13">
        <f>IF('Données projet'!$A$62&gt;35,AI43+AH44-AQ43,IF(A44&lt;'Données projet'!$A$62,$AF$205^A44,IF(A44='Données projet'!$A$62,'Données projet'!$B$62,AI43+AH44-AQ43)))</f>
        <v>178.84935897435895</v>
      </c>
      <c r="AJ44" s="13">
        <f>AI44*VLOOKUP('Données projet'!$B$10,Paramètres!$A$1:$I$89,3,0)*VLOOKUP('Données projet'!$B$10,Paramètres!$A$1:$I$89,5,0)</f>
        <v>181.35324999999997</v>
      </c>
      <c r="AK44" s="13">
        <f t="shared" si="35"/>
        <v>45.623127991683525</v>
      </c>
      <c r="AL44" s="20">
        <f t="shared" si="4"/>
        <v>395.31719166884869</v>
      </c>
      <c r="AM44" s="59">
        <f t="shared" si="5"/>
        <v>643.91988126335264</v>
      </c>
      <c r="AN44" s="59">
        <f ca="1">AVERAGE(OFFSET($AM$3,0,0,'Données projet'!$E$10+1,1))-AVERAGE(OFFSET($H$3,0,0,'Données projet'!$E$10+1,1))</f>
        <v>596.42822894047072</v>
      </c>
      <c r="AO44" s="59">
        <f t="shared" si="36"/>
        <v>298.31525330951047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166.00000000000003</v>
      </c>
      <c r="BE44" s="13">
        <f>BD44*VLOOKUP('Données projet'!$B$11,Paramètres!$A$1:$I$89,3,0)*VLOOKUP('Données projet'!$B$11,Paramètres!$A$1:$I$89,5,0)</f>
        <v>173.50320000000005</v>
      </c>
      <c r="BF44" s="13">
        <f t="shared" si="37"/>
        <v>43.873689992225962</v>
      </c>
      <c r="BG44" s="20">
        <f t="shared" si="7"/>
        <v>378.59808340312696</v>
      </c>
      <c r="BH44" s="59">
        <f t="shared" si="8"/>
        <v>627.20077299763091</v>
      </c>
      <c r="BI44" s="59">
        <f ca="1">AVERAGE(OFFSET($BH$3,0,0,'Données projet'!$E$11+1,1))-AVERAGE(OFFSET($H$3,0,0,'Données projet'!$E$11+1,1))</f>
        <v>446.06835300781546</v>
      </c>
      <c r="BJ44" s="59">
        <f t="shared" si="38"/>
        <v>396.46809188573138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12.155242561987654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12.155242561987654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14.691666666666668</v>
      </c>
      <c r="BY44" s="12">
        <f>IF('Données projet'!$A$114&gt;35,BY43+BX44-CG43,IF(A44&lt;'Données projet'!$A$114,$BV$205^A44,IF(A44='Données projet'!$A$114,'Données projet'!$B$114,BY43+BX44-CG43)))</f>
        <v>320.30833333333328</v>
      </c>
      <c r="BZ44" s="13">
        <f>BY44*VLOOKUP('Données projet'!$B$12,Paramètres!$A$1:$I$89,3,0)*VLOOKUP('Données projet'!$B$12,Paramètres!$A$1:$I$89,5,0)</f>
        <v>149.90429999999998</v>
      </c>
      <c r="CA44" s="13">
        <f t="shared" si="39"/>
        <v>38.55683664471119</v>
      </c>
      <c r="CB44" s="20">
        <f t="shared" si="10"/>
        <v>328.23647965620523</v>
      </c>
      <c r="CC44" s="59">
        <f t="shared" si="11"/>
        <v>576.83916925070923</v>
      </c>
      <c r="CD44" s="59">
        <f ca="1">AVERAGE(OFFSET($CC$3,0,0,'Données projet'!$E$12+1,1))-AVERAGE(OFFSET($H$3,0,0,'Données projet'!$E$12+1,1))</f>
        <v>307.52821153421951</v>
      </c>
      <c r="CE44" s="59">
        <f t="shared" si="40"/>
        <v>221.23619018904222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5.4791666666666652</v>
      </c>
      <c r="CT44" s="12">
        <f>IF('Données projet'!$A$140&gt;35,CT43+CS44-DB43,IF(A44&lt;'Données projet'!$A$140,$CQ$205^A44,IF(A44='Données projet'!$A$140,'Données projet'!$B$140,CT43+CS44-DB43)))</f>
        <v>135.61698717948721</v>
      </c>
      <c r="CU44" s="17">
        <f>CT44*VLOOKUP('Données projet'!$B$13,Paramètres!$A$1:$I$89,3,0)*VLOOKUP('Données projet'!$B$13,Paramètres!$A$1:$I$89,5,0)</f>
        <v>154.44062500000004</v>
      </c>
      <c r="CV44" s="13">
        <f t="shared" si="41"/>
        <v>39.586013722967643</v>
      </c>
      <c r="CW44" s="20">
        <f t="shared" si="13"/>
        <v>337.9297291091687</v>
      </c>
      <c r="CX44" s="59">
        <f t="shared" si="14"/>
        <v>586.53241870367265</v>
      </c>
      <c r="CY44" s="59">
        <f ca="1">AVERAGE(OFFSET($CX$3,0,0,'Données projet'!$E$13+1,1))-AVERAGE(OFFSET($H$3,0,0,'Données projet'!$E$13+1,1))</f>
        <v>598.12133208901378</v>
      </c>
      <c r="CZ44" s="59">
        <f t="shared" si="42"/>
        <v>246.23353541360947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172.2</v>
      </c>
      <c r="DP44" s="17">
        <f>DO44*VLOOKUP('Données projet'!$B$14,Paramètres!$A$1:$I$89,3,0)*VLOOKUP('Données projet'!$B$14,Paramètres!$A$1:$I$89,5,0)</f>
        <v>137.00232</v>
      </c>
      <c r="DQ44" s="13">
        <f t="shared" si="43"/>
        <v>35.609416420931346</v>
      </c>
      <c r="DR44" s="20">
        <f t="shared" si="16"/>
        <v>300.63210759978875</v>
      </c>
      <c r="DS44" s="59">
        <f t="shared" si="17"/>
        <v>549.2347971942927</v>
      </c>
      <c r="DT44" s="59">
        <f ca="1">AVERAGE(OFFSET($DS$3,0,0,'Données projet'!$E$14+1,1))-AVERAGE(OFFSET($H$3,0,0,'Données projet'!$E$14+1,1))</f>
        <v>323.01113210765487</v>
      </c>
      <c r="DU44" s="59">
        <f t="shared" si="44"/>
        <v>311.68541696405975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7.471483827628826</v>
      </c>
      <c r="EB44" s="21">
        <f>EXP(-LN(2)/25)*EB43+(1-EXP(-LN(2)/25))/(LN(2)/25)*Calculateur!DW44*Calculateur!DY44*VLOOKUP('Données projet'!$B$14,Paramètres!$A$1:$I$89,3,0)*0.475*44/12</f>
        <v>13.019445484235314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20.490929311864139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686.92695605720894</v>
      </c>
      <c r="S45" s="59">
        <f ca="1">AVERAGE(OFFSET($R$3,0,0,'Données projet'!$E$9+1,1))-AVERAGE(OFFSET($H$3,0,0,'Données projet'!$E$9+1,1))</f>
        <v>337.99164391755608</v>
      </c>
      <c r="T45" s="59">
        <f t="shared" si="34"/>
        <v>421.45428231923393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188.66025641025641</v>
      </c>
      <c r="AG45" s="12">
        <f>VLOOKUP(A45,'Données projet'!$A$61:$I$81,9,0)</f>
        <v>9.8108974358974379</v>
      </c>
      <c r="AH45" s="12">
        <f t="array" ref="AH45">INDEX(AG:AG,MIN(IF(ISNUMBER(AG45:AG241),ROW(AG45:AG241),"")))</f>
        <v>9.8108974358974379</v>
      </c>
      <c r="AI45" s="13">
        <f>IF('Données projet'!$A$62&gt;35,AI44+AH45-AQ44,IF(A45&lt;'Données projet'!$A$62,$AF$205^A45,IF(A45='Données projet'!$A$62,'Données projet'!$B$62,AI44+AH45-AQ44)))</f>
        <v>188.66025641025638</v>
      </c>
      <c r="AJ45" s="13">
        <f>AI45*VLOOKUP('Données projet'!$B$10,Paramètres!$A$1:$I$89,3,0)*VLOOKUP('Données projet'!$B$10,Paramètres!$A$1:$I$89,5,0)</f>
        <v>191.30149999999998</v>
      </c>
      <c r="AK45" s="13">
        <f t="shared" si="35"/>
        <v>47.827581599047697</v>
      </c>
      <c r="AL45" s="20">
        <f t="shared" si="4"/>
        <v>416.48315045167465</v>
      </c>
      <c r="AM45" s="59">
        <f t="shared" si="5"/>
        <v>665.86181671230941</v>
      </c>
      <c r="AN45" s="59">
        <f ca="1">AVERAGE(OFFSET($AM$3,0,0,'Données projet'!$E$10+1,1))-AVERAGE(OFFSET($H$3,0,0,'Données projet'!$E$10+1,1))</f>
        <v>596.42822894047072</v>
      </c>
      <c r="AO45" s="59">
        <f t="shared" si="36"/>
        <v>298.31525330951047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45.198717948717949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174.00000000000003</v>
      </c>
      <c r="BE45" s="13">
        <f>BD45*VLOOKUP('Données projet'!$B$11,Paramètres!$A$1:$I$89,3,0)*VLOOKUP('Données projet'!$B$11,Paramètres!$A$1:$I$89,5,0)</f>
        <v>181.86480000000006</v>
      </c>
      <c r="BF45" s="13">
        <f t="shared" si="37"/>
        <v>45.73682061391029</v>
      </c>
      <c r="BG45" s="20">
        <f t="shared" si="7"/>
        <v>396.40615590256056</v>
      </c>
      <c r="BH45" s="59">
        <f t="shared" si="8"/>
        <v>645.78482216319526</v>
      </c>
      <c r="BI45" s="59">
        <f ca="1">AVERAGE(OFFSET($BH$3,0,0,'Données projet'!$E$11+1,1))-AVERAGE(OFFSET($H$3,0,0,'Données projet'!$E$11+1,1))</f>
        <v>446.06835300781546</v>
      </c>
      <c r="BJ45" s="59">
        <f t="shared" si="38"/>
        <v>396.46809188573138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11.822856814913676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11.822856814913676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335</v>
      </c>
      <c r="BW45" s="12">
        <f>VLOOKUP(A45,'Données projet'!$A$113:$I$133,9,0)</f>
        <v>14.691666666666668</v>
      </c>
      <c r="BX45" s="12">
        <f t="array" ref="BX45">INDEX(BW:BW,MIN(IF(ISNUMBER(BW45:BW241),ROW(BW45:BW241),"")))</f>
        <v>14.691666666666668</v>
      </c>
      <c r="BY45" s="12">
        <f>IF('Données projet'!$A$114&gt;35,BY44+BX45-CG44,IF(A45&lt;'Données projet'!$A$114,$BV$205^A45,IF(A45='Données projet'!$A$114,'Données projet'!$B$114,BY44+BX45-CG44)))</f>
        <v>334.99999999999994</v>
      </c>
      <c r="BZ45" s="13">
        <f>BY45*VLOOKUP('Données projet'!$B$12,Paramètres!$A$1:$I$89,3,0)*VLOOKUP('Données projet'!$B$12,Paramètres!$A$1:$I$89,5,0)</f>
        <v>156.77999999999997</v>
      </c>
      <c r="CA45" s="13">
        <f t="shared" si="39"/>
        <v>40.115378305457938</v>
      </c>
      <c r="CB45" s="20">
        <f t="shared" si="10"/>
        <v>342.92611721533916</v>
      </c>
      <c r="CC45" s="59">
        <f t="shared" si="11"/>
        <v>592.30478347597386</v>
      </c>
      <c r="CD45" s="59">
        <f ca="1">AVERAGE(OFFSET($CC$3,0,0,'Données projet'!$E$12+1,1))-AVERAGE(OFFSET($H$3,0,0,'Données projet'!$E$12+1,1))</f>
        <v>307.52821153421951</v>
      </c>
      <c r="CE45" s="59">
        <f t="shared" si="40"/>
        <v>221.23619018904222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105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0.30800000000000005</v>
      </c>
      <c r="CJ45" s="16">
        <f>IF(ISNA(VLOOKUP(A45,'Données projet'!$A$113:$I$133,7,0)),0%,VLOOKUP(A45,'Données projet'!$A$113:$I$133,7,0))</f>
        <v>0.44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19.998658617590635</v>
      </c>
      <c r="CM45" s="21">
        <f>EXP(-LN(2)/2)*CM44+(1-EXP(-LN(2)/2))/(LN(2)/2)*CG45*CJ45*VLOOKUP('Données projet'!$B$12,Paramètres!$A$1:$I$89,3,0)*0.475*44/12</f>
        <v>24.480673844198236</v>
      </c>
      <c r="CN45" s="22">
        <f t="shared" si="12"/>
        <v>44.479332461788871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141.09615384615384</v>
      </c>
      <c r="CR45" s="12">
        <f>VLOOKUP(A45,'Données projet'!$A$139:$I$159,9,0)</f>
        <v>5.4791666666666652</v>
      </c>
      <c r="CS45" s="12">
        <f t="array" ref="CS45">INDEX(CR:CR,MIN(IF(ISNUMBER(CR45:CR241),ROW(CR45:CR241),"")))</f>
        <v>5.4791666666666652</v>
      </c>
      <c r="CT45" s="12">
        <f>IF('Données projet'!$A$140&gt;35,CT44+CS45-DB44,IF(A45&lt;'Données projet'!$A$140,$CQ$205^A45,IF(A45='Données projet'!$A$140,'Données projet'!$B$140,CT44+CS45-DB44)))</f>
        <v>141.09615384615387</v>
      </c>
      <c r="CU45" s="17">
        <f>CT45*VLOOKUP('Données projet'!$B$13,Paramètres!$A$1:$I$89,3,0)*VLOOKUP('Données projet'!$B$13,Paramètres!$A$1:$I$89,5,0)</f>
        <v>160.68030000000002</v>
      </c>
      <c r="CV45" s="13">
        <f t="shared" si="41"/>
        <v>40.995921059575288</v>
      </c>
      <c r="CW45" s="20">
        <f t="shared" si="13"/>
        <v>351.25275167876026</v>
      </c>
      <c r="CX45" s="59">
        <f t="shared" si="14"/>
        <v>600.63141793939496</v>
      </c>
      <c r="CY45" s="59">
        <f ca="1">AVERAGE(OFFSET($CX$3,0,0,'Données projet'!$E$13+1,1))-AVERAGE(OFFSET($H$3,0,0,'Données projet'!$E$13+1,1))</f>
        <v>598.12133208901378</v>
      </c>
      <c r="CZ45" s="59">
        <f t="shared" si="42"/>
        <v>246.23353541360947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38.685897435897438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180.39999999999998</v>
      </c>
      <c r="DP45" s="17">
        <f>DO45*VLOOKUP('Données projet'!$B$14,Paramètres!$A$1:$I$89,3,0)*VLOOKUP('Données projet'!$B$14,Paramètres!$A$1:$I$89,5,0)</f>
        <v>143.52624</v>
      </c>
      <c r="DQ45" s="13">
        <f t="shared" si="43"/>
        <v>37.103644337236275</v>
      </c>
      <c r="DR45" s="20">
        <f t="shared" si="16"/>
        <v>314.59704855401981</v>
      </c>
      <c r="DS45" s="59">
        <f t="shared" si="17"/>
        <v>563.97571481465457</v>
      </c>
      <c r="DT45" s="59">
        <f ca="1">AVERAGE(OFFSET($DS$3,0,0,'Données projet'!$E$14+1,1))-AVERAGE(OFFSET($H$3,0,0,'Données projet'!$E$14+1,1))</f>
        <v>323.01113210765487</v>
      </c>
      <c r="DU45" s="59">
        <f t="shared" si="44"/>
        <v>311.68541696405975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7.3249725869241775</v>
      </c>
      <c r="EB45" s="21">
        <f>EXP(-LN(2)/25)*EB44+(1-EXP(-LN(2)/25))/(LN(2)/25)*Calculateur!DW45*Calculateur!DY45*VLOOKUP('Données projet'!$B$14,Paramètres!$A$1:$I$89,3,0)*0.475*44/12</f>
        <v>12.663428062806018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19.988400649730195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707.00291514254423</v>
      </c>
      <c r="S46" s="59">
        <f ca="1">AVERAGE(OFFSET($R$3,0,0,'Données projet'!$E$9+1,1))-AVERAGE(OFFSET($H$3,0,0,'Données projet'!$E$9+1,1))</f>
        <v>337.99164391755608</v>
      </c>
      <c r="T46" s="59">
        <f t="shared" si="34"/>
        <v>421.45428231923393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9.9423076923076934</v>
      </c>
      <c r="AI46" s="13">
        <f>IF('Données projet'!$A$62&gt;35,AI45+AH46-AQ45,IF(A46&lt;'Données projet'!$A$62,$AF$205^A46,IF(A46='Données projet'!$A$62,'Données projet'!$B$62,AI45+AH46-AQ45)))</f>
        <v>153.40384615384613</v>
      </c>
      <c r="AJ46" s="13">
        <f>AI46*VLOOKUP('Données projet'!$B$10,Paramètres!$A$1:$I$89,3,0)*VLOOKUP('Données projet'!$B$10,Paramètres!$A$1:$I$89,5,0)</f>
        <v>155.5515</v>
      </c>
      <c r="AK46" s="13">
        <f t="shared" si="35"/>
        <v>39.837503166873866</v>
      </c>
      <c r="AL46" s="20">
        <f t="shared" si="4"/>
        <v>340.30251384897196</v>
      </c>
      <c r="AM46" s="59">
        <f t="shared" si="5"/>
        <v>590.44369531540406</v>
      </c>
      <c r="AN46" s="59">
        <f ca="1">AVERAGE(OFFSET($AM$3,0,0,'Données projet'!$E$10+1,1))-AVERAGE(OFFSET($H$3,0,0,'Données projet'!$E$10+1,1))</f>
        <v>596.42822894047072</v>
      </c>
      <c r="AO46" s="59">
        <f t="shared" si="36"/>
        <v>298.31525330951047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182.00000000000003</v>
      </c>
      <c r="BE46" s="13">
        <f>BD46*VLOOKUP('Données projet'!$B$11,Paramètres!$A$1:$I$89,3,0)*VLOOKUP('Données projet'!$B$11,Paramètres!$A$1:$I$89,5,0)</f>
        <v>190.22640000000004</v>
      </c>
      <c r="BF46" s="13">
        <f t="shared" si="37"/>
        <v>47.590003207063162</v>
      </c>
      <c r="BG46" s="20">
        <f t="shared" si="7"/>
        <v>414.19690225230175</v>
      </c>
      <c r="BH46" s="59">
        <f t="shared" si="8"/>
        <v>664.33808371873374</v>
      </c>
      <c r="BI46" s="59">
        <f ca="1">AVERAGE(OFFSET($BH$3,0,0,'Données projet'!$E$11+1,1))-AVERAGE(OFFSET($H$3,0,0,'Données projet'!$E$11+1,1))</f>
        <v>446.06835300781546</v>
      </c>
      <c r="BJ46" s="59">
        <f t="shared" si="38"/>
        <v>396.46809188573138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11.499560173572844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11.499560173572844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15</v>
      </c>
      <c r="BY46" s="12">
        <f>IF('Données projet'!$A$114&gt;35,BY45+BX46-CG45,IF(A46&lt;'Données projet'!$A$114,$BV$205^A46,IF(A46='Données projet'!$A$114,'Données projet'!$B$114,BY45+BX46-CG45)))</f>
        <v>244.99999999999994</v>
      </c>
      <c r="BZ46" s="13">
        <f>BY46*VLOOKUP('Données projet'!$B$12,Paramètres!$A$1:$I$89,3,0)*VLOOKUP('Données projet'!$B$12,Paramètres!$A$1:$I$89,5,0)</f>
        <v>114.65999999999997</v>
      </c>
      <c r="CA46" s="13">
        <f t="shared" si="39"/>
        <v>30.426251641117418</v>
      </c>
      <c r="CB46" s="20">
        <f t="shared" si="10"/>
        <v>252.69188827494608</v>
      </c>
      <c r="CC46" s="59">
        <f t="shared" si="11"/>
        <v>502.83306974137815</v>
      </c>
      <c r="CD46" s="59">
        <f ca="1">AVERAGE(OFFSET($CC$3,0,0,'Données projet'!$E$12+1,1))-AVERAGE(OFFSET($H$3,0,0,'Données projet'!$E$12+1,1))</f>
        <v>307.52821153421951</v>
      </c>
      <c r="CE46" s="59">
        <f t="shared" si="40"/>
        <v>221.23619018904222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19.45179424600887</v>
      </c>
      <c r="CM46" s="21">
        <f>EXP(-LN(2)/2)*CM45+(1-EXP(-LN(2)/2))/(LN(2)/2)*CG46*CJ46*VLOOKUP('Données projet'!$B$12,Paramètres!$A$1:$I$89,3,0)*0.475*44/12</f>
        <v>17.310450483248722</v>
      </c>
      <c r="CN46" s="22">
        <f t="shared" si="12"/>
        <v>36.762244729257588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7.143429487179489</v>
      </c>
      <c r="CT46" s="12">
        <f>IF('Données projet'!$A$140&gt;35,CT45+CS46-DB45,IF(A46&lt;'Données projet'!$A$140,$CQ$205^A46,IF(A46='Données projet'!$A$140,'Données projet'!$B$140,CT45+CS46-DB45)))</f>
        <v>109.55368589743594</v>
      </c>
      <c r="CU46" s="17">
        <f>CT46*VLOOKUP('Données projet'!$B$13,Paramètres!$A$1:$I$89,3,0)*VLOOKUP('Données projet'!$B$13,Paramètres!$A$1:$I$89,5,0)</f>
        <v>124.75973750000006</v>
      </c>
      <c r="CV46" s="13">
        <f t="shared" si="41"/>
        <v>32.782604248062903</v>
      </c>
      <c r="CW46" s="20">
        <f t="shared" si="13"/>
        <v>274.38624521120965</v>
      </c>
      <c r="CX46" s="59">
        <f t="shared" si="14"/>
        <v>524.52742667764164</v>
      </c>
      <c r="CY46" s="59">
        <f ca="1">AVERAGE(OFFSET($CX$3,0,0,'Données projet'!$E$13+1,1))-AVERAGE(OFFSET($H$3,0,0,'Données projet'!$E$13+1,1))</f>
        <v>598.12133208901378</v>
      </c>
      <c r="CZ46" s="59">
        <f t="shared" si="42"/>
        <v>246.23353541360947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188.59999999999997</v>
      </c>
      <c r="DP46" s="17">
        <f>DO46*VLOOKUP('Données projet'!$B$14,Paramètres!$A$1:$I$89,3,0)*VLOOKUP('Données projet'!$B$14,Paramètres!$A$1:$I$89,5,0)</f>
        <v>150.05015999999998</v>
      </c>
      <c r="DQ46" s="13">
        <f t="shared" si="43"/>
        <v>38.589984439024569</v>
      </c>
      <c r="DR46" s="20">
        <f t="shared" si="16"/>
        <v>328.54825156463437</v>
      </c>
      <c r="DS46" s="59">
        <f t="shared" si="17"/>
        <v>578.68943303106641</v>
      </c>
      <c r="DT46" s="59">
        <f ca="1">AVERAGE(OFFSET($DS$3,0,0,'Données projet'!$E$14+1,1))-AVERAGE(OFFSET($H$3,0,0,'Données projet'!$E$14+1,1))</f>
        <v>323.01113210765487</v>
      </c>
      <c r="DU46" s="59">
        <f t="shared" si="44"/>
        <v>311.68541696405975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7.1813343422867142</v>
      </c>
      <c r="EB46" s="21">
        <f>EXP(-LN(2)/25)*EB45+(1-EXP(-LN(2)/25))/(LN(2)/25)*Calculateur!DW46*Calculateur!DY46*VLOOKUP('Données projet'!$B$14,Paramètres!$A$1:$I$89,3,0)*0.475*44/12</f>
        <v>12.317145956487849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19.498480298774563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727.04821240037847</v>
      </c>
      <c r="S47" s="59">
        <f ca="1">AVERAGE(OFFSET($R$3,0,0,'Données projet'!$E$9+1,1))-AVERAGE(OFFSET($H$3,0,0,'Données projet'!$E$9+1,1))</f>
        <v>337.99164391755608</v>
      </c>
      <c r="T47" s="59">
        <f t="shared" si="34"/>
        <v>421.45428231923393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9.9423076923076934</v>
      </c>
      <c r="AI47" s="13">
        <f>IF('Données projet'!$A$62&gt;35,AI46+AH47-AQ46,IF(A47&lt;'Données projet'!$A$62,$AF$205^A47,IF(A47='Données projet'!$A$62,'Données projet'!$B$62,AI46+AH47-AQ46)))</f>
        <v>163.34615384615381</v>
      </c>
      <c r="AJ47" s="13">
        <f>AI47*VLOOKUP('Données projet'!$B$10,Paramètres!$A$1:$I$89,3,0)*VLOOKUP('Données projet'!$B$10,Paramètres!$A$1:$I$89,5,0)</f>
        <v>165.63299999999998</v>
      </c>
      <c r="AK47" s="13">
        <f t="shared" si="35"/>
        <v>42.11048442706786</v>
      </c>
      <c r="AL47" s="20">
        <f t="shared" si="4"/>
        <v>361.8199020438098</v>
      </c>
      <c r="AM47" s="59">
        <f t="shared" si="5"/>
        <v>612.71037078194718</v>
      </c>
      <c r="AN47" s="59">
        <f ca="1">AVERAGE(OFFSET($AM$3,0,0,'Données projet'!$E$10+1,1))-AVERAGE(OFFSET($H$3,0,0,'Données projet'!$E$10+1,1))</f>
        <v>596.42822894047072</v>
      </c>
      <c r="AO47" s="59">
        <f t="shared" si="36"/>
        <v>298.31525330951047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190.00000000000003</v>
      </c>
      <c r="BE47" s="13">
        <f>BD47*VLOOKUP('Données projet'!$B$11,Paramètres!$A$1:$I$89,3,0)*VLOOKUP('Données projet'!$B$11,Paramètres!$A$1:$I$89,5,0)</f>
        <v>198.58800000000005</v>
      </c>
      <c r="BF47" s="13">
        <f t="shared" si="37"/>
        <v>49.433725020229176</v>
      </c>
      <c r="BG47" s="20">
        <f t="shared" si="7"/>
        <v>431.97117107689922</v>
      </c>
      <c r="BH47" s="59">
        <f t="shared" si="8"/>
        <v>682.8616398150366</v>
      </c>
      <c r="BI47" s="59">
        <f ca="1">AVERAGE(OFFSET($BH$3,0,0,'Données projet'!$E$11+1,1))-AVERAGE(OFFSET($H$3,0,0,'Données projet'!$E$11+1,1))</f>
        <v>446.06835300781546</v>
      </c>
      <c r="BJ47" s="59">
        <f t="shared" si="38"/>
        <v>396.46809188573138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11.185104095890907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11.185104095890907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15</v>
      </c>
      <c r="BY47" s="12">
        <f>IF('Données projet'!$A$114&gt;35,BY46+BX47-CG46,IF(A47&lt;'Données projet'!$A$114,$BV$205^A47,IF(A47='Données projet'!$A$114,'Données projet'!$B$114,BY46+BX47-CG46)))</f>
        <v>259.99999999999994</v>
      </c>
      <c r="BZ47" s="13">
        <f>BY47*VLOOKUP('Données projet'!$B$12,Paramètres!$A$1:$I$89,3,0)*VLOOKUP('Données projet'!$B$12,Paramètres!$A$1:$I$89,5,0)</f>
        <v>121.67999999999998</v>
      </c>
      <c r="CA47" s="13">
        <f t="shared" si="39"/>
        <v>32.066514091456256</v>
      </c>
      <c r="CB47" s="20">
        <f t="shared" si="10"/>
        <v>267.77517870928619</v>
      </c>
      <c r="CC47" s="59">
        <f t="shared" si="11"/>
        <v>518.66564744742368</v>
      </c>
      <c r="CD47" s="59">
        <f ca="1">AVERAGE(OFFSET($CC$3,0,0,'Données projet'!$E$12+1,1))-AVERAGE(OFFSET($H$3,0,0,'Données projet'!$E$12+1,1))</f>
        <v>307.52821153421951</v>
      </c>
      <c r="CE47" s="59">
        <f t="shared" si="40"/>
        <v>221.23619018904222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18.919883909426357</v>
      </c>
      <c r="CM47" s="21">
        <f>EXP(-LN(2)/2)*CM46+(1-EXP(-LN(2)/2))/(LN(2)/2)*CG47*CJ47*VLOOKUP('Données projet'!$B$12,Paramètres!$A$1:$I$89,3,0)*0.475*44/12</f>
        <v>12.240336922099122</v>
      </c>
      <c r="CN47" s="22">
        <f t="shared" si="12"/>
        <v>31.160220831525479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7.143429487179489</v>
      </c>
      <c r="CT47" s="12">
        <f>IF('Données projet'!$A$140&gt;35,CT46+CS47-DB46,IF(A47&lt;'Données projet'!$A$140,$CQ$205^A47,IF(A47='Données projet'!$A$140,'Données projet'!$B$140,CT46+CS47-DB46)))</f>
        <v>116.69711538461543</v>
      </c>
      <c r="CU47" s="17">
        <f>CT47*VLOOKUP('Données projet'!$B$13,Paramètres!$A$1:$I$89,3,0)*VLOOKUP('Données projet'!$B$13,Paramètres!$A$1:$I$89,5,0)</f>
        <v>132.89467500000006</v>
      </c>
      <c r="CV47" s="13">
        <f t="shared" si="41"/>
        <v>34.664374023981871</v>
      </c>
      <c r="CW47" s="20">
        <f t="shared" si="13"/>
        <v>291.83201038343526</v>
      </c>
      <c r="CX47" s="59">
        <f t="shared" si="14"/>
        <v>542.72247912157263</v>
      </c>
      <c r="CY47" s="59">
        <f ca="1">AVERAGE(OFFSET($CX$3,0,0,'Données projet'!$E$13+1,1))-AVERAGE(OFFSET($H$3,0,0,'Données projet'!$E$13+1,1))</f>
        <v>598.12133208901378</v>
      </c>
      <c r="CZ47" s="59">
        <f t="shared" si="42"/>
        <v>246.23353541360947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196.79999999999995</v>
      </c>
      <c r="DP47" s="17">
        <f>DO47*VLOOKUP('Données projet'!$B$14,Paramètres!$A$1:$I$89,3,0)*VLOOKUP('Données projet'!$B$14,Paramètres!$A$1:$I$89,5,0)</f>
        <v>156.57407999999998</v>
      </c>
      <c r="DQ47" s="13">
        <f t="shared" si="43"/>
        <v>40.068818872547467</v>
      </c>
      <c r="DR47" s="20">
        <f t="shared" si="16"/>
        <v>342.48638220302013</v>
      </c>
      <c r="DS47" s="59">
        <f t="shared" si="17"/>
        <v>593.3768509411575</v>
      </c>
      <c r="DT47" s="59">
        <f ca="1">AVERAGE(OFFSET($DS$3,0,0,'Données projet'!$E$14+1,1))-AVERAGE(OFFSET($H$3,0,0,'Données projet'!$E$14+1,1))</f>
        <v>323.01113210765487</v>
      </c>
      <c r="DU47" s="59">
        <f t="shared" si="44"/>
        <v>311.68541696405975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7.0405127560159135</v>
      </c>
      <c r="EB47" s="21">
        <f>EXP(-LN(2)/25)*EB46+(1-EXP(-LN(2)/25))/(LN(2)/25)*Calculateur!DW47*Calculateur!DY47*VLOOKUP('Données projet'!$B$14,Paramètres!$A$1:$I$89,3,0)*0.475*44/12</f>
        <v>11.980332952577134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19.020845708593047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747.06388276942926</v>
      </c>
      <c r="S48" s="59">
        <f ca="1">AVERAGE(OFFSET($R$3,0,0,'Données projet'!$E$9+1,1))-AVERAGE(OFFSET($H$3,0,0,'Données projet'!$E$9+1,1))</f>
        <v>337.99164391755608</v>
      </c>
      <c r="T48" s="59">
        <f t="shared" si="34"/>
        <v>421.45428231923393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9.9423076923076934</v>
      </c>
      <c r="AI48" s="13">
        <f>IF('Données projet'!$A$62&gt;35,AI47+AH48-AQ47,IF(A48&lt;'Données projet'!$A$62,$AF$205^A48,IF(A48='Données projet'!$A$62,'Données projet'!$B$62,AI47+AH48-AQ47)))</f>
        <v>173.28846153846149</v>
      </c>
      <c r="AJ48" s="13">
        <f>AI48*VLOOKUP('Données projet'!$B$10,Paramètres!$A$1:$I$89,3,0)*VLOOKUP('Données projet'!$B$10,Paramètres!$A$1:$I$89,5,0)</f>
        <v>175.71449999999996</v>
      </c>
      <c r="AK48" s="13">
        <f t="shared" si="35"/>
        <v>44.367408381431943</v>
      </c>
      <c r="AL48" s="20">
        <f t="shared" si="4"/>
        <v>383.30932376432725</v>
      </c>
      <c r="AM48" s="59">
        <f t="shared" si="5"/>
        <v>634.93608131516135</v>
      </c>
      <c r="AN48" s="59">
        <f ca="1">AVERAGE(OFFSET($AM$3,0,0,'Données projet'!$E$10+1,1))-AVERAGE(OFFSET($H$3,0,0,'Données projet'!$E$10+1,1))</f>
        <v>596.42822894047072</v>
      </c>
      <c r="AO48" s="59">
        <f t="shared" si="36"/>
        <v>298.31525330951047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198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198.00000000000003</v>
      </c>
      <c r="BE48" s="13">
        <f>BD48*VLOOKUP('Données projet'!$B$11,Paramètres!$A$1:$I$89,3,0)*VLOOKUP('Données projet'!$B$11,Paramètres!$A$1:$I$89,5,0)</f>
        <v>206.94960000000003</v>
      </c>
      <c r="BF48" s="13">
        <f t="shared" si="37"/>
        <v>51.268429949375587</v>
      </c>
      <c r="BG48" s="20">
        <f t="shared" si="7"/>
        <v>449.72973549516246</v>
      </c>
      <c r="BH48" s="59">
        <f t="shared" si="8"/>
        <v>701.35649304599656</v>
      </c>
      <c r="BI48" s="59">
        <f ca="1">AVERAGE(OFFSET($BH$3,0,0,'Données projet'!$E$11+1,1))-AVERAGE(OFFSET($H$3,0,0,'Données projet'!$E$11+1,1))</f>
        <v>446.06835300781546</v>
      </c>
      <c r="BJ48" s="59">
        <f t="shared" si="38"/>
        <v>396.46809188573138</v>
      </c>
      <c r="BK48" s="15">
        <f>IF(ISNA(VLOOKUP(A48,'Données projet'!$A$87:$I$107,3,0)),0,VLOOKUP(A48,'Données projet'!$A$87:$I$107,3,0))</f>
        <v>6</v>
      </c>
      <c r="BL48" s="15" t="str">
        <f>IF(ISNA(VLOOKUP(A48,'Données projet'!$A$87:$I$107,4,0)),0,VLOOKUP(A48,'Données projet'!$A$87:$I$107,4,0))</f>
        <v>26</v>
      </c>
      <c r="BM48" s="16">
        <f>IF(ISNA(VLOOKUP(A48,'Données projet'!$A$87:$I$107,5,0)),0%,VLOOKUP(A48,'Données projet'!$A$87:$I$107,5,0)*VLOOKUP('Données projet'!$B$11,Paramètres!$A$1:$I$89,7,0))</f>
        <v>0.17200000000000001</v>
      </c>
      <c r="BN48" s="16">
        <f>IF(ISNA(VLOOKUP(A48,'Données projet'!$A$87:$I$107,6,0)),0%,VLOOKUP(A48,'Données projet'!$A$87:$I$107,6,0)*VLOOKUP('Données projet'!$B$11,Paramètres!$A$1:$I$89,7,0))</f>
        <v>0.17200000000000001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5.1671171291560194</v>
      </c>
      <c r="BQ48" s="21">
        <f>EXP(-LN(2)/25)*BQ47+(1-EXP(-LN(2)/25))/(LN(2)/25)*Calculateur!BL48*Calculateur!BN48*VLOOKUP('Données projet'!$B$11,Paramètres!$A$1:$I$89,3,0)*0.475*44/12</f>
        <v>16.02601905638226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21.193136185538279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15</v>
      </c>
      <c r="BY48" s="12">
        <f>IF('Données projet'!$A$114&gt;35,BY47+BX48-CG47,IF(A48&lt;'Données projet'!$A$114,$BV$205^A48,IF(A48='Données projet'!$A$114,'Données projet'!$B$114,BY47+BX48-CG47)))</f>
        <v>274.99999999999994</v>
      </c>
      <c r="BZ48" s="13">
        <f>BY48*VLOOKUP('Données projet'!$B$12,Paramètres!$A$1:$I$89,3,0)*VLOOKUP('Données projet'!$B$12,Paramètres!$A$1:$I$89,5,0)</f>
        <v>128.69999999999996</v>
      </c>
      <c r="CA48" s="13">
        <f t="shared" si="39"/>
        <v>33.695792019186115</v>
      </c>
      <c r="CB48" s="20">
        <f t="shared" si="10"/>
        <v>282.83933776674911</v>
      </c>
      <c r="CC48" s="59">
        <f t="shared" si="11"/>
        <v>534.46609531758327</v>
      </c>
      <c r="CD48" s="59">
        <f ca="1">AVERAGE(OFFSET($CC$3,0,0,'Données projet'!$E$12+1,1))-AVERAGE(OFFSET($H$3,0,0,'Données projet'!$E$12+1,1))</f>
        <v>307.52821153421951</v>
      </c>
      <c r="CE48" s="59">
        <f t="shared" si="40"/>
        <v>221.23619018904222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18.402518688969639</v>
      </c>
      <c r="CM48" s="21">
        <f>EXP(-LN(2)/2)*CM47+(1-EXP(-LN(2)/2))/(LN(2)/2)*CG48*CJ48*VLOOKUP('Données projet'!$B$12,Paramètres!$A$1:$I$89,3,0)*0.475*44/12</f>
        <v>8.6552252416243629</v>
      </c>
      <c r="CN48" s="22">
        <f t="shared" si="12"/>
        <v>27.057743930594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7.143429487179489</v>
      </c>
      <c r="CT48" s="12">
        <f>IF('Données projet'!$A$140&gt;35,CT47+CS48-DB47,IF(A48&lt;'Données projet'!$A$140,$CQ$205^A48,IF(A48='Données projet'!$A$140,'Données projet'!$B$140,CT47+CS48-DB47)))</f>
        <v>123.84054487179492</v>
      </c>
      <c r="CU48" s="17">
        <f>CT48*VLOOKUP('Données projet'!$B$13,Paramètres!$A$1:$I$89,3,0)*VLOOKUP('Données projet'!$B$13,Paramètres!$A$1:$I$89,5,0)</f>
        <v>141.02961250000007</v>
      </c>
      <c r="CV48" s="13">
        <f t="shared" si="41"/>
        <v>36.532774577628814</v>
      </c>
      <c r="CW48" s="20">
        <f t="shared" si="13"/>
        <v>309.25449082687032</v>
      </c>
      <c r="CX48" s="59">
        <f t="shared" si="14"/>
        <v>560.88124837770442</v>
      </c>
      <c r="CY48" s="59">
        <f ca="1">AVERAGE(OFFSET($CX$3,0,0,'Données projet'!$E$13+1,1))-AVERAGE(OFFSET($H$3,0,0,'Données projet'!$E$13+1,1))</f>
        <v>598.12133208901378</v>
      </c>
      <c r="CZ48" s="59">
        <f t="shared" si="42"/>
        <v>246.23353541360947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205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204.99999999999994</v>
      </c>
      <c r="DP48" s="17">
        <f>DO48*VLOOKUP('Données projet'!$B$14,Paramètres!$A$1:$I$89,3,0)*VLOOKUP('Données projet'!$B$14,Paramètres!$A$1:$I$89,5,0)</f>
        <v>163.09799999999996</v>
      </c>
      <c r="DQ48" s="13">
        <f t="shared" si="43"/>
        <v>41.540496136845142</v>
      </c>
      <c r="DR48" s="20">
        <f t="shared" si="16"/>
        <v>356.4120474383385</v>
      </c>
      <c r="DS48" s="59">
        <f t="shared" si="17"/>
        <v>608.0388049891726</v>
      </c>
      <c r="DT48" s="59">
        <f ca="1">AVERAGE(OFFSET($DS$3,0,0,'Données projet'!$E$14+1,1))-AVERAGE(OFFSET($H$3,0,0,'Données projet'!$E$14+1,1))</f>
        <v>323.01113210765487</v>
      </c>
      <c r="DU48" s="59">
        <f t="shared" si="44"/>
        <v>311.68541696405975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0.31318181818181823</v>
      </c>
      <c r="DY48" s="16">
        <f>IF(ISNA(VLOOKUP(A48,'Données projet'!$A$165:$I$185,6,0)),0%,VLOOKUP(A48,'Données projet'!$A$165:$I$185,6,0)*VLOOKUP('Données projet'!$B$14,Paramètres!$A$1:$I$89,7,0))</f>
        <v>0.14454545454545453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12.962291887118898</v>
      </c>
      <c r="EB48" s="21">
        <f>EXP(-LN(2)/25)*EB47+(1-EXP(-LN(2)/25))/(LN(2)/25)*Calculateur!DW48*Calculateur!DY48*VLOOKUP('Données projet'!$B$14,Paramètres!$A$1:$I$89,3,0)*0.475*44/12</f>
        <v>14.438566762134029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27.400858649252925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767.05088944771944</v>
      </c>
      <c r="S49" s="59">
        <f ca="1">AVERAGE(OFFSET($R$3,0,0,'Données projet'!$E$9+1,1))-AVERAGE(OFFSET($H$3,0,0,'Données projet'!$E$9+1,1))</f>
        <v>337.99164391755608</v>
      </c>
      <c r="T49" s="59">
        <f t="shared" si="34"/>
        <v>421.45428231923393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9.9423076923076934</v>
      </c>
      <c r="AI49" s="13">
        <f>IF('Données projet'!$A$62&gt;35,AI48+AH49-AQ48,IF(A49&lt;'Données projet'!$A$62,$AF$205^A49,IF(A49='Données projet'!$A$62,'Données projet'!$B$62,AI48+AH49-AQ48)))</f>
        <v>183.23076923076917</v>
      </c>
      <c r="AJ49" s="13">
        <f>AI49*VLOOKUP('Données projet'!$B$10,Paramètres!$A$1:$I$89,3,0)*VLOOKUP('Données projet'!$B$10,Paramètres!$A$1:$I$89,5,0)</f>
        <v>185.79599999999996</v>
      </c>
      <c r="AK49" s="13">
        <f t="shared" si="35"/>
        <v>46.60930127448345</v>
      </c>
      <c r="AL49" s="20">
        <f t="shared" si="4"/>
        <v>404.77256638639187</v>
      </c>
      <c r="AM49" s="59">
        <f t="shared" si="5"/>
        <v>657.12283978511755</v>
      </c>
      <c r="AN49" s="59">
        <f ca="1">AVERAGE(OFFSET($AM$3,0,0,'Données projet'!$E$10+1,1))-AVERAGE(OFFSET($H$3,0,0,'Données projet'!$E$10+1,1))</f>
        <v>596.42822894047072</v>
      </c>
      <c r="AO49" s="59">
        <f t="shared" si="36"/>
        <v>298.31525330951047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7.4</v>
      </c>
      <c r="BD49" s="12">
        <f>IF('Données projet'!$A$88&gt;35,BD48+BC49-BL48,IF(A49&lt;'Données projet'!$A$88,$BA$205^A49,IF(A49='Données projet'!$A$88,'Données projet'!$B$88,BD48+BC49-BL48)))</f>
        <v>179.40000000000003</v>
      </c>
      <c r="BE49" s="13">
        <f>BD49*VLOOKUP('Données projet'!$B$11,Paramètres!$A$1:$I$89,3,0)*VLOOKUP('Données projet'!$B$11,Paramètres!$A$1:$I$89,5,0)</f>
        <v>187.50888000000006</v>
      </c>
      <c r="BF49" s="13">
        <f t="shared" si="37"/>
        <v>46.988779262414276</v>
      </c>
      <c r="BG49" s="20">
        <f t="shared" si="7"/>
        <v>408.416756548705</v>
      </c>
      <c r="BH49" s="59">
        <f t="shared" si="8"/>
        <v>660.76702994743061</v>
      </c>
      <c r="BI49" s="59">
        <f ca="1">AVERAGE(OFFSET($BH$3,0,0,'Données projet'!$E$11+1,1))-AVERAGE(OFFSET($H$3,0,0,'Données projet'!$E$11+1,1))</f>
        <v>446.06835300781546</v>
      </c>
      <c r="BJ49" s="59">
        <f t="shared" si="38"/>
        <v>396.46809188573138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5.0657931138835206</v>
      </c>
      <c r="BQ49" s="21">
        <f>EXP(-LN(2)/25)*BQ48+(1-EXP(-LN(2)/25))/(LN(2)/25)*Calculateur!BL49*Calculateur!BN49*VLOOKUP('Données projet'!$B$11,Paramètres!$A$1:$I$89,3,0)*0.475*44/12</f>
        <v>15.587786722513773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20.653579836397292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</v>
      </c>
      <c r="BY49" s="12">
        <f>IF('Données projet'!$A$114&gt;35,BY48+BX49-CG48,IF(A49&lt;'Données projet'!$A$114,$BV$205^A49,IF(A49='Données projet'!$A$114,'Données projet'!$B$114,BY48+BX49-CG48)))</f>
        <v>289.99999999999994</v>
      </c>
      <c r="BZ49" s="13">
        <f>BY49*VLOOKUP('Données projet'!$B$12,Paramètres!$A$1:$I$89,3,0)*VLOOKUP('Données projet'!$B$12,Paramètres!$A$1:$I$89,5,0)</f>
        <v>135.71999999999997</v>
      </c>
      <c r="CA49" s="13">
        <f t="shared" si="39"/>
        <v>35.314752882348131</v>
      </c>
      <c r="CB49" s="20">
        <f t="shared" si="10"/>
        <v>297.88552793675626</v>
      </c>
      <c r="CC49" s="59">
        <f t="shared" si="11"/>
        <v>550.23580133548194</v>
      </c>
      <c r="CD49" s="59">
        <f ca="1">AVERAGE(OFFSET($CC$3,0,0,'Données projet'!$E$12+1,1))-AVERAGE(OFFSET($H$3,0,0,'Données projet'!$E$12+1,1))</f>
        <v>307.52821153421951</v>
      </c>
      <c r="CE49" s="59">
        <f t="shared" si="40"/>
        <v>221.23619018904222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17.899300847673366</v>
      </c>
      <c r="CM49" s="21">
        <f>EXP(-LN(2)/2)*CM48+(1-EXP(-LN(2)/2))/(LN(2)/2)*CG49*CJ49*VLOOKUP('Données projet'!$B$12,Paramètres!$A$1:$I$89,3,0)*0.475*44/12</f>
        <v>6.1201684610495617</v>
      </c>
      <c r="CN49" s="22">
        <f t="shared" si="12"/>
        <v>24.019469308722929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7.143429487179489</v>
      </c>
      <c r="CT49" s="12">
        <f>IF('Données projet'!$A$140&gt;35,CT48+CS49-DB48,IF(A49&lt;'Données projet'!$A$140,$CQ$205^A49,IF(A49='Données projet'!$A$140,'Données projet'!$B$140,CT48+CS49-DB48)))</f>
        <v>130.98397435897442</v>
      </c>
      <c r="CU49" s="17">
        <f>CT49*VLOOKUP('Données projet'!$B$13,Paramètres!$A$1:$I$89,3,0)*VLOOKUP('Données projet'!$B$13,Paramètres!$A$1:$I$89,5,0)</f>
        <v>149.16455000000008</v>
      </c>
      <c r="CV49" s="13">
        <f t="shared" si="41"/>
        <v>38.38866493884727</v>
      </c>
      <c r="CW49" s="20">
        <f t="shared" si="13"/>
        <v>326.6551826851591</v>
      </c>
      <c r="CX49" s="59">
        <f t="shared" si="14"/>
        <v>579.00545608388472</v>
      </c>
      <c r="CY49" s="59">
        <f ca="1">AVERAGE(OFFSET($CX$3,0,0,'Données projet'!$E$13+1,1))-AVERAGE(OFFSET($H$3,0,0,'Données projet'!$E$13+1,1))</f>
        <v>598.12133208901378</v>
      </c>
      <c r="CZ49" s="59">
        <f t="shared" si="42"/>
        <v>246.23353541360947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190.19999999999993</v>
      </c>
      <c r="DP49" s="17">
        <f>DO49*VLOOKUP('Données projet'!$B$14,Paramètres!$A$1:$I$89,3,0)*VLOOKUP('Données projet'!$B$14,Paramètres!$A$1:$I$89,5,0)</f>
        <v>151.32311999999996</v>
      </c>
      <c r="DQ49" s="13">
        <f t="shared" si="43"/>
        <v>38.879115530839606</v>
      </c>
      <c r="DR49" s="20">
        <f t="shared" si="16"/>
        <v>331.26889354954557</v>
      </c>
      <c r="DS49" s="59">
        <f t="shared" si="17"/>
        <v>583.61916694827119</v>
      </c>
      <c r="DT49" s="59">
        <f ca="1">AVERAGE(OFFSET($DS$3,0,0,'Données projet'!$E$14+1,1))-AVERAGE(OFFSET($H$3,0,0,'Données projet'!$E$14+1,1))</f>
        <v>323.01113210765487</v>
      </c>
      <c r="DU49" s="59">
        <f t="shared" si="44"/>
        <v>311.68541696405975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12.708109249429873</v>
      </c>
      <c r="EB49" s="21">
        <f>EXP(-LN(2)/25)*EB48+(1-EXP(-LN(2)/25))/(LN(2)/25)*Calculateur!DW49*Calculateur!DY49*VLOOKUP('Données projet'!$B$14,Paramètres!$A$1:$I$89,3,0)*0.475*44/12</f>
        <v>14.043743394732248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26.75185264416212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787.01013203631021</v>
      </c>
      <c r="S50" s="59">
        <f ca="1">AVERAGE(OFFSET($R$3,0,0,'Données projet'!$E$9+1,1))-AVERAGE(OFFSET($H$3,0,0,'Données projet'!$E$9+1,1))</f>
        <v>337.99164391755608</v>
      </c>
      <c r="T50" s="59">
        <f t="shared" si="34"/>
        <v>421.45428231923393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9.9423076923076934</v>
      </c>
      <c r="AI50" s="13">
        <f>IF('Données projet'!$A$62&gt;35,AI49+AH50-AQ49,IF(A50&lt;'Données projet'!$A$62,$AF$205^A50,IF(A50='Données projet'!$A$62,'Données projet'!$B$62,AI49+AH50-AQ49)))</f>
        <v>193.17307692307685</v>
      </c>
      <c r="AJ50" s="13">
        <f>AI50*VLOOKUP('Données projet'!$B$10,Paramètres!$A$1:$I$89,3,0)*VLOOKUP('Données projet'!$B$10,Paramètres!$A$1:$I$89,5,0)</f>
        <v>195.87749999999994</v>
      </c>
      <c r="AK50" s="13">
        <f t="shared" si="35"/>
        <v>48.837071690401778</v>
      </c>
      <c r="AL50" s="20">
        <f t="shared" si="4"/>
        <v>426.21121236078301</v>
      </c>
      <c r="AM50" s="59">
        <f t="shared" si="5"/>
        <v>679.27245022497846</v>
      </c>
      <c r="AN50" s="59">
        <f ca="1">AVERAGE(OFFSET($AM$3,0,0,'Données projet'!$E$10+1,1))-AVERAGE(OFFSET($H$3,0,0,'Données projet'!$E$10+1,1))</f>
        <v>596.42822894047072</v>
      </c>
      <c r="AO50" s="59">
        <f t="shared" si="36"/>
        <v>298.31525330951047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7.4</v>
      </c>
      <c r="BD50" s="12">
        <f>IF('Données projet'!$A$88&gt;35,BD49+BC50-BL49,IF(A50&lt;'Données projet'!$A$88,$BA$205^A50,IF(A50='Données projet'!$A$88,'Données projet'!$B$88,BD49+BC50-BL49)))</f>
        <v>186.80000000000004</v>
      </c>
      <c r="BE50" s="13">
        <f>BD50*VLOOKUP('Données projet'!$B$11,Paramètres!$A$1:$I$89,3,0)*VLOOKUP('Données projet'!$B$11,Paramètres!$A$1:$I$89,5,0)</f>
        <v>195.24336000000005</v>
      </c>
      <c r="BF50" s="13">
        <f t="shared" si="37"/>
        <v>48.697342276114703</v>
      </c>
      <c r="BG50" s="20">
        <f t="shared" si="7"/>
        <v>424.86338979756653</v>
      </c>
      <c r="BH50" s="59">
        <f t="shared" si="8"/>
        <v>677.92462766176186</v>
      </c>
      <c r="BI50" s="59">
        <f ca="1">AVERAGE(OFFSET($BH$3,0,0,'Données projet'!$E$11+1,1))-AVERAGE(OFFSET($H$3,0,0,'Données projet'!$E$11+1,1))</f>
        <v>446.06835300781546</v>
      </c>
      <c r="BJ50" s="59">
        <f t="shared" si="38"/>
        <v>396.46809188573138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4.9664560007489689</v>
      </c>
      <c r="BQ50" s="21">
        <f>EXP(-LN(2)/25)*BQ49+(1-EXP(-LN(2)/25))/(LN(2)/25)*Calculateur!BL50*Calculateur!BN50*VLOOKUP('Données projet'!$B$11,Paramètres!$A$1:$I$89,3,0)*0.475*44/12</f>
        <v>15.161537874860556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20.127993875609526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</v>
      </c>
      <c r="BY50" s="12">
        <f>IF('Données projet'!$A$114&gt;35,BY49+BX50-CG49,IF(A50&lt;'Données projet'!$A$114,$BV$205^A50,IF(A50='Données projet'!$A$114,'Données projet'!$B$114,BY49+BX50-CG49)))</f>
        <v>304.99999999999994</v>
      </c>
      <c r="BZ50" s="13">
        <f>BY50*VLOOKUP('Données projet'!$B$12,Paramètres!$A$1:$I$89,3,0)*VLOOKUP('Données projet'!$B$12,Paramètres!$A$1:$I$89,5,0)</f>
        <v>142.73999999999995</v>
      </c>
      <c r="CA50" s="13">
        <f t="shared" si="39"/>
        <v>36.923991191656064</v>
      </c>
      <c r="CB50" s="20">
        <f t="shared" si="10"/>
        <v>312.9147846588009</v>
      </c>
      <c r="CC50" s="59">
        <f t="shared" si="11"/>
        <v>565.97602252299635</v>
      </c>
      <c r="CD50" s="59">
        <f ca="1">AVERAGE(OFFSET($CC$3,0,0,'Données projet'!$E$12+1,1))-AVERAGE(OFFSET($H$3,0,0,'Données projet'!$E$12+1,1))</f>
        <v>307.52821153421951</v>
      </c>
      <c r="CE50" s="59">
        <f t="shared" si="40"/>
        <v>221.23619018904222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17.409843524710418</v>
      </c>
      <c r="CM50" s="21">
        <f>EXP(-LN(2)/2)*CM49+(1-EXP(-LN(2)/2))/(LN(2)/2)*CG50*CJ50*VLOOKUP('Données projet'!$B$12,Paramètres!$A$1:$I$89,3,0)*0.475*44/12</f>
        <v>4.3276126208121823</v>
      </c>
      <c r="CN50" s="22">
        <f t="shared" si="12"/>
        <v>21.7374561455226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7.143429487179489</v>
      </c>
      <c r="CT50" s="12">
        <f>IF('Données projet'!$A$140&gt;35,CT49+CS50-DB49,IF(A50&lt;'Données projet'!$A$140,$CQ$205^A50,IF(A50='Données projet'!$A$140,'Données projet'!$B$140,CT49+CS50-DB49)))</f>
        <v>138.12740384615392</v>
      </c>
      <c r="CU50" s="17">
        <f>CT50*VLOOKUP('Données projet'!$B$13,Paramètres!$A$1:$I$89,3,0)*VLOOKUP('Données projet'!$B$13,Paramètres!$A$1:$I$89,5,0)</f>
        <v>157.29948750000008</v>
      </c>
      <c r="CV50" s="13">
        <f t="shared" si="41"/>
        <v>40.23280514839594</v>
      </c>
      <c r="CW50" s="20">
        <f t="shared" si="13"/>
        <v>344.03540969595639</v>
      </c>
      <c r="CX50" s="59">
        <f t="shared" si="14"/>
        <v>597.09664756015172</v>
      </c>
      <c r="CY50" s="59">
        <f ca="1">AVERAGE(OFFSET($CX$3,0,0,'Données projet'!$E$13+1,1))-AVERAGE(OFFSET($H$3,0,0,'Données projet'!$E$13+1,1))</f>
        <v>598.12133208901378</v>
      </c>
      <c r="CZ50" s="59">
        <f t="shared" si="42"/>
        <v>246.23353541360947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197.39999999999992</v>
      </c>
      <c r="DP50" s="17">
        <f>DO50*VLOOKUP('Données projet'!$B$14,Paramètres!$A$1:$I$89,3,0)*VLOOKUP('Données projet'!$B$14,Paramètres!$A$1:$I$89,5,0)</f>
        <v>157.05143999999996</v>
      </c>
      <c r="DQ50" s="13">
        <f t="shared" si="43"/>
        <v>40.176741230099708</v>
      </c>
      <c r="DR50" s="20">
        <f t="shared" si="16"/>
        <v>343.50574897575689</v>
      </c>
      <c r="DS50" s="59">
        <f t="shared" si="17"/>
        <v>596.56698683995228</v>
      </c>
      <c r="DT50" s="59">
        <f ca="1">AVERAGE(OFFSET($DS$3,0,0,'Données projet'!$E$14+1,1))-AVERAGE(OFFSET($H$3,0,0,'Données projet'!$E$14+1,1))</f>
        <v>323.01113210765487</v>
      </c>
      <c r="DU50" s="59">
        <f t="shared" si="44"/>
        <v>311.68541696405975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12.458910978229829</v>
      </c>
      <c r="EB50" s="21">
        <f>EXP(-LN(2)/25)*EB49+(1-EXP(-LN(2)/25))/(LN(2)/25)*Calculateur!DW50*Calculateur!DY50*VLOOKUP('Données projet'!$B$14,Paramètres!$A$1:$I$89,3,0)*0.475*44/12</f>
        <v>13.659716493074926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26.118627471304755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806.94245345739535</v>
      </c>
      <c r="S51" s="59">
        <f ca="1">AVERAGE(OFFSET($R$3,0,0,'Données projet'!$E$9+1,1))-AVERAGE(OFFSET($H$3,0,0,'Données projet'!$E$9+1,1))</f>
        <v>337.99164391755608</v>
      </c>
      <c r="T51" s="59">
        <f t="shared" si="34"/>
        <v>421.45428231923393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9.9423076923076934</v>
      </c>
      <c r="AI51" s="13">
        <f>IF('Données projet'!$A$62&gt;35,AI50+AH51-AQ50,IF(A51&lt;'Données projet'!$A$62,$AF$205^A51,IF(A51='Données projet'!$A$62,'Données projet'!$B$62,AI50+AH51-AQ50)))</f>
        <v>203.11538461538453</v>
      </c>
      <c r="AJ51" s="13">
        <f>AI51*VLOOKUP('Données projet'!$B$10,Paramètres!$A$1:$I$89,3,0)*VLOOKUP('Données projet'!$B$10,Paramètres!$A$1:$I$89,5,0)</f>
        <v>205.95899999999992</v>
      </c>
      <c r="AK51" s="13">
        <f t="shared" si="35"/>
        <v>51.0515294039621</v>
      </c>
      <c r="AL51" s="20">
        <f t="shared" si="4"/>
        <v>447.62667204523387</v>
      </c>
      <c r="AM51" s="59">
        <f t="shared" si="5"/>
        <v>701.38654073090152</v>
      </c>
      <c r="AN51" s="59">
        <f ca="1">AVERAGE(OFFSET($AM$3,0,0,'Données projet'!$E$10+1,1))-AVERAGE(OFFSET($H$3,0,0,'Données projet'!$E$10+1,1))</f>
        <v>596.42822894047072</v>
      </c>
      <c r="AO51" s="59">
        <f t="shared" si="36"/>
        <v>298.31525330951047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7.4</v>
      </c>
      <c r="BD51" s="12">
        <f>IF('Données projet'!$A$88&gt;35,BD50+BC51-BL50,IF(A51&lt;'Données projet'!$A$88,$BA$205^A51,IF(A51='Données projet'!$A$88,'Données projet'!$B$88,BD50+BC51-BL50)))</f>
        <v>194.20000000000005</v>
      </c>
      <c r="BE51" s="13">
        <f>BD51*VLOOKUP('Données projet'!$B$11,Paramètres!$A$1:$I$89,3,0)*VLOOKUP('Données projet'!$B$11,Paramètres!$A$1:$I$89,5,0)</f>
        <v>202.97784000000007</v>
      </c>
      <c r="BF51" s="13">
        <f t="shared" si="37"/>
        <v>50.398042839657315</v>
      </c>
      <c r="BG51" s="20">
        <f t="shared" si="7"/>
        <v>441.29632927906988</v>
      </c>
      <c r="BH51" s="59">
        <f t="shared" si="8"/>
        <v>695.05619796473752</v>
      </c>
      <c r="BI51" s="59">
        <f ca="1">AVERAGE(OFFSET($BH$3,0,0,'Données projet'!$E$11+1,1))-AVERAGE(OFFSET($H$3,0,0,'Données projet'!$E$11+1,1))</f>
        <v>446.06835300781546</v>
      </c>
      <c r="BJ51" s="59">
        <f t="shared" si="38"/>
        <v>396.46809188573138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4.8690668278133291</v>
      </c>
      <c r="BQ51" s="21">
        <f>EXP(-LN(2)/25)*BQ50+(1-EXP(-LN(2)/25))/(LN(2)/25)*Calculateur!BL51*Calculateur!BN51*VLOOKUP('Données projet'!$B$11,Paramètres!$A$1:$I$89,3,0)*0.475*44/12</f>
        <v>14.74694482436187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19.616011652175199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</v>
      </c>
      <c r="BY51" s="12">
        <f>IF('Données projet'!$A$114&gt;35,BY50+BX51-CG50,IF(A51&lt;'Données projet'!$A$114,$BV$205^A51,IF(A51='Données projet'!$A$114,'Données projet'!$B$114,BY50+BX51-CG50)))</f>
        <v>319.99999999999994</v>
      </c>
      <c r="BZ51" s="13">
        <f>BY51*VLOOKUP('Données projet'!$B$12,Paramètres!$A$1:$I$89,3,0)*VLOOKUP('Données projet'!$B$12,Paramètres!$A$1:$I$89,5,0)</f>
        <v>149.75999999999996</v>
      </c>
      <c r="CA51" s="13">
        <f t="shared" si="39"/>
        <v>38.524039677774766</v>
      </c>
      <c r="CB51" s="20">
        <f t="shared" si="10"/>
        <v>327.9280357721243</v>
      </c>
      <c r="CC51" s="59">
        <f t="shared" si="11"/>
        <v>581.687904457792</v>
      </c>
      <c r="CD51" s="59">
        <f ca="1">AVERAGE(OFFSET($CC$3,0,0,'Données projet'!$E$12+1,1))-AVERAGE(OFFSET($H$3,0,0,'Données projet'!$E$12+1,1))</f>
        <v>307.52821153421951</v>
      </c>
      <c r="CE51" s="59">
        <f t="shared" si="40"/>
        <v>221.23619018904222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16.93377043798333</v>
      </c>
      <c r="CM51" s="21">
        <f>EXP(-LN(2)/2)*CM50+(1-EXP(-LN(2)/2))/(LN(2)/2)*CG51*CJ51*VLOOKUP('Données projet'!$B$12,Paramètres!$A$1:$I$89,3,0)*0.475*44/12</f>
        <v>3.0600842305247813</v>
      </c>
      <c r="CN51" s="22">
        <f t="shared" si="12"/>
        <v>19.993854668508114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7.143429487179489</v>
      </c>
      <c r="CT51" s="12">
        <f>IF('Données projet'!$A$140&gt;35,CT50+CS51-DB50,IF(A51&lt;'Données projet'!$A$140,$CQ$205^A51,IF(A51='Données projet'!$A$140,'Données projet'!$B$140,CT50+CS51-DB50)))</f>
        <v>145.27083333333343</v>
      </c>
      <c r="CU51" s="17">
        <f>CT51*VLOOKUP('Données projet'!$B$13,Paramètres!$A$1:$I$89,3,0)*VLOOKUP('Données projet'!$B$13,Paramètres!$A$1:$I$89,5,0)</f>
        <v>165.43442500000012</v>
      </c>
      <c r="CV51" s="13">
        <f t="shared" si="41"/>
        <v>42.065872193911751</v>
      </c>
      <c r="CW51" s="20">
        <f t="shared" si="13"/>
        <v>361.39635094606319</v>
      </c>
      <c r="CX51" s="59">
        <f t="shared" si="14"/>
        <v>615.15621963173089</v>
      </c>
      <c r="CY51" s="59">
        <f ca="1">AVERAGE(OFFSET($CX$3,0,0,'Données projet'!$E$13+1,1))-AVERAGE(OFFSET($H$3,0,0,'Données projet'!$E$13+1,1))</f>
        <v>598.12133208901378</v>
      </c>
      <c r="CZ51" s="59">
        <f t="shared" si="42"/>
        <v>246.23353541360947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204.59999999999991</v>
      </c>
      <c r="DP51" s="17">
        <f>DO51*VLOOKUP('Données projet'!$B$14,Paramètres!$A$1:$I$89,3,0)*VLOOKUP('Données projet'!$B$14,Paramètres!$A$1:$I$89,5,0)</f>
        <v>162.77975999999995</v>
      </c>
      <c r="DQ51" s="13">
        <f t="shared" si="43"/>
        <v>41.468868129640057</v>
      </c>
      <c r="DR51" s="20">
        <f t="shared" si="16"/>
        <v>355.73302732578964</v>
      </c>
      <c r="DS51" s="59">
        <f t="shared" si="17"/>
        <v>609.49289601145733</v>
      </c>
      <c r="DT51" s="59">
        <f ca="1">AVERAGE(OFFSET($DS$3,0,0,'Données projet'!$E$14+1,1))-AVERAGE(OFFSET($H$3,0,0,'Données projet'!$E$14+1,1))</f>
        <v>323.01113210765487</v>
      </c>
      <c r="DU51" s="59">
        <f t="shared" si="44"/>
        <v>311.68541696405975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12.214599333132082</v>
      </c>
      <c r="EB51" s="21">
        <f>EXP(-LN(2)/25)*EB50+(1-EXP(-LN(2)/25))/(LN(2)/25)*Calculateur!DW51*Calculateur!DY51*VLOOKUP('Données projet'!$B$14,Paramètres!$A$1:$I$89,3,0)*0.475*44/12</f>
        <v>13.286190827238523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25.500790160370606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717.55862019800065</v>
      </c>
      <c r="S52" s="59">
        <f ca="1">AVERAGE(OFFSET($R$3,0,0,'Données projet'!$E$9+1,1))-AVERAGE(OFFSET($H$3,0,0,'Données projet'!$E$9+1,1))</f>
        <v>337.99164391755608</v>
      </c>
      <c r="T52" s="59">
        <f t="shared" si="34"/>
        <v>421.45428231923393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9.9423076923076934</v>
      </c>
      <c r="AI52" s="13">
        <f>IF('Données projet'!$A$62&gt;35,AI51+AH52-AQ51,IF(A52&lt;'Données projet'!$A$62,$AF$205^A52,IF(A52='Données projet'!$A$62,'Données projet'!$B$62,AI51+AH52-AQ51)))</f>
        <v>213.05769230769221</v>
      </c>
      <c r="AJ52" s="13">
        <f>AI52*VLOOKUP('Données projet'!$B$10,Paramètres!$A$1:$I$89,3,0)*VLOOKUP('Données projet'!$B$10,Paramètres!$A$1:$I$89,5,0)</f>
        <v>216.04049999999989</v>
      </c>
      <c r="AK52" s="13">
        <f t="shared" si="35"/>
        <v>53.253400435780783</v>
      </c>
      <c r="AL52" s="20">
        <f t="shared" si="4"/>
        <v>469.02020992565139</v>
      </c>
      <c r="AM52" s="59">
        <f t="shared" si="5"/>
        <v>723.4665897499433</v>
      </c>
      <c r="AN52" s="59">
        <f ca="1">AVERAGE(OFFSET($AM$3,0,0,'Données projet'!$E$10+1,1))-AVERAGE(OFFSET($H$3,0,0,'Données projet'!$E$10+1,1))</f>
        <v>596.42822894047072</v>
      </c>
      <c r="AO52" s="59">
        <f t="shared" si="36"/>
        <v>298.31525330951047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7.4</v>
      </c>
      <c r="BD52" s="12">
        <f>IF('Données projet'!$A$88&gt;35,BD51+BC52-BL51,IF(A52&lt;'Données projet'!$A$88,$BA$205^A52,IF(A52='Données projet'!$A$88,'Données projet'!$B$88,BD51+BC52-BL51)))</f>
        <v>201.60000000000005</v>
      </c>
      <c r="BE52" s="13">
        <f>BD52*VLOOKUP('Données projet'!$B$11,Paramètres!$A$1:$I$89,3,0)*VLOOKUP('Données projet'!$B$11,Paramètres!$A$1:$I$89,5,0)</f>
        <v>210.71232000000006</v>
      </c>
      <c r="BF52" s="13">
        <f t="shared" si="37"/>
        <v>52.091214849236422</v>
      </c>
      <c r="BG52" s="20">
        <f t="shared" si="7"/>
        <v>457.71615652908685</v>
      </c>
      <c r="BH52" s="59">
        <f t="shared" si="8"/>
        <v>712.16253635337875</v>
      </c>
      <c r="BI52" s="59">
        <f ca="1">AVERAGE(OFFSET($BH$3,0,0,'Données projet'!$E$11+1,1))-AVERAGE(OFFSET($H$3,0,0,'Données projet'!$E$11+1,1))</f>
        <v>446.06835300781546</v>
      </c>
      <c r="BJ52" s="59">
        <f t="shared" si="38"/>
        <v>396.46809188573138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4.7735873971574279</v>
      </c>
      <c r="BQ52" s="21">
        <f>EXP(-LN(2)/25)*BQ51+(1-EXP(-LN(2)/25))/(LN(2)/25)*Calculateur!BL52*Calculateur!BN52*VLOOKUP('Données projet'!$B$11,Paramètres!$A$1:$I$89,3,0)*0.475*44/12</f>
        <v>14.343688842631572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19.117276239789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15</v>
      </c>
      <c r="BY52" s="12">
        <f>IF('Données projet'!$A$114&gt;35,BY51+BX52-CG51,IF(A52&lt;'Données projet'!$A$114,$BV$205^A52,IF(A52='Données projet'!$A$114,'Données projet'!$B$114,BY51+BX52-CG51)))</f>
        <v>334.99999999999994</v>
      </c>
      <c r="BZ52" s="13">
        <f>BY52*VLOOKUP('Données projet'!$B$12,Paramètres!$A$1:$I$89,3,0)*VLOOKUP('Données projet'!$B$12,Paramètres!$A$1:$I$89,5,0)</f>
        <v>156.77999999999997</v>
      </c>
      <c r="CA52" s="13">
        <f t="shared" si="39"/>
        <v>40.115378305457938</v>
      </c>
      <c r="CB52" s="20">
        <f t="shared" si="10"/>
        <v>342.92611721533916</v>
      </c>
      <c r="CC52" s="59">
        <f t="shared" si="11"/>
        <v>597.37249703963107</v>
      </c>
      <c r="CD52" s="59">
        <f ca="1">AVERAGE(OFFSET($CC$3,0,0,'Données projet'!$E$12+1,1))-AVERAGE(OFFSET($H$3,0,0,'Données projet'!$E$12+1,1))</f>
        <v>307.52821153421951</v>
      </c>
      <c r="CE52" s="59">
        <f t="shared" si="40"/>
        <v>221.23619018904222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16.470715594848393</v>
      </c>
      <c r="CM52" s="21">
        <f>EXP(-LN(2)/2)*CM51+(1-EXP(-LN(2)/2))/(LN(2)/2)*CG52*CJ52*VLOOKUP('Données projet'!$B$12,Paramètres!$A$1:$I$89,3,0)*0.475*44/12</f>
        <v>2.1638063104060912</v>
      </c>
      <c r="CN52" s="22">
        <f t="shared" si="12"/>
        <v>18.634521905254484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7.143429487179489</v>
      </c>
      <c r="CT52" s="12">
        <f>IF('Données projet'!$A$140&gt;35,CT51+CS52-DB51,IF(A52&lt;'Données projet'!$A$140,$CQ$205^A52,IF(A52='Données projet'!$A$140,'Données projet'!$B$140,CT51+CS52-DB51)))</f>
        <v>152.41426282051293</v>
      </c>
      <c r="CU52" s="17">
        <f>CT52*VLOOKUP('Données projet'!$B$13,Paramètres!$A$1:$I$89,3,0)*VLOOKUP('Données projet'!$B$13,Paramètres!$A$1:$I$89,5,0)</f>
        <v>173.56936250000012</v>
      </c>
      <c r="CV52" s="13">
        <f t="shared" si="41"/>
        <v>43.888472722405318</v>
      </c>
      <c r="CW52" s="20">
        <f t="shared" si="13"/>
        <v>378.7390630123561</v>
      </c>
      <c r="CX52" s="59">
        <f t="shared" si="14"/>
        <v>633.18544283664801</v>
      </c>
      <c r="CY52" s="59">
        <f ca="1">AVERAGE(OFFSET($CX$3,0,0,'Données projet'!$E$13+1,1))-AVERAGE(OFFSET($H$3,0,0,'Données projet'!$E$13+1,1))</f>
        <v>598.12133208901378</v>
      </c>
      <c r="CZ52" s="59">
        <f t="shared" si="42"/>
        <v>246.23353541360947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211.7999999999999</v>
      </c>
      <c r="DP52" s="17">
        <f>DO52*VLOOKUP('Données projet'!$B$14,Paramètres!$A$1:$I$89,3,0)*VLOOKUP('Données projet'!$B$14,Paramètres!$A$1:$I$89,5,0)</f>
        <v>168.50807999999992</v>
      </c>
      <c r="DQ52" s="13">
        <f t="shared" si="43"/>
        <v>42.755711908378117</v>
      </c>
      <c r="DR52" s="20">
        <f t="shared" si="16"/>
        <v>367.95110424042508</v>
      </c>
      <c r="DS52" s="59">
        <f t="shared" si="17"/>
        <v>622.39748406471699</v>
      </c>
      <c r="DT52" s="59">
        <f ca="1">AVERAGE(OFFSET($DS$3,0,0,'Données projet'!$E$14+1,1))-AVERAGE(OFFSET($H$3,0,0,'Données projet'!$E$14+1,1))</f>
        <v>323.01113210765487</v>
      </c>
      <c r="DU52" s="59">
        <f t="shared" si="44"/>
        <v>311.68541696405975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11.975078490379312</v>
      </c>
      <c r="EB52" s="21">
        <f>EXP(-LN(2)/25)*EB51+(1-EXP(-LN(2)/25))/(LN(2)/25)*Calculateur!DW52*Calculateur!DY52*VLOOKUP('Données projet'!$B$14,Paramètres!$A$1:$I$89,3,0)*0.475*44/12</f>
        <v>12.922879240377275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24.897957730756588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734.5142190615029</v>
      </c>
      <c r="S53" s="59">
        <f ca="1">AVERAGE(OFFSET($R$3,0,0,'Données projet'!$E$9+1,1))-AVERAGE(OFFSET($H$3,0,0,'Données projet'!$E$9+1,1))</f>
        <v>337.99164391755608</v>
      </c>
      <c r="T53" s="59">
        <f t="shared" si="34"/>
        <v>421.45428231923393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223</v>
      </c>
      <c r="AG53" s="12">
        <f>VLOOKUP(A53,'Données projet'!$A$61:$I$81,9,0)</f>
        <v>9.9423076923076934</v>
      </c>
      <c r="AH53" s="12">
        <f t="array" ref="AH53">INDEX(AG:AG,MIN(IF(ISNUMBER(AG53:AG249),ROW(AG53:AG249),"")))</f>
        <v>9.9423076923076934</v>
      </c>
      <c r="AI53" s="13">
        <f>IF('Données projet'!$A$62&gt;35,AI52+AH53-AQ52,IF(A53&lt;'Données projet'!$A$62,$AF$205^A53,IF(A53='Données projet'!$A$62,'Données projet'!$B$62,AI52+AH53-AQ52)))</f>
        <v>222.99999999999989</v>
      </c>
      <c r="AJ53" s="13">
        <f>AI53*VLOOKUP('Données projet'!$B$10,Paramètres!$A$1:$I$89,3,0)*VLOOKUP('Données projet'!$B$10,Paramètres!$A$1:$I$89,5,0)</f>
        <v>226.1219999999999</v>
      </c>
      <c r="AK53" s="13">
        <f t="shared" si="35"/>
        <v>55.443339217820046</v>
      </c>
      <c r="AL53" s="20">
        <f t="shared" si="4"/>
        <v>490.39296580436968</v>
      </c>
      <c r="AM53" s="59">
        <f t="shared" si="5"/>
        <v>745.51394733383972</v>
      </c>
      <c r="AN53" s="59">
        <f ca="1">AVERAGE(OFFSET($AM$3,0,0,'Données projet'!$E$10+1,1))-AVERAGE(OFFSET($H$3,0,0,'Données projet'!$E$10+1,1))</f>
        <v>596.42822894047072</v>
      </c>
      <c r="AO53" s="59">
        <f t="shared" si="36"/>
        <v>298.31525330951047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52.282051282051285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7.4</v>
      </c>
      <c r="BC53" s="12">
        <f t="array" ref="BC53">INDEX(BB:BB,MIN(IF(ISNUMBER(BB53:BB249),ROW(BB53:BB249),"")))</f>
        <v>7.4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218.44680000000011</v>
      </c>
      <c r="BF53" s="13">
        <f t="shared" si="37"/>
        <v>53.777166299799873</v>
      </c>
      <c r="BG53" s="20">
        <f t="shared" si="7"/>
        <v>474.12340797215165</v>
      </c>
      <c r="BH53" s="59">
        <f t="shared" si="8"/>
        <v>729.24438950162175</v>
      </c>
      <c r="BI53" s="59">
        <f ca="1">AVERAGE(OFFSET($BH$3,0,0,'Données projet'!$E$11+1,1))-AVERAGE(OFFSET($H$3,0,0,'Données projet'!$E$11+1,1))</f>
        <v>446.06835300781546</v>
      </c>
      <c r="BJ53" s="59">
        <f t="shared" si="38"/>
        <v>396.46809188573138</v>
      </c>
      <c r="BK53" s="15">
        <f>IF(ISNA(VLOOKUP(A53,'Données projet'!$A$87:$I$107,3,0)),0,VLOOKUP(A53,'Données projet'!$A$87:$I$107,3,0))</f>
        <v>7</v>
      </c>
      <c r="BL53" s="15" t="str">
        <f>IF(ISNA(VLOOKUP(A53,'Données projet'!$A$87:$I$107,4,0)),0,VLOOKUP(A53,'Données projet'!$A$87:$I$107,4,0))</f>
        <v>24</v>
      </c>
      <c r="BM53" s="16">
        <f>IF(ISNA(VLOOKUP(A53,'Données projet'!$A$87:$I$107,5,0)),0%,VLOOKUP(A53,'Données projet'!$A$87:$I$107,5,0)*VLOOKUP('Données projet'!$B$11,Paramètres!$A$1:$I$89,7,0))</f>
        <v>0.17200000000000001</v>
      </c>
      <c r="BN53" s="16">
        <f>IF(ISNA(VLOOKUP(A53,'Données projet'!$A$87:$I$107,6,0)),0%,VLOOKUP(A53,'Données projet'!$A$87:$I$107,6,0)*VLOOKUP('Données projet'!$B$11,Paramètres!$A$1:$I$89,7,0))</f>
        <v>0.17200000000000001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9.4496268406593877</v>
      </c>
      <c r="BQ53" s="21">
        <f>EXP(-LN(2)/25)*BQ52+(1-EXP(-LN(2)/25))/(LN(2)/25)*Calculateur!BL53*Calculateur!BN53*VLOOKUP('Données projet'!$B$11,Paramètres!$A$1:$I$89,3,0)*0.475*44/12</f>
        <v>18.702326581721124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28.151953422380512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350</v>
      </c>
      <c r="BW53" s="12">
        <f>VLOOKUP(A53,'Données projet'!$A$113:$I$133,9,0)</f>
        <v>15</v>
      </c>
      <c r="BX53" s="12">
        <f t="array" ref="BX53">INDEX(BW:BW,MIN(IF(ISNUMBER(BW53:BW249),ROW(BW53:BW249),"")))</f>
        <v>15</v>
      </c>
      <c r="BY53" s="12">
        <f>IF('Données projet'!$A$114&gt;35,BY52+BX53-CG52,IF(A53&lt;'Données projet'!$A$114,$BV$205^A53,IF(A53='Données projet'!$A$114,'Données projet'!$B$114,BY52+BX53-CG52)))</f>
        <v>349.99999999999994</v>
      </c>
      <c r="BZ53" s="13">
        <f>BY53*VLOOKUP('Données projet'!$B$12,Paramètres!$A$1:$I$89,3,0)*VLOOKUP('Données projet'!$B$12,Paramètres!$A$1:$I$89,5,0)</f>
        <v>163.79999999999995</v>
      </c>
      <c r="CA53" s="13">
        <f t="shared" si="39"/>
        <v>41.698441627605291</v>
      </c>
      <c r="CB53" s="20">
        <f t="shared" si="10"/>
        <v>357.90978583474572</v>
      </c>
      <c r="CC53" s="59">
        <f t="shared" si="11"/>
        <v>613.03076736421576</v>
      </c>
      <c r="CD53" s="59">
        <f ca="1">AVERAGE(OFFSET($CC$3,0,0,'Données projet'!$E$12+1,1))-AVERAGE(OFFSET($H$3,0,0,'Données projet'!$E$12+1,1))</f>
        <v>307.52821153421951</v>
      </c>
      <c r="CE53" s="59">
        <f t="shared" si="40"/>
        <v>221.23619018904222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100.7</v>
      </c>
      <c r="CH53" s="16">
        <f>IF(ISNA(VLOOKUP(A53,'Données projet'!$A$113:$I$133,5,0)),0%,VLOOKUP(A53,'Données projet'!$A$113:$I$133,5,0)*VLOOKUP('Données projet'!$B$12,Paramètres!$A$1:$I$89,7,0))</f>
        <v>0.38500000000000001</v>
      </c>
      <c r="CI53" s="16">
        <f>IF(ISNA(VLOOKUP(A53,'Données projet'!$A$113:$I$133,6,0)),0%,VLOOKUP(A53,'Données projet'!$A$113:$I$133,6,0)*VLOOKUP('Données projet'!$B$12,Paramètres!$A$1:$I$89,7,0))</f>
        <v>9.3500000000000014E-2</v>
      </c>
      <c r="CJ53" s="16">
        <f>IF(ISNA(VLOOKUP(A53,'Données projet'!$A$113:$I$133,7,0)),0%,VLOOKUP(A53,'Données projet'!$A$113:$I$133,7,0))</f>
        <v>0.13</v>
      </c>
      <c r="CK53" s="21">
        <f>EXP(-LN(2)/35)*CK52+(1-EXP(-LN(2)/35))/(LN(2)/35)*CG53*CH53*VLOOKUP('Données projet'!$B$12,Paramètres!$A$1:$I$89,3,0)*0.475*44/12</f>
        <v>24.069352626616404</v>
      </c>
      <c r="CL53" s="21">
        <f>EXP(-LN(2)/25)*CL52+(1-EXP(-LN(2)/25))/(LN(2)/25)*Calculateur!CG53*Calculateur!CI53*VLOOKUP('Données projet'!$B$12,Paramètres!$A$1:$I$89,3,0)*0.475*44/12</f>
        <v>21.842721597051575</v>
      </c>
      <c r="CM53" s="21">
        <f>EXP(-LN(2)/2)*CM52+(1-EXP(-LN(2)/2))/(LN(2)/2)*CG53*CJ53*VLOOKUP('Données projet'!$B$12,Paramètres!$A$1:$I$89,3,0)*0.475*44/12</f>
        <v>8.4667629225004646</v>
      </c>
      <c r="CN53" s="22">
        <f t="shared" si="12"/>
        <v>54.378837146168443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159.55769230769232</v>
      </c>
      <c r="CR53" s="12">
        <f>VLOOKUP(A53,'Données projet'!$A$139:$I$159,9,0)</f>
        <v>7.143429487179489</v>
      </c>
      <c r="CS53" s="12">
        <f t="array" ref="CS53">INDEX(CR:CR,MIN(IF(ISNUMBER(CR53:CR249),ROW(CR53:CR249),"")))</f>
        <v>7.143429487179489</v>
      </c>
      <c r="CT53" s="12">
        <f>IF('Données projet'!$A$140&gt;35,CT52+CS53-DB52,IF(A53&lt;'Données projet'!$A$140,$CQ$205^A53,IF(A53='Données projet'!$A$140,'Données projet'!$B$140,CT52+CS53-DB52)))</f>
        <v>159.55769230769243</v>
      </c>
      <c r="CU53" s="17">
        <f>CT53*VLOOKUP('Données projet'!$B$13,Paramètres!$A$1:$I$89,3,0)*VLOOKUP('Données projet'!$B$13,Paramètres!$A$1:$I$89,5,0)</f>
        <v>181.70430000000013</v>
      </c>
      <c r="CV53" s="13">
        <f t="shared" si="41"/>
        <v>45.701153302024025</v>
      </c>
      <c r="CW53" s="20">
        <f t="shared" si="13"/>
        <v>396.06449783435875</v>
      </c>
      <c r="CX53" s="59">
        <f t="shared" si="14"/>
        <v>651.18547936382879</v>
      </c>
      <c r="CY53" s="59">
        <f ca="1">AVERAGE(OFFSET($CX$3,0,0,'Données projet'!$E$13+1,1))-AVERAGE(OFFSET($H$3,0,0,'Données projet'!$E$13+1,1))</f>
        <v>598.12133208901378</v>
      </c>
      <c r="CZ53" s="59">
        <f t="shared" si="42"/>
        <v>246.23353541360947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29.416666666666664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218.99999999999989</v>
      </c>
      <c r="DP53" s="17">
        <f>DO53*VLOOKUP('Données projet'!$B$14,Paramètres!$A$1:$I$89,3,0)*VLOOKUP('Données projet'!$B$14,Paramètres!$A$1:$I$89,5,0)</f>
        <v>174.23639999999992</v>
      </c>
      <c r="DQ53" s="13">
        <f t="shared" si="43"/>
        <v>44.03747274965864</v>
      </c>
      <c r="DR53" s="20">
        <f t="shared" si="16"/>
        <v>380.160328372322</v>
      </c>
      <c r="DS53" s="59">
        <f t="shared" si="17"/>
        <v>635.28130990179216</v>
      </c>
      <c r="DT53" s="59">
        <f ca="1">AVERAGE(OFFSET($DS$3,0,0,'Données projet'!$E$14+1,1))-AVERAGE(OFFSET($H$3,0,0,'Données projet'!$E$14+1,1))</f>
        <v>323.01113210765487</v>
      </c>
      <c r="DU53" s="59">
        <f t="shared" si="44"/>
        <v>311.68541696405975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0.37411764705882355</v>
      </c>
      <c r="DY53" s="16">
        <f>IF(ISNA(VLOOKUP(A53,'Données projet'!$A$165:$I$185,6,0)),0%,VLOOKUP(A53,'Données projet'!$A$165:$I$185,6,0)*VLOOKUP('Données projet'!$B$14,Paramètres!$A$1:$I$89,7,0))</f>
        <v>9.3529411764705889E-2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17.333952313222436</v>
      </c>
      <c r="EB53" s="21">
        <f>EXP(-LN(2)/25)*EB52+(1-EXP(-LN(2)/25))/(LN(2)/25)*Calculateur!DW53*Calculateur!DY53*VLOOKUP('Données projet'!$B$14,Paramètres!$A$1:$I$89,3,0)*0.475*44/12</f>
        <v>13.962420750046197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31.296373063268632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751.44636445465324</v>
      </c>
      <c r="S54" s="59">
        <f ca="1">AVERAGE(OFFSET($R$3,0,0,'Données projet'!$E$9+1,1))-AVERAGE(OFFSET($H$3,0,0,'Données projet'!$E$9+1,1))</f>
        <v>337.99164391755608</v>
      </c>
      <c r="T54" s="59">
        <f t="shared" si="34"/>
        <v>421.45428231923393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9.6586538461538431</v>
      </c>
      <c r="AI54" s="13">
        <f>IF('Données projet'!$A$62&gt;35,AI53+AH54-AQ53,IF(A54&lt;'Données projet'!$A$62,$AF$205^A54,IF(A54='Données projet'!$A$62,'Données projet'!$B$62,AI53+AH54-AQ53)))</f>
        <v>180.37660256410243</v>
      </c>
      <c r="AJ54" s="13">
        <f>AI54*VLOOKUP('Données projet'!$B$10,Paramètres!$A$1:$I$89,3,0)*VLOOKUP('Données projet'!$B$10,Paramètres!$A$1:$I$89,5,0)</f>
        <v>182.90187499999988</v>
      </c>
      <c r="AK54" s="13">
        <f t="shared" si="35"/>
        <v>45.96719773180908</v>
      </c>
      <c r="AL54" s="20">
        <f t="shared" si="4"/>
        <v>398.61363500790065</v>
      </c>
      <c r="AM54" s="59">
        <f t="shared" si="5"/>
        <v>654.39751541114742</v>
      </c>
      <c r="AN54" s="59">
        <f ca="1">AVERAGE(OFFSET($AM$3,0,0,'Données projet'!$E$10+1,1))-AVERAGE(OFFSET($H$3,0,0,'Données projet'!$E$10+1,1))</f>
        <v>596.42822894047072</v>
      </c>
      <c r="AO54" s="59">
        <f t="shared" si="36"/>
        <v>298.31525330951047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6.6</v>
      </c>
      <c r="BD54" s="12">
        <f>IF('Données projet'!$A$88&gt;35,BD53+BC54-BL53,IF(A54&lt;'Données projet'!$A$88,$BA$205^A54,IF(A54='Données projet'!$A$88,'Données projet'!$B$88,BD53+BC54-BL53)))</f>
        <v>191.60000000000005</v>
      </c>
      <c r="BE54" s="13">
        <f>BD54*VLOOKUP('Données projet'!$B$11,Paramètres!$A$1:$I$89,3,0)*VLOOKUP('Données projet'!$B$11,Paramètres!$A$1:$I$89,5,0)</f>
        <v>200.26032000000006</v>
      </c>
      <c r="BF54" s="13">
        <f t="shared" si="37"/>
        <v>49.801373850507687</v>
      </c>
      <c r="BG54" s="20">
        <f t="shared" si="7"/>
        <v>435.52411678963432</v>
      </c>
      <c r="BH54" s="59">
        <f t="shared" si="8"/>
        <v>691.3079971928812</v>
      </c>
      <c r="BI54" s="59">
        <f ca="1">AVERAGE(OFFSET($BH$3,0,0,'Données projet'!$E$11+1,1))-AVERAGE(OFFSET($H$3,0,0,'Données projet'!$E$11+1,1))</f>
        <v>446.06835300781546</v>
      </c>
      <c r="BJ54" s="59">
        <f t="shared" si="38"/>
        <v>396.46809188573138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9.2643254220173112</v>
      </c>
      <c r="BQ54" s="21">
        <f>EXP(-LN(2)/25)*BQ53+(1-EXP(-LN(2)/25))/(LN(2)/25)*Calculateur!BL54*Calculateur!BN54*VLOOKUP('Données projet'!$B$11,Paramètres!$A$1:$I$89,3,0)*0.475*44/12</f>
        <v>18.190910477831348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27.45523589984866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14.25</v>
      </c>
      <c r="BY54" s="12">
        <f>IF('Données projet'!$A$114&gt;35,BY53+BX54-CG53,IF(A54&lt;'Données projet'!$A$114,$BV$205^A54,IF(A54='Données projet'!$A$114,'Données projet'!$B$114,BY53+BX54-CG53)))</f>
        <v>263.54999999999995</v>
      </c>
      <c r="BZ54" s="13">
        <f>BY54*VLOOKUP('Données projet'!$B$12,Paramètres!$A$1:$I$89,3,0)*VLOOKUP('Données projet'!$B$12,Paramètres!$A$1:$I$89,5,0)</f>
        <v>123.34139999999998</v>
      </c>
      <c r="CA54" s="13">
        <f t="shared" si="39"/>
        <v>32.453075908997498</v>
      </c>
      <c r="CB54" s="20">
        <f t="shared" si="10"/>
        <v>271.34204554150392</v>
      </c>
      <c r="CC54" s="59">
        <f t="shared" si="11"/>
        <v>527.12592594475075</v>
      </c>
      <c r="CD54" s="59">
        <f ca="1">AVERAGE(OFFSET($CC$3,0,0,'Données projet'!$E$12+1,1))-AVERAGE(OFFSET($H$3,0,0,'Données projet'!$E$12+1,1))</f>
        <v>307.52821153421951</v>
      </c>
      <c r="CE54" s="59">
        <f t="shared" si="40"/>
        <v>221.23619018904222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23.597367302463944</v>
      </c>
      <c r="CL54" s="21">
        <f>EXP(-LN(2)/25)*CL53+(1-EXP(-LN(2)/25))/(LN(2)/25)*Calculateur!CG54*Calculateur!CI54*VLOOKUP('Données projet'!$B$12,Paramètres!$A$1:$I$89,3,0)*0.475*44/12</f>
        <v>21.245431226321394</v>
      </c>
      <c r="CM54" s="21">
        <f>EXP(-LN(2)/2)*CM53+(1-EXP(-LN(2)/2))/(LN(2)/2)*CG54*CJ54*VLOOKUP('Données projet'!$B$12,Paramètres!$A$1:$I$89,3,0)*0.475*44/12</f>
        <v>5.9869054771989099</v>
      </c>
      <c r="CN54" s="22">
        <f t="shared" si="12"/>
        <v>50.829704005984247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7.2307692307692264</v>
      </c>
      <c r="CT54" s="12">
        <f>IF('Données projet'!$A$140&gt;35,CT53+CS54-DB53,IF(A54&lt;'Données projet'!$A$140,$CQ$205^A54,IF(A54='Données projet'!$A$140,'Données projet'!$B$140,CT53+CS54-DB53)))</f>
        <v>137.371794871795</v>
      </c>
      <c r="CU54" s="17">
        <f>CT54*VLOOKUP('Données projet'!$B$13,Paramètres!$A$1:$I$89,3,0)*VLOOKUP('Données projet'!$B$13,Paramètres!$A$1:$I$89,5,0)</f>
        <v>156.43900000000016</v>
      </c>
      <c r="CV54" s="13">
        <f t="shared" si="41"/>
        <v>40.038272809492831</v>
      </c>
      <c r="CW54" s="20">
        <f t="shared" si="13"/>
        <v>342.19791680986697</v>
      </c>
      <c r="CX54" s="59">
        <f t="shared" si="14"/>
        <v>597.98179721311385</v>
      </c>
      <c r="CY54" s="59">
        <f ca="1">AVERAGE(OFFSET($CX$3,0,0,'Données projet'!$E$13+1,1))-AVERAGE(OFFSET($H$3,0,0,'Données projet'!$E$13+1,1))</f>
        <v>598.12133208901378</v>
      </c>
      <c r="CZ54" s="59">
        <f t="shared" si="42"/>
        <v>246.23353541360947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207.99999999999989</v>
      </c>
      <c r="DP54" s="17">
        <f>DO54*VLOOKUP('Données projet'!$B$14,Paramètres!$A$1:$I$89,3,0)*VLOOKUP('Données projet'!$B$14,Paramètres!$A$1:$I$89,5,0)</f>
        <v>165.48479999999992</v>
      </c>
      <c r="DQ54" s="13">
        <f t="shared" si="43"/>
        <v>42.077190125964002</v>
      </c>
      <c r="DR54" s="20">
        <f t="shared" si="16"/>
        <v>361.5037994693871</v>
      </c>
      <c r="DS54" s="59">
        <f t="shared" si="17"/>
        <v>617.28767987263393</v>
      </c>
      <c r="DT54" s="59">
        <f ca="1">AVERAGE(OFFSET($DS$3,0,0,'Données projet'!$E$14+1,1))-AVERAGE(OFFSET($H$3,0,0,'Données projet'!$E$14+1,1))</f>
        <v>323.01113210765487</v>
      </c>
      <c r="DU54" s="59">
        <f t="shared" si="44"/>
        <v>311.68541696405975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16.994044081027091</v>
      </c>
      <c r="EB54" s="21">
        <f>EXP(-LN(2)/25)*EB53+(1-EXP(-LN(2)/25))/(LN(2)/25)*Calculateur!DW54*Calculateur!DY54*VLOOKUP('Données projet'!$B$14,Paramètres!$A$1:$I$89,3,0)*0.475*44/12</f>
        <v>13.580617620384388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30.574661701411479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768.35569922740956</v>
      </c>
      <c r="S55" s="59">
        <f ca="1">AVERAGE(OFFSET($R$3,0,0,'Données projet'!$E$9+1,1))-AVERAGE(OFFSET($H$3,0,0,'Données projet'!$E$9+1,1))</f>
        <v>337.99164391755608</v>
      </c>
      <c r="T55" s="59">
        <f t="shared" si="34"/>
        <v>421.45428231923393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9.6586538461538431</v>
      </c>
      <c r="AI55" s="13">
        <f>IF('Données projet'!$A$62&gt;35,AI54+AH55-AQ54,IF(A55&lt;'Données projet'!$A$62,$AF$205^A55,IF(A55='Données projet'!$A$62,'Données projet'!$B$62,AI54+AH55-AQ54)))</f>
        <v>190.03525641025627</v>
      </c>
      <c r="AJ55" s="13">
        <f>AI55*VLOOKUP('Données projet'!$B$10,Paramètres!$A$1:$I$89,3,0)*VLOOKUP('Données projet'!$B$10,Paramètres!$A$1:$I$89,5,0)</f>
        <v>192.69574999999986</v>
      </c>
      <c r="AK55" s="13">
        <f t="shared" si="35"/>
        <v>48.135455339599268</v>
      </c>
      <c r="AL55" s="20">
        <f t="shared" si="4"/>
        <v>419.44768263313517</v>
      </c>
      <c r="AM55" s="59">
        <f t="shared" si="5"/>
        <v>675.88296209671853</v>
      </c>
      <c r="AN55" s="59">
        <f ca="1">AVERAGE(OFFSET($AM$3,0,0,'Données projet'!$E$10+1,1))-AVERAGE(OFFSET($H$3,0,0,'Données projet'!$E$10+1,1))</f>
        <v>596.42822894047072</v>
      </c>
      <c r="AO55" s="59">
        <f t="shared" si="36"/>
        <v>298.31525330951047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6.6</v>
      </c>
      <c r="BD55" s="12">
        <f>IF('Données projet'!$A$88&gt;35,BD54+BC55-BL54,IF(A55&lt;'Données projet'!$A$88,$BA$205^A55,IF(A55='Données projet'!$A$88,'Données projet'!$B$88,BD54+BC55-BL54)))</f>
        <v>198.20000000000005</v>
      </c>
      <c r="BE55" s="13">
        <f>BD55*VLOOKUP('Données projet'!$B$11,Paramètres!$A$1:$I$89,3,0)*VLOOKUP('Données projet'!$B$11,Paramètres!$A$1:$I$89,5,0)</f>
        <v>207.15864000000008</v>
      </c>
      <c r="BF55" s="13">
        <f t="shared" si="37"/>
        <v>51.314185628735935</v>
      </c>
      <c r="BG55" s="20">
        <f t="shared" si="7"/>
        <v>450.17350463671522</v>
      </c>
      <c r="BH55" s="59">
        <f t="shared" si="8"/>
        <v>706.60878410029864</v>
      </c>
      <c r="BI55" s="59">
        <f ca="1">AVERAGE(OFFSET($BH$3,0,0,'Données projet'!$E$11+1,1))-AVERAGE(OFFSET($H$3,0,0,'Données projet'!$E$11+1,1))</f>
        <v>446.06835300781546</v>
      </c>
      <c r="BJ55" s="59">
        <f t="shared" si="38"/>
        <v>396.46809188573138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9.0826576511721004</v>
      </c>
      <c r="BQ55" s="21">
        <f>EXP(-LN(2)/25)*BQ54+(1-EXP(-LN(2)/25))/(LN(2)/25)*Calculateur!BL55*Calculateur!BN55*VLOOKUP('Données projet'!$B$11,Paramètres!$A$1:$I$89,3,0)*0.475*44/12</f>
        <v>17.693479074196645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26.776136725368744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14.25</v>
      </c>
      <c r="BY55" s="12">
        <f>IF('Données projet'!$A$114&gt;35,BY54+BX55-CG54,IF(A55&lt;'Données projet'!$A$114,$BV$205^A55,IF(A55='Données projet'!$A$114,'Données projet'!$B$114,BY54+BX55-CG54)))</f>
        <v>277.79999999999995</v>
      </c>
      <c r="BZ55" s="13">
        <f>BY55*VLOOKUP('Données projet'!$B$12,Paramètres!$A$1:$I$89,3,0)*VLOOKUP('Données projet'!$B$12,Paramètres!$A$1:$I$89,5,0)</f>
        <v>130.01039999999998</v>
      </c>
      <c r="CA55" s="13">
        <f t="shared" si="39"/>
        <v>33.998762455809597</v>
      </c>
      <c r="CB55" s="20">
        <f t="shared" si="10"/>
        <v>285.64929127720171</v>
      </c>
      <c r="CC55" s="59">
        <f t="shared" si="11"/>
        <v>542.08457074078501</v>
      </c>
      <c r="CD55" s="59">
        <f ca="1">AVERAGE(OFFSET($CC$3,0,0,'Données projet'!$E$12+1,1))-AVERAGE(OFFSET($H$3,0,0,'Données projet'!$E$12+1,1))</f>
        <v>307.52821153421951</v>
      </c>
      <c r="CE55" s="59">
        <f t="shared" si="40"/>
        <v>221.23619018904222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23.134637322635491</v>
      </c>
      <c r="CL55" s="21">
        <f>EXP(-LN(2)/25)*CL54+(1-EXP(-LN(2)/25))/(LN(2)/25)*Calculateur!CG55*Calculateur!CI55*VLOOKUP('Données projet'!$B$12,Paramètres!$A$1:$I$89,3,0)*0.475*44/12</f>
        <v>20.664473792188964</v>
      </c>
      <c r="CM55" s="21">
        <f>EXP(-LN(2)/2)*CM54+(1-EXP(-LN(2)/2))/(LN(2)/2)*CG55*CJ55*VLOOKUP('Données projet'!$B$12,Paramètres!$A$1:$I$89,3,0)*0.475*44/12</f>
        <v>4.2333814612502323</v>
      </c>
      <c r="CN55" s="22">
        <f t="shared" si="12"/>
        <v>48.032492576074688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7.2307692307692264</v>
      </c>
      <c r="CT55" s="12">
        <f>IF('Données projet'!$A$140&gt;35,CT54+CS55-DB54,IF(A55&lt;'Données projet'!$A$140,$CQ$205^A55,IF(A55='Données projet'!$A$140,'Données projet'!$B$140,CT54+CS55-DB54)))</f>
        <v>144.60256410256423</v>
      </c>
      <c r="CU55" s="17">
        <f>CT55*VLOOKUP('Données projet'!$B$13,Paramètres!$A$1:$I$89,3,0)*VLOOKUP('Données projet'!$B$13,Paramètres!$A$1:$I$89,5,0)</f>
        <v>164.67340000000013</v>
      </c>
      <c r="CV55" s="13">
        <f t="shared" si="41"/>
        <v>41.894841089563066</v>
      </c>
      <c r="CW55" s="20">
        <f t="shared" si="13"/>
        <v>359.77301989765584</v>
      </c>
      <c r="CX55" s="59">
        <f t="shared" si="14"/>
        <v>616.20829936123914</v>
      </c>
      <c r="CY55" s="59">
        <f ca="1">AVERAGE(OFFSET($CX$3,0,0,'Données projet'!$E$13+1,1))-AVERAGE(OFFSET($H$3,0,0,'Données projet'!$E$13+1,1))</f>
        <v>598.12133208901378</v>
      </c>
      <c r="CZ55" s="59">
        <f t="shared" si="42"/>
        <v>246.23353541360947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213.99999999999989</v>
      </c>
      <c r="DP55" s="17">
        <f>DO55*VLOOKUP('Données projet'!$B$14,Paramètres!$A$1:$I$89,3,0)*VLOOKUP('Données projet'!$B$14,Paramètres!$A$1:$I$89,5,0)</f>
        <v>170.25839999999991</v>
      </c>
      <c r="DQ55" s="13">
        <f t="shared" si="43"/>
        <v>43.147891472685018</v>
      </c>
      <c r="DR55" s="20">
        <f t="shared" si="16"/>
        <v>371.68262431492622</v>
      </c>
      <c r="DS55" s="59">
        <f t="shared" si="17"/>
        <v>628.11790377850957</v>
      </c>
      <c r="DT55" s="59">
        <f ca="1">AVERAGE(OFFSET($DS$3,0,0,'Données projet'!$E$14+1,1))-AVERAGE(OFFSET($H$3,0,0,'Données projet'!$E$14+1,1))</f>
        <v>323.01113210765487</v>
      </c>
      <c r="DU55" s="59">
        <f t="shared" si="44"/>
        <v>311.68541696405975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16.660801241941545</v>
      </c>
      <c r="EB55" s="21">
        <f>EXP(-LN(2)/25)*EB54+(1-EXP(-LN(2)/25))/(LN(2)/25)*Calculateur!DW55*Calculateur!DY55*VLOOKUP('Données projet'!$B$14,Paramètres!$A$1:$I$89,3,0)*0.475*44/12</f>
        <v>13.209254917381335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29.870056159322878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785.24283250554686</v>
      </c>
      <c r="S56" s="59">
        <f ca="1">AVERAGE(OFFSET($R$3,0,0,'Données projet'!$E$9+1,1))-AVERAGE(OFFSET($H$3,0,0,'Données projet'!$E$9+1,1))</f>
        <v>337.99164391755608</v>
      </c>
      <c r="T56" s="59">
        <f t="shared" si="34"/>
        <v>421.45428231923393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9.6586538461538431</v>
      </c>
      <c r="AI56" s="13">
        <f>IF('Données projet'!$A$62&gt;35,AI55+AH56-AQ55,IF(A56&lt;'Données projet'!$A$62,$AF$205^A56,IF(A56='Données projet'!$A$62,'Données projet'!$B$62,AI55+AH56-AQ55)))</f>
        <v>199.69391025641011</v>
      </c>
      <c r="AJ56" s="13">
        <f>AI56*VLOOKUP('Données projet'!$B$10,Paramètres!$A$1:$I$89,3,0)*VLOOKUP('Données projet'!$B$10,Paramètres!$A$1:$I$89,5,0)</f>
        <v>202.48962499999988</v>
      </c>
      <c r="AK56" s="13">
        <f t="shared" si="35"/>
        <v>50.290917375652235</v>
      </c>
      <c r="AL56" s="20">
        <f t="shared" si="4"/>
        <v>440.25944463759407</v>
      </c>
      <c r="AM56" s="59">
        <f t="shared" si="5"/>
        <v>697.3348228441273</v>
      </c>
      <c r="AN56" s="59">
        <f ca="1">AVERAGE(OFFSET($AM$3,0,0,'Données projet'!$E$10+1,1))-AVERAGE(OFFSET($H$3,0,0,'Données projet'!$E$10+1,1))</f>
        <v>596.42822894047072</v>
      </c>
      <c r="AO56" s="59">
        <f t="shared" si="36"/>
        <v>298.31525330951047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6.6</v>
      </c>
      <c r="BD56" s="12">
        <f>IF('Données projet'!$A$88&gt;35,BD55+BC56-BL55,IF(A56&lt;'Données projet'!$A$88,$BA$205^A56,IF(A56='Données projet'!$A$88,'Données projet'!$B$88,BD55+BC56-BL55)))</f>
        <v>204.80000000000004</v>
      </c>
      <c r="BE56" s="13">
        <f>BD56*VLOOKUP('Données projet'!$B$11,Paramètres!$A$1:$I$89,3,0)*VLOOKUP('Données projet'!$B$11,Paramètres!$A$1:$I$89,5,0)</f>
        <v>214.05696000000006</v>
      </c>
      <c r="BF56" s="13">
        <f t="shared" si="37"/>
        <v>52.821143827018723</v>
      </c>
      <c r="BG56" s="20">
        <f t="shared" si="7"/>
        <v>464.81269749872439</v>
      </c>
      <c r="BH56" s="59">
        <f t="shared" si="8"/>
        <v>721.88807570525762</v>
      </c>
      <c r="BI56" s="59">
        <f ca="1">AVERAGE(OFFSET($BH$3,0,0,'Données projet'!$E$11+1,1))-AVERAGE(OFFSET($H$3,0,0,'Données projet'!$E$11+1,1))</f>
        <v>446.06835300781546</v>
      </c>
      <c r="BJ56" s="59">
        <f t="shared" si="38"/>
        <v>396.46809188573138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8.9045522745067665</v>
      </c>
      <c r="BQ56" s="21">
        <f>EXP(-LN(2)/25)*BQ55+(1-EXP(-LN(2)/25))/(LN(2)/25)*Calculateur!BL56*Calculateur!BN56*VLOOKUP('Données projet'!$B$11,Paramètres!$A$1:$I$89,3,0)*0.475*44/12</f>
        <v>17.209649958453113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26.11420223295988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14.25</v>
      </c>
      <c r="BY56" s="12">
        <f>IF('Données projet'!$A$114&gt;35,BY55+BX56-CG55,IF(A56&lt;'Données projet'!$A$114,$BV$205^A56,IF(A56='Données projet'!$A$114,'Données projet'!$B$114,BY55+BX56-CG55)))</f>
        <v>292.04999999999995</v>
      </c>
      <c r="BZ56" s="13">
        <f>BY56*VLOOKUP('Données projet'!$B$12,Paramètres!$A$1:$I$89,3,0)*VLOOKUP('Données projet'!$B$12,Paramètres!$A$1:$I$89,5,0)</f>
        <v>136.67939999999999</v>
      </c>
      <c r="CA56" s="13">
        <f t="shared" si="39"/>
        <v>35.535243187698612</v>
      </c>
      <c r="CB56" s="20">
        <f t="shared" si="10"/>
        <v>299.94050355190836</v>
      </c>
      <c r="CC56" s="59">
        <f t="shared" si="11"/>
        <v>557.01588175844154</v>
      </c>
      <c r="CD56" s="59">
        <f ca="1">AVERAGE(OFFSET($CC$3,0,0,'Données projet'!$E$12+1,1))-AVERAGE(OFFSET($H$3,0,0,'Données projet'!$E$12+1,1))</f>
        <v>307.52821153421951</v>
      </c>
      <c r="CE56" s="59">
        <f t="shared" si="40"/>
        <v>221.23619018904222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22.680981195474057</v>
      </c>
      <c r="CL56" s="21">
        <f>EXP(-LN(2)/25)*CL55+(1-EXP(-LN(2)/25))/(LN(2)/25)*Calculateur!CG56*Calculateur!CI56*VLOOKUP('Données projet'!$B$12,Paramètres!$A$1:$I$89,3,0)*0.475*44/12</f>
        <v>20.09940266964411</v>
      </c>
      <c r="CM56" s="21">
        <f>EXP(-LN(2)/2)*CM55+(1-EXP(-LN(2)/2))/(LN(2)/2)*CG56*CJ56*VLOOKUP('Données projet'!$B$12,Paramètres!$A$1:$I$89,3,0)*0.475*44/12</f>
        <v>2.9934527385994549</v>
      </c>
      <c r="CN56" s="22">
        <f t="shared" si="12"/>
        <v>45.773836603717626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7.2307692307692264</v>
      </c>
      <c r="CT56" s="12">
        <f>IF('Données projet'!$A$140&gt;35,CT55+CS56-DB55,IF(A56&lt;'Données projet'!$A$140,$CQ$205^A56,IF(A56='Données projet'!$A$140,'Données projet'!$B$140,CT55+CS56-DB55)))</f>
        <v>151.83333333333346</v>
      </c>
      <c r="CU56" s="17">
        <f>CT56*VLOOKUP('Données projet'!$B$13,Paramètres!$A$1:$I$89,3,0)*VLOOKUP('Données projet'!$B$13,Paramètres!$A$1:$I$89,5,0)</f>
        <v>172.90780000000015</v>
      </c>
      <c r="CV56" s="13">
        <f t="shared" si="41"/>
        <v>43.740629829331453</v>
      </c>
      <c r="CW56" s="20">
        <f t="shared" si="13"/>
        <v>377.32934861941914</v>
      </c>
      <c r="CX56" s="59">
        <f t="shared" si="14"/>
        <v>634.40472682595237</v>
      </c>
      <c r="CY56" s="59">
        <f ca="1">AVERAGE(OFFSET($CX$3,0,0,'Données projet'!$E$13+1,1))-AVERAGE(OFFSET($H$3,0,0,'Données projet'!$E$13+1,1))</f>
        <v>598.12133208901378</v>
      </c>
      <c r="CZ56" s="59">
        <f t="shared" si="42"/>
        <v>246.23353541360947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219.99999999999989</v>
      </c>
      <c r="DP56" s="17">
        <f>DO56*VLOOKUP('Données projet'!$B$14,Paramètres!$A$1:$I$89,3,0)*VLOOKUP('Données projet'!$B$14,Paramètres!$A$1:$I$89,5,0)</f>
        <v>175.03199999999993</v>
      </c>
      <c r="DQ56" s="13">
        <f t="shared" si="43"/>
        <v>44.215103743191008</v>
      </c>
      <c r="DR56" s="20">
        <f t="shared" si="16"/>
        <v>381.85537235272426</v>
      </c>
      <c r="DS56" s="59">
        <f t="shared" si="17"/>
        <v>638.93075055925749</v>
      </c>
      <c r="DT56" s="59">
        <f ca="1">AVERAGE(OFFSET($DS$3,0,0,'Données projet'!$E$14+1,1))-AVERAGE(OFFSET($H$3,0,0,'Données projet'!$E$14+1,1))</f>
        <v>323.01113210765487</v>
      </c>
      <c r="DU56" s="59">
        <f t="shared" si="44"/>
        <v>311.68541696405975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16.334093091672408</v>
      </c>
      <c r="EB56" s="21">
        <f>EXP(-LN(2)/25)*EB55+(1-EXP(-LN(2)/25))/(LN(2)/25)*Calculateur!DW56*Calculateur!DY56*VLOOKUP('Données projet'!$B$14,Paramètres!$A$1:$I$89,3,0)*0.475*44/12</f>
        <v>12.848047147021017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29.182140238693425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802.10834271009617</v>
      </c>
      <c r="S57" s="59">
        <f ca="1">AVERAGE(OFFSET($R$3,0,0,'Données projet'!$E$9+1,1))-AVERAGE(OFFSET($H$3,0,0,'Données projet'!$E$9+1,1))</f>
        <v>337.99164391755608</v>
      </c>
      <c r="T57" s="59">
        <f t="shared" si="34"/>
        <v>421.45428231923393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9.6586538461538431</v>
      </c>
      <c r="AI57" s="13">
        <f>IF('Données projet'!$A$62&gt;35,AI56+AH57-AQ56,IF(A57&lt;'Données projet'!$A$62,$AF$205^A57,IF(A57='Données projet'!$A$62,'Données projet'!$B$62,AI56+AH57-AQ56)))</f>
        <v>209.35256410256395</v>
      </c>
      <c r="AJ57" s="13">
        <f>AI57*VLOOKUP('Données projet'!$B$10,Paramètres!$A$1:$I$89,3,0)*VLOOKUP('Données projet'!$B$10,Paramètres!$A$1:$I$89,5,0)</f>
        <v>212.28349999999986</v>
      </c>
      <c r="AK57" s="13">
        <f t="shared" si="35"/>
        <v>52.434273374498595</v>
      </c>
      <c r="AL57" s="20">
        <f t="shared" si="4"/>
        <v>461.05012196058482</v>
      </c>
      <c r="AM57" s="59">
        <f t="shared" si="5"/>
        <v>718.75449462792415</v>
      </c>
      <c r="AN57" s="59">
        <f ca="1">AVERAGE(OFFSET($AM$3,0,0,'Données projet'!$E$10+1,1))-AVERAGE(OFFSET($H$3,0,0,'Données projet'!$E$10+1,1))</f>
        <v>596.42822894047072</v>
      </c>
      <c r="AO57" s="59">
        <f t="shared" si="36"/>
        <v>298.31525330951047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6.6</v>
      </c>
      <c r="BD57" s="12">
        <f>IF('Données projet'!$A$88&gt;35,BD56+BC57-BL56,IF(A57&lt;'Données projet'!$A$88,$BA$205^A57,IF(A57='Données projet'!$A$88,'Données projet'!$B$88,BD56+BC57-BL56)))</f>
        <v>211.40000000000003</v>
      </c>
      <c r="BE57" s="13">
        <f>BD57*VLOOKUP('Données projet'!$B$11,Paramètres!$A$1:$I$89,3,0)*VLOOKUP('Données projet'!$B$11,Paramètres!$A$1:$I$89,5,0)</f>
        <v>220.95528000000007</v>
      </c>
      <c r="BF57" s="13">
        <f t="shared" si="37"/>
        <v>54.322458723287411</v>
      </c>
      <c r="BG57" s="20">
        <f t="shared" si="7"/>
        <v>479.44206160972567</v>
      </c>
      <c r="BH57" s="59">
        <f t="shared" si="8"/>
        <v>737.14643427706505</v>
      </c>
      <c r="BI57" s="59">
        <f ca="1">AVERAGE(OFFSET($BH$3,0,0,'Données projet'!$E$11+1,1))-AVERAGE(OFFSET($H$3,0,0,'Données projet'!$E$11+1,1))</f>
        <v>446.06835300781546</v>
      </c>
      <c r="BJ57" s="59">
        <f t="shared" si="38"/>
        <v>396.46809188573138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8.729939435644285</v>
      </c>
      <c r="BQ57" s="21">
        <f>EXP(-LN(2)/25)*BQ56+(1-EXP(-LN(2)/25))/(LN(2)/25)*Calculateur!BL57*Calculateur!BN57*VLOOKUP('Données projet'!$B$11,Paramètres!$A$1:$I$89,3,0)*0.475*44/12</f>
        <v>16.739051175323056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25.468990610967339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14.25</v>
      </c>
      <c r="BY57" s="12">
        <f>IF('Données projet'!$A$114&gt;35,BY56+BX57-CG56,IF(A57&lt;'Données projet'!$A$114,$BV$205^A57,IF(A57='Données projet'!$A$114,'Données projet'!$B$114,BY56+BX57-CG56)))</f>
        <v>306.29999999999995</v>
      </c>
      <c r="BZ57" s="13">
        <f>BY57*VLOOKUP('Données projet'!$B$12,Paramètres!$A$1:$I$89,3,0)*VLOOKUP('Données projet'!$B$12,Paramètres!$A$1:$I$89,5,0)</f>
        <v>143.3484</v>
      </c>
      <c r="CA57" s="13">
        <f t="shared" si="39"/>
        <v>37.063018553744129</v>
      </c>
      <c r="CB57" s="20">
        <f t="shared" si="10"/>
        <v>314.21655398110437</v>
      </c>
      <c r="CC57" s="59">
        <f t="shared" si="11"/>
        <v>571.9209266484437</v>
      </c>
      <c r="CD57" s="59">
        <f ca="1">AVERAGE(OFFSET($CC$3,0,0,'Données projet'!$E$12+1,1))-AVERAGE(OFFSET($H$3,0,0,'Données projet'!$E$12+1,1))</f>
        <v>307.52821153421951</v>
      </c>
      <c r="CE57" s="59">
        <f t="shared" si="40"/>
        <v>221.23619018904222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22.236220988263344</v>
      </c>
      <c r="CL57" s="21">
        <f>EXP(-LN(2)/25)*CL56+(1-EXP(-LN(2)/25))/(LN(2)/25)*Calculateur!CG57*Calculateur!CI57*VLOOKUP('Données projet'!$B$12,Paramètres!$A$1:$I$89,3,0)*0.475*44/12</f>
        <v>19.549783446661042</v>
      </c>
      <c r="CM57" s="21">
        <f>EXP(-LN(2)/2)*CM56+(1-EXP(-LN(2)/2))/(LN(2)/2)*CG57*CJ57*VLOOKUP('Données projet'!$B$12,Paramètres!$A$1:$I$89,3,0)*0.475*44/12</f>
        <v>2.1166907306251161</v>
      </c>
      <c r="CN57" s="22">
        <f t="shared" si="12"/>
        <v>43.902695165549503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7.2307692307692264</v>
      </c>
      <c r="CT57" s="12">
        <f>IF('Données projet'!$A$140&gt;35,CT56+CS57-DB56,IF(A57&lt;'Données projet'!$A$140,$CQ$205^A57,IF(A57='Données projet'!$A$140,'Données projet'!$B$140,CT56+CS57-DB56)))</f>
        <v>159.06410256410268</v>
      </c>
      <c r="CU57" s="17">
        <f>CT57*VLOOKUP('Données projet'!$B$13,Paramètres!$A$1:$I$89,3,0)*VLOOKUP('Données projet'!$B$13,Paramètres!$A$1:$I$89,5,0)</f>
        <v>181.14220000000012</v>
      </c>
      <c r="CV57" s="13">
        <f t="shared" si="41"/>
        <v>45.576210994824613</v>
      </c>
      <c r="CW57" s="20">
        <f t="shared" si="13"/>
        <v>394.86789914931973</v>
      </c>
      <c r="CX57" s="59">
        <f t="shared" si="14"/>
        <v>652.57227181665905</v>
      </c>
      <c r="CY57" s="59">
        <f ca="1">AVERAGE(OFFSET($CX$3,0,0,'Données projet'!$E$13+1,1))-AVERAGE(OFFSET($H$3,0,0,'Données projet'!$E$13+1,1))</f>
        <v>598.12133208901378</v>
      </c>
      <c r="CZ57" s="59">
        <f t="shared" si="42"/>
        <v>246.23353541360947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225.99999999999989</v>
      </c>
      <c r="DP57" s="17">
        <f>DO57*VLOOKUP('Données projet'!$B$14,Paramètres!$A$1:$I$89,3,0)*VLOOKUP('Données projet'!$B$14,Paramètres!$A$1:$I$89,5,0)</f>
        <v>179.80559999999991</v>
      </c>
      <c r="DQ57" s="13">
        <f t="shared" si="43"/>
        <v>45.278933028529984</v>
      </c>
      <c r="DR57" s="20">
        <f t="shared" si="16"/>
        <v>392.02222835802286</v>
      </c>
      <c r="DS57" s="59">
        <f t="shared" si="17"/>
        <v>649.72660102536224</v>
      </c>
      <c r="DT57" s="59">
        <f ca="1">AVERAGE(OFFSET($DS$3,0,0,'Données projet'!$E$14+1,1))-AVERAGE(OFFSET($H$3,0,0,'Données projet'!$E$14+1,1))</f>
        <v>323.01113210765487</v>
      </c>
      <c r="DU57" s="59">
        <f t="shared" si="44"/>
        <v>311.68541696405975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16.01379148895775</v>
      </c>
      <c r="EB57" s="21">
        <f>EXP(-LN(2)/25)*EB56+(1-EXP(-LN(2)/25))/(LN(2)/25)*Calculateur!DW57*Calculateur!DY57*VLOOKUP('Données projet'!$B$14,Paramètres!$A$1:$I$89,3,0)*0.475*44/12</f>
        <v>12.496716622136292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28.51050811109404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818.95278020457476</v>
      </c>
      <c r="S58" s="59">
        <f ca="1">AVERAGE(OFFSET($R$3,0,0,'Données projet'!$E$9+1,1))-AVERAGE(OFFSET($H$3,0,0,'Données projet'!$E$9+1,1))</f>
        <v>337.99164391755608</v>
      </c>
      <c r="T58" s="59">
        <f t="shared" si="34"/>
        <v>421.45428231923393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9.6586538461538431</v>
      </c>
      <c r="AI58" s="13">
        <f>IF('Données projet'!$A$62&gt;35,AI57+AH58-AQ57,IF(A58&lt;'Données projet'!$A$62,$AF$205^A58,IF(A58='Données projet'!$A$62,'Données projet'!$B$62,AI57+AH58-AQ57)))</f>
        <v>219.01121794871779</v>
      </c>
      <c r="AJ58" s="13">
        <f>AI58*VLOOKUP('Données projet'!$B$10,Paramètres!$A$1:$I$89,3,0)*VLOOKUP('Données projet'!$B$10,Paramètres!$A$1:$I$89,5,0)</f>
        <v>222.07737499999985</v>
      </c>
      <c r="AK58" s="13">
        <f t="shared" si="35"/>
        <v>54.566145650172906</v>
      </c>
      <c r="AL58" s="20">
        <f t="shared" si="4"/>
        <v>481.82079846571759</v>
      </c>
      <c r="AM58" s="59">
        <f t="shared" si="5"/>
        <v>740.14325394618891</v>
      </c>
      <c r="AN58" s="59">
        <f ca="1">AVERAGE(OFFSET($AM$3,0,0,'Données projet'!$E$10+1,1))-AVERAGE(OFFSET($H$3,0,0,'Données projet'!$E$10+1,1))</f>
        <v>596.42822894047072</v>
      </c>
      <c r="AO58" s="59">
        <f t="shared" si="36"/>
        <v>298.31525330951047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218</v>
      </c>
      <c r="BB58" s="12">
        <f>VLOOKUP(A58,'Données projet'!$A$87:$I$107,9,0)</f>
        <v>6.6</v>
      </c>
      <c r="BC58" s="12">
        <f t="array" ref="BC58">INDEX(BB:BB,MIN(IF(ISNUMBER(BB58:BB254),ROW(BB58:BB254),"")))</f>
        <v>6.6</v>
      </c>
      <c r="BD58" s="12">
        <f>IF('Données projet'!$A$88&gt;35,BD57+BC58-BL57,IF(A58&lt;'Données projet'!$A$88,$BA$205^A58,IF(A58='Données projet'!$A$88,'Données projet'!$B$88,BD57+BC58-BL57)))</f>
        <v>218.00000000000003</v>
      </c>
      <c r="BE58" s="13">
        <f>BD58*VLOOKUP('Données projet'!$B$11,Paramètres!$A$1:$I$89,3,0)*VLOOKUP('Données projet'!$B$11,Paramètres!$A$1:$I$89,5,0)</f>
        <v>227.85360000000006</v>
      </c>
      <c r="BF58" s="13">
        <f t="shared" si="37"/>
        <v>55.818326719749848</v>
      </c>
      <c r="BG58" s="20">
        <f t="shared" si="7"/>
        <v>494.06193903689768</v>
      </c>
      <c r="BH58" s="59">
        <f t="shared" si="8"/>
        <v>752.38439451736906</v>
      </c>
      <c r="BI58" s="59">
        <f ca="1">AVERAGE(OFFSET($BH$3,0,0,'Données projet'!$E$11+1,1))-AVERAGE(OFFSET($H$3,0,0,'Données projet'!$E$11+1,1))</f>
        <v>446.06835300781546</v>
      </c>
      <c r="BJ58" s="59">
        <f t="shared" si="38"/>
        <v>396.46809188573138</v>
      </c>
      <c r="BK58" s="15">
        <f>IF(ISNA(VLOOKUP(A58,'Données projet'!$A$87:$I$107,3,0)),0,VLOOKUP(A58,'Données projet'!$A$87:$I$107,3,0))</f>
        <v>8</v>
      </c>
      <c r="BL58" s="15" t="str">
        <f>IF(ISNA(VLOOKUP(A58,'Données projet'!$A$87:$I$107,4,0)),0,VLOOKUP(A58,'Données projet'!$A$87:$I$107,4,0))</f>
        <v>23</v>
      </c>
      <c r="BM58" s="16">
        <f>IF(ISNA(VLOOKUP(A58,'Données projet'!$A$87:$I$107,5,0)),0%,VLOOKUP(A58,'Données projet'!$A$87:$I$107,5,0)*VLOOKUP('Données projet'!$B$11,Paramètres!$A$1:$I$89,7,0))</f>
        <v>0.17200000000000001</v>
      </c>
      <c r="BN58" s="16">
        <f>IF(ISNA(VLOOKUP(A58,'Données projet'!$A$87:$I$107,6,0)),0%,VLOOKUP(A58,'Données projet'!$A$87:$I$107,6,0)*VLOOKUP('Données projet'!$B$11,Paramètres!$A$1:$I$89,7,0))</f>
        <v>0.17200000000000001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13.129661954609677</v>
      </c>
      <c r="BQ58" s="21">
        <f>EXP(-LN(2)/25)*BQ57+(1-EXP(-LN(2)/25))/(LN(2)/25)*Calculateur!BL58*Calculateur!BN58*VLOOKUP('Données projet'!$B$11,Paramètres!$A$1:$I$89,3,0)*0.475*44/12</f>
        <v>20.834234827758813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33.963896782368494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14.25</v>
      </c>
      <c r="BY58" s="12">
        <f>IF('Données projet'!$A$114&gt;35,BY57+BX58-CG57,IF(A58&lt;'Données projet'!$A$114,$BV$205^A58,IF(A58='Données projet'!$A$114,'Données projet'!$B$114,BY57+BX58-CG57)))</f>
        <v>320.54999999999995</v>
      </c>
      <c r="BZ58" s="13">
        <f>BY58*VLOOKUP('Données projet'!$B$12,Paramètres!$A$1:$I$89,3,0)*VLOOKUP('Données projet'!$B$12,Paramètres!$A$1:$I$89,5,0)</f>
        <v>150.01739999999998</v>
      </c>
      <c r="CA58" s="13">
        <f t="shared" si="39"/>
        <v>38.582539806596685</v>
      </c>
      <c r="CB58" s="20">
        <f t="shared" si="10"/>
        <v>328.47822849648918</v>
      </c>
      <c r="CC58" s="59">
        <f t="shared" si="11"/>
        <v>586.8006839769605</v>
      </c>
      <c r="CD58" s="59">
        <f ca="1">AVERAGE(OFFSET($CC$3,0,0,'Données projet'!$E$12+1,1))-AVERAGE(OFFSET($H$3,0,0,'Données projet'!$E$12+1,1))</f>
        <v>307.52821153421951</v>
      </c>
      <c r="CE58" s="59">
        <f t="shared" si="40"/>
        <v>221.23619018904222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21.800182257439094</v>
      </c>
      <c r="CL58" s="21">
        <f>EXP(-LN(2)/25)*CL57+(1-EXP(-LN(2)/25))/(LN(2)/25)*Calculateur!CG58*Calculateur!CI58*VLOOKUP('Données projet'!$B$12,Paramètres!$A$1:$I$89,3,0)*0.475*44/12</f>
        <v>19.015193590233665</v>
      </c>
      <c r="CM58" s="21">
        <f>EXP(-LN(2)/2)*CM57+(1-EXP(-LN(2)/2))/(LN(2)/2)*CG58*CJ58*VLOOKUP('Données projet'!$B$12,Paramètres!$A$1:$I$89,3,0)*0.475*44/12</f>
        <v>1.4967263692997275</v>
      </c>
      <c r="CN58" s="22">
        <f t="shared" si="12"/>
        <v>42.312102216972484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7.2307692307692264</v>
      </c>
      <c r="CT58" s="12">
        <f>IF('Données projet'!$A$140&gt;35,CT57+CS58-DB57,IF(A58&lt;'Données projet'!$A$140,$CQ$205^A58,IF(A58='Données projet'!$A$140,'Données projet'!$B$140,CT57+CS58-DB57)))</f>
        <v>166.29487179487191</v>
      </c>
      <c r="CU58" s="17">
        <f>CT58*VLOOKUP('Données projet'!$B$13,Paramètres!$A$1:$I$89,3,0)*VLOOKUP('Données projet'!$B$13,Paramètres!$A$1:$I$89,5,0)</f>
        <v>189.37660000000014</v>
      </c>
      <c r="CV58" s="13">
        <f t="shared" si="41"/>
        <v>47.402101611540381</v>
      </c>
      <c r="CW58" s="20">
        <f t="shared" si="13"/>
        <v>412.38957197343302</v>
      </c>
      <c r="CX58" s="59">
        <f t="shared" si="14"/>
        <v>670.7120274539044</v>
      </c>
      <c r="CY58" s="59">
        <f ca="1">AVERAGE(OFFSET($CX$3,0,0,'Données projet'!$E$13+1,1))-AVERAGE(OFFSET($H$3,0,0,'Données projet'!$E$13+1,1))</f>
        <v>598.12133208901378</v>
      </c>
      <c r="CZ58" s="59">
        <f t="shared" si="42"/>
        <v>246.23353541360947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232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231.99999999999989</v>
      </c>
      <c r="DP58" s="17">
        <f>DO58*VLOOKUP('Données projet'!$B$14,Paramètres!$A$1:$I$89,3,0)*VLOOKUP('Données projet'!$B$14,Paramètres!$A$1:$I$89,5,0)</f>
        <v>184.57919999999993</v>
      </c>
      <c r="DQ58" s="13">
        <f t="shared" si="43"/>
        <v>46.339479465836618</v>
      </c>
      <c r="DR58" s="20">
        <f t="shared" si="16"/>
        <v>402.18336673633195</v>
      </c>
      <c r="DS58" s="59">
        <f t="shared" si="17"/>
        <v>660.50582221680338</v>
      </c>
      <c r="DT58" s="59">
        <f ca="1">AVERAGE(OFFSET($DS$3,0,0,'Données projet'!$E$14+1,1))-AVERAGE(OFFSET($H$3,0,0,'Données projet'!$E$14+1,1))</f>
        <v>323.01113210765487</v>
      </c>
      <c r="DU58" s="59">
        <f t="shared" si="44"/>
        <v>311.68541696405975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0.40769230769230774</v>
      </c>
      <c r="DY58" s="16">
        <f>IF(ISNA(VLOOKUP(A58,'Données projet'!$A$165:$I$185,6,0)),0%,VLOOKUP(A58,'Données projet'!$A$165:$I$185,6,0)*VLOOKUP('Données projet'!$B$14,Paramètres!$A$1:$I$89,7,0))</f>
        <v>8.1538461538461546E-2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20.361185645276642</v>
      </c>
      <c r="EB58" s="21">
        <f>EXP(-LN(2)/25)*EB57+(1-EXP(-LN(2)/25))/(LN(2)/25)*Calculateur!DW58*Calculateur!DY58*VLOOKUP('Données projet'!$B$14,Paramètres!$A$1:$I$89,3,0)*0.475*44/12</f>
        <v>13.083605463651358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33.444791108928001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835.77666962620265</v>
      </c>
      <c r="S59" s="59">
        <f ca="1">AVERAGE(OFFSET($R$3,0,0,'Données projet'!$E$9+1,1))-AVERAGE(OFFSET($H$3,0,0,'Données projet'!$E$9+1,1))</f>
        <v>337.99164391755608</v>
      </c>
      <c r="T59" s="59">
        <f t="shared" si="34"/>
        <v>421.45428231923393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9.6586538461538431</v>
      </c>
      <c r="AI59" s="13">
        <f>IF('Données projet'!$A$62&gt;35,AI58+AH59-AQ58,IF(A59&lt;'Données projet'!$A$62,$AF$205^A59,IF(A59='Données projet'!$A$62,'Données projet'!$B$62,AI58+AH59-AQ58)))</f>
        <v>228.66987179487163</v>
      </c>
      <c r="AJ59" s="13">
        <f>AI59*VLOOKUP('Données projet'!$B$10,Paramètres!$A$1:$I$89,3,0)*VLOOKUP('Données projet'!$B$10,Paramètres!$A$1:$I$89,5,0)</f>
        <v>231.87124999999986</v>
      </c>
      <c r="AK59" s="13">
        <f t="shared" si="35"/>
        <v>56.687098523570668</v>
      </c>
      <c r="AL59" s="20">
        <f t="shared" si="4"/>
        <v>502.57245701188526</v>
      </c>
      <c r="AM59" s="59">
        <f t="shared" si="5"/>
        <v>761.50227295050695</v>
      </c>
      <c r="AN59" s="59">
        <f ca="1">AVERAGE(OFFSET($AM$3,0,0,'Données projet'!$E$10+1,1))-AVERAGE(OFFSET($H$3,0,0,'Données projet'!$E$10+1,1))</f>
        <v>596.42822894047072</v>
      </c>
      <c r="AO59" s="59">
        <f t="shared" si="36"/>
        <v>298.31525330951047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201.00000000000003</v>
      </c>
      <c r="BE59" s="13">
        <f>BD59*VLOOKUP('Données projet'!$B$11,Paramètres!$A$1:$I$89,3,0)*VLOOKUP('Données projet'!$B$11,Paramètres!$A$1:$I$89,5,0)</f>
        <v>210.08520000000004</v>
      </c>
      <c r="BF59" s="13">
        <f t="shared" si="37"/>
        <v>51.954203602341138</v>
      </c>
      <c r="BG59" s="20">
        <f t="shared" si="7"/>
        <v>456.38529460741091</v>
      </c>
      <c r="BH59" s="59">
        <f t="shared" si="8"/>
        <v>715.31511054603266</v>
      </c>
      <c r="BI59" s="59">
        <f ca="1">AVERAGE(OFFSET($BH$3,0,0,'Données projet'!$E$11+1,1))-AVERAGE(OFFSET($H$3,0,0,'Données projet'!$E$11+1,1))</f>
        <v>446.06835300781546</v>
      </c>
      <c r="BJ59" s="59">
        <f t="shared" si="38"/>
        <v>396.46809188573138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12.87219729198282</v>
      </c>
      <c r="BQ59" s="21">
        <f>EXP(-LN(2)/25)*BQ58+(1-EXP(-LN(2)/25))/(LN(2)/25)*Calculateur!BL59*Calculateur!BN59*VLOOKUP('Données projet'!$B$11,Paramètres!$A$1:$I$89,3,0)*0.475*44/12</f>
        <v>20.264521580768957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33.136718872751779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14.25</v>
      </c>
      <c r="BY59" s="12">
        <f>IF('Données projet'!$A$114&gt;35,BY58+BX59-CG58,IF(A59&lt;'Données projet'!$A$114,$BV$205^A59,IF(A59='Données projet'!$A$114,'Données projet'!$B$114,BY58+BX59-CG58)))</f>
        <v>334.79999999999995</v>
      </c>
      <c r="BZ59" s="13">
        <f>BY59*VLOOKUP('Données projet'!$B$12,Paramètres!$A$1:$I$89,3,0)*VLOOKUP('Données projet'!$B$12,Paramètres!$A$1:$I$89,5,0)</f>
        <v>156.68639999999996</v>
      </c>
      <c r="CA59" s="13">
        <f t="shared" si="39"/>
        <v>40.094215809840712</v>
      </c>
      <c r="CB59" s="20">
        <f t="shared" si="10"/>
        <v>342.72623920213914</v>
      </c>
      <c r="CC59" s="59">
        <f t="shared" si="11"/>
        <v>601.65605514076083</v>
      </c>
      <c r="CD59" s="59">
        <f ca="1">AVERAGE(OFFSET($CC$3,0,0,'Données projet'!$E$12+1,1))-AVERAGE(OFFSET($H$3,0,0,'Données projet'!$E$12+1,1))</f>
        <v>307.52821153421951</v>
      </c>
      <c r="CE59" s="59">
        <f t="shared" si="40"/>
        <v>221.23619018904222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21.37269398016894</v>
      </c>
      <c r="CL59" s="21">
        <f>EXP(-LN(2)/25)*CL58+(1-EXP(-LN(2)/25))/(LN(2)/25)*Calculateur!CG59*Calculateur!CI59*VLOOKUP('Données projet'!$B$12,Paramètres!$A$1:$I$89,3,0)*0.475*44/12</f>
        <v>18.495222121543154</v>
      </c>
      <c r="CM59" s="21">
        <f>EXP(-LN(2)/2)*CM58+(1-EXP(-LN(2)/2))/(LN(2)/2)*CG59*CJ59*VLOOKUP('Données projet'!$B$12,Paramètres!$A$1:$I$89,3,0)*0.475*44/12</f>
        <v>1.0583453653125581</v>
      </c>
      <c r="CN59" s="22">
        <f t="shared" si="12"/>
        <v>40.926261467024659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7.2307692307692264</v>
      </c>
      <c r="CT59" s="12">
        <f>IF('Données projet'!$A$140&gt;35,CT58+CS59-DB58,IF(A59&lt;'Données projet'!$A$140,$CQ$205^A59,IF(A59='Données projet'!$A$140,'Données projet'!$B$140,CT58+CS59-DB58)))</f>
        <v>173.52564102564114</v>
      </c>
      <c r="CU59" s="17">
        <f>CT59*VLOOKUP('Données projet'!$B$13,Paramètres!$A$1:$I$89,3,0)*VLOOKUP('Données projet'!$B$13,Paramètres!$A$1:$I$89,5,0)</f>
        <v>197.61100000000013</v>
      </c>
      <c r="CV59" s="13">
        <f t="shared" si="41"/>
        <v>49.218771200158798</v>
      </c>
      <c r="CW59" s="20">
        <f t="shared" si="13"/>
        <v>429.89518484027673</v>
      </c>
      <c r="CX59" s="59">
        <f t="shared" si="14"/>
        <v>688.82500077889847</v>
      </c>
      <c r="CY59" s="59">
        <f ca="1">AVERAGE(OFFSET($CX$3,0,0,'Données projet'!$E$13+1,1))-AVERAGE(OFFSET($H$3,0,0,'Données projet'!$E$13+1,1))</f>
        <v>598.12133208901378</v>
      </c>
      <c r="CZ59" s="59">
        <f t="shared" si="42"/>
        <v>246.23353541360947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224.19999999999987</v>
      </c>
      <c r="DP59" s="17">
        <f>DO59*VLOOKUP('Données projet'!$B$14,Paramètres!$A$1:$I$89,3,0)*VLOOKUP('Données projet'!$B$14,Paramètres!$A$1:$I$89,5,0)</f>
        <v>178.37351999999993</v>
      </c>
      <c r="DQ59" s="13">
        <f t="shared" si="43"/>
        <v>44.960133388294842</v>
      </c>
      <c r="DR59" s="20">
        <f t="shared" si="16"/>
        <v>388.97277965128006</v>
      </c>
      <c r="DS59" s="59">
        <f t="shared" si="17"/>
        <v>647.90259558990181</v>
      </c>
      <c r="DT59" s="59">
        <f ca="1">AVERAGE(OFFSET($DS$3,0,0,'Données projet'!$E$14+1,1))-AVERAGE(OFFSET($H$3,0,0,'Données projet'!$E$14+1,1))</f>
        <v>323.01113210765487</v>
      </c>
      <c r="DU59" s="59">
        <f t="shared" si="44"/>
        <v>311.68541696405975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19.961915213869727</v>
      </c>
      <c r="EB59" s="21">
        <f>EXP(-LN(2)/25)*EB58+(1-EXP(-LN(2)/25))/(LN(2)/25)*Calculateur!DW59*Calculateur!DY59*VLOOKUP('Données projet'!$B$14,Paramètres!$A$1:$I$89,3,0)*0.475*44/12</f>
        <v>12.725833584210903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32.687748798080634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337.99164391755608</v>
      </c>
      <c r="T60" s="59">
        <f t="shared" si="34"/>
        <v>421.45428231923393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9.6586538461538431</v>
      </c>
      <c r="AI60" s="13">
        <f>IF('Données projet'!$A$62&gt;35,AI59+AH60-AQ59,IF(A60&lt;'Données projet'!$A$62,$AF$205^A60,IF(A60='Données projet'!$A$62,'Données projet'!$B$62,AI59+AH60-AQ59)))</f>
        <v>238.32852564102546</v>
      </c>
      <c r="AJ60" s="13">
        <f>AI60*VLOOKUP('Données projet'!$B$10,Paramètres!$A$1:$I$89,3,0)*VLOOKUP('Données projet'!$B$10,Paramètres!$A$1:$I$89,5,0)</f>
        <v>241.66512499999985</v>
      </c>
      <c r="AK60" s="13">
        <f t="shared" si="35"/>
        <v>58.797645946861948</v>
      </c>
      <c r="AL60" s="20">
        <f t="shared" si="4"/>
        <v>523.30599273245093</v>
      </c>
      <c r="AM60" s="59">
        <f t="shared" si="5"/>
        <v>782.8326327831287</v>
      </c>
      <c r="AN60" s="59">
        <f ca="1">AVERAGE(OFFSET($AM$3,0,0,'Données projet'!$E$10+1,1))-AVERAGE(OFFSET($H$3,0,0,'Données projet'!$E$10+1,1))</f>
        <v>596.42822894047072</v>
      </c>
      <c r="AO60" s="59">
        <f t="shared" si="36"/>
        <v>298.31525330951047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207.00000000000003</v>
      </c>
      <c r="BE60" s="13">
        <f>BD60*VLOOKUP('Données projet'!$B$11,Paramètres!$A$1:$I$89,3,0)*VLOOKUP('Données projet'!$B$11,Paramètres!$A$1:$I$89,5,0)</f>
        <v>216.35640000000004</v>
      </c>
      <c r="BF60" s="13">
        <f t="shared" si="37"/>
        <v>53.322199188237285</v>
      </c>
      <c r="BG60" s="20">
        <f t="shared" si="7"/>
        <v>469.69022691951341</v>
      </c>
      <c r="BH60" s="59">
        <f t="shared" si="8"/>
        <v>729.21686697019118</v>
      </c>
      <c r="BI60" s="59">
        <f ca="1">AVERAGE(OFFSET($BH$3,0,0,'Données projet'!$E$11+1,1))-AVERAGE(OFFSET($H$3,0,0,'Données projet'!$E$11+1,1))</f>
        <v>446.06835300781546</v>
      </c>
      <c r="BJ60" s="59">
        <f t="shared" si="38"/>
        <v>396.46809188573138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12.619781354352137</v>
      </c>
      <c r="BQ60" s="21">
        <f>EXP(-LN(2)/25)*BQ59+(1-EXP(-LN(2)/25))/(LN(2)/25)*Calculateur!BL60*Calculateur!BN60*VLOOKUP('Données projet'!$B$11,Paramètres!$A$1:$I$89,3,0)*0.475*44/12</f>
        <v>19.710387172477954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32.330168526830093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14.25</v>
      </c>
      <c r="BY60" s="12">
        <f>IF('Données projet'!$A$114&gt;35,BY59+BX60-CG59,IF(A60&lt;'Données projet'!$A$114,$BV$205^A60,IF(A60='Données projet'!$A$114,'Données projet'!$B$114,BY59+BX60-CG59)))</f>
        <v>349.04999999999995</v>
      </c>
      <c r="BZ60" s="13">
        <f>BY60*VLOOKUP('Données projet'!$B$12,Paramètres!$A$1:$I$89,3,0)*VLOOKUP('Données projet'!$B$12,Paramètres!$A$1:$I$89,5,0)</f>
        <v>163.35539999999997</v>
      </c>
      <c r="CA60" s="13">
        <f t="shared" si="39"/>
        <v>41.598418653719463</v>
      </c>
      <c r="CB60" s="20">
        <f t="shared" si="10"/>
        <v>356.96123415522806</v>
      </c>
      <c r="CC60" s="59">
        <f t="shared" si="11"/>
        <v>616.48787420590577</v>
      </c>
      <c r="CD60" s="59">
        <f ca="1">AVERAGE(OFFSET($CC$3,0,0,'Données projet'!$E$12+1,1))-AVERAGE(OFFSET($H$3,0,0,'Données projet'!$E$12+1,1))</f>
        <v>307.52821153421951</v>
      </c>
      <c r="CE60" s="59">
        <f t="shared" si="40"/>
        <v>221.23619018904222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20.953588487273951</v>
      </c>
      <c r="CL60" s="21">
        <f>EXP(-LN(2)/25)*CL59+(1-EXP(-LN(2)/25))/(LN(2)/25)*Calculateur!CG60*Calculateur!CI60*VLOOKUP('Données projet'!$B$12,Paramètres!$A$1:$I$89,3,0)*0.475*44/12</f>
        <v>17.989469300008096</v>
      </c>
      <c r="CM60" s="21">
        <f>EXP(-LN(2)/2)*CM59+(1-EXP(-LN(2)/2))/(LN(2)/2)*CG60*CJ60*VLOOKUP('Données projet'!$B$12,Paramètres!$A$1:$I$89,3,0)*0.475*44/12</f>
        <v>0.74836318464986373</v>
      </c>
      <c r="CN60" s="22">
        <f t="shared" si="12"/>
        <v>39.691420971931905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7.2307692307692264</v>
      </c>
      <c r="CT60" s="12">
        <f>IF('Données projet'!$A$140&gt;35,CT59+CS60-DB59,IF(A60&lt;'Données projet'!$A$140,$CQ$205^A60,IF(A60='Données projet'!$A$140,'Données projet'!$B$140,CT59+CS60-DB59)))</f>
        <v>180.75641025641036</v>
      </c>
      <c r="CU60" s="17">
        <f>CT60*VLOOKUP('Données projet'!$B$13,Paramètres!$A$1:$I$89,3,0)*VLOOKUP('Données projet'!$B$13,Paramètres!$A$1:$I$89,5,0)</f>
        <v>205.84540000000013</v>
      </c>
      <c r="CV60" s="13">
        <f t="shared" si="41"/>
        <v>51.026647937953243</v>
      </c>
      <c r="CW60" s="20">
        <f t="shared" si="13"/>
        <v>447.38548349193542</v>
      </c>
      <c r="CX60" s="59">
        <f t="shared" si="14"/>
        <v>706.91212354261313</v>
      </c>
      <c r="CY60" s="59">
        <f ca="1">AVERAGE(OFFSET($CX$3,0,0,'Données projet'!$E$13+1,1))-AVERAGE(OFFSET($H$3,0,0,'Données projet'!$E$13+1,1))</f>
        <v>598.12133208901378</v>
      </c>
      <c r="CZ60" s="59">
        <f t="shared" si="42"/>
        <v>246.23353541360947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229.39999999999986</v>
      </c>
      <c r="DP60" s="17">
        <f>DO60*VLOOKUP('Données projet'!$B$14,Paramètres!$A$1:$I$89,3,0)*VLOOKUP('Données projet'!$B$14,Paramètres!$A$1:$I$89,5,0)</f>
        <v>182.51063999999988</v>
      </c>
      <c r="DQ60" s="13">
        <f t="shared" si="43"/>
        <v>45.880306213791371</v>
      </c>
      <c r="DR60" s="20">
        <f t="shared" si="16"/>
        <v>397.78089798901971</v>
      </c>
      <c r="DS60" s="59">
        <f t="shared" si="17"/>
        <v>657.30753803969742</v>
      </c>
      <c r="DT60" s="59">
        <f ca="1">AVERAGE(OFFSET($DS$3,0,0,'Données projet'!$E$14+1,1))-AVERAGE(OFFSET($H$3,0,0,'Données projet'!$E$14+1,1))</f>
        <v>323.01113210765487</v>
      </c>
      <c r="DU60" s="59">
        <f t="shared" si="44"/>
        <v>311.68541696405975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19.570474232091783</v>
      </c>
      <c r="EB60" s="21">
        <f>EXP(-LN(2)/25)*EB59+(1-EXP(-LN(2)/25))/(LN(2)/25)*Calculateur!DW60*Calculateur!DY60*VLOOKUP('Données projet'!$B$14,Paramètres!$A$1:$I$89,3,0)*0.475*44/12</f>
        <v>12.377844995628154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31.948319227719935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337.99164391755608</v>
      </c>
      <c r="T61" s="59">
        <f t="shared" si="34"/>
        <v>421.45428231923393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247.98717948717947</v>
      </c>
      <c r="AG61" s="12">
        <f>VLOOKUP(A61,'Données projet'!$A$61:$I$81,9,0)</f>
        <v>9.6586538461538431</v>
      </c>
      <c r="AH61" s="12">
        <f t="array" ref="AH61">INDEX(AG:AG,MIN(IF(ISNUMBER(AG61:AG257),ROW(AG61:AG257),"")))</f>
        <v>9.6586538461538431</v>
      </c>
      <c r="AI61" s="13">
        <f>IF('Données projet'!$A$62&gt;35,AI60+AH61-AQ60,IF(A61&lt;'Données projet'!$A$62,$AF$205^A61,IF(A61='Données projet'!$A$62,'Données projet'!$B$62,AI60+AH61-AQ60)))</f>
        <v>247.9871794871793</v>
      </c>
      <c r="AJ61" s="13">
        <f>AI61*VLOOKUP('Données projet'!$B$10,Paramètres!$A$1:$I$89,3,0)*VLOOKUP('Données projet'!$B$10,Paramètres!$A$1:$I$89,5,0)</f>
        <v>251.45899999999983</v>
      </c>
      <c r="AK61" s="13">
        <f t="shared" si="35"/>
        <v>60.898257857135299</v>
      </c>
      <c r="AL61" s="20">
        <f t="shared" si="4"/>
        <v>544.02222410117713</v>
      </c>
      <c r="AM61" s="59">
        <f t="shared" si="5"/>
        <v>804.13533469986555</v>
      </c>
      <c r="AN61" s="59">
        <f ca="1">AVERAGE(OFFSET($AM$3,0,0,'Données projet'!$E$10+1,1))-AVERAGE(OFFSET($H$3,0,0,'Données projet'!$E$10+1,1))</f>
        <v>596.42822894047072</v>
      </c>
      <c r="AO61" s="59">
        <f t="shared" si="36"/>
        <v>298.31525330951047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47.467948717948715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213.00000000000003</v>
      </c>
      <c r="BE61" s="13">
        <f>BD61*VLOOKUP('Données projet'!$B$11,Paramètres!$A$1:$I$89,3,0)*VLOOKUP('Données projet'!$B$11,Paramètres!$A$1:$I$89,5,0)</f>
        <v>222.62760000000006</v>
      </c>
      <c r="BF61" s="13">
        <f t="shared" si="37"/>
        <v>54.685586371535265</v>
      </c>
      <c r="BG61" s="20">
        <f t="shared" si="7"/>
        <v>482.98713293042402</v>
      </c>
      <c r="BH61" s="59">
        <f t="shared" si="8"/>
        <v>743.1002435291125</v>
      </c>
      <c r="BI61" s="59">
        <f ca="1">AVERAGE(OFFSET($BH$3,0,0,'Données projet'!$E$11+1,1))-AVERAGE(OFFSET($H$3,0,0,'Données projet'!$E$11+1,1))</f>
        <v>446.06835300781546</v>
      </c>
      <c r="BJ61" s="59">
        <f t="shared" si="38"/>
        <v>396.46809188573138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12.372315139299872</v>
      </c>
      <c r="BQ61" s="21">
        <f>EXP(-LN(2)/25)*BQ60+(1-EXP(-LN(2)/25))/(LN(2)/25)*Calculateur!BL61*Calculateur!BN61*VLOOKUP('Données projet'!$B$11,Paramètres!$A$1:$I$89,3,0)*0.475*44/12</f>
        <v>19.17140559872233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31.543720738022202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363.3</v>
      </c>
      <c r="BW61" s="12">
        <f>VLOOKUP(A61,'Données projet'!$A$113:$I$133,9,0)</f>
        <v>14.25</v>
      </c>
      <c r="BX61" s="12">
        <f t="array" ref="BX61">INDEX(BW:BW,MIN(IF(ISNUMBER(BW61:BW257),ROW(BW61:BW257),"")))</f>
        <v>14.25</v>
      </c>
      <c r="BY61" s="12">
        <f>IF('Données projet'!$A$114&gt;35,BY60+BX61-CG60,IF(A61&lt;'Données projet'!$A$114,$BV$205^A61,IF(A61='Données projet'!$A$114,'Données projet'!$B$114,BY60+BX61-CG60)))</f>
        <v>363.29999999999995</v>
      </c>
      <c r="BZ61" s="13">
        <f>BY61*VLOOKUP('Données projet'!$B$12,Paramètres!$A$1:$I$89,3,0)*VLOOKUP('Données projet'!$B$12,Paramètres!$A$1:$I$89,5,0)</f>
        <v>170.02439999999999</v>
      </c>
      <c r="CA61" s="13">
        <f t="shared" si="39"/>
        <v>43.095488327983176</v>
      </c>
      <c r="CB61" s="20">
        <f t="shared" si="10"/>
        <v>371.18380550457067</v>
      </c>
      <c r="CC61" s="59">
        <f t="shared" si="11"/>
        <v>631.29691610325904</v>
      </c>
      <c r="CD61" s="59">
        <f ca="1">AVERAGE(OFFSET($CC$3,0,0,'Données projet'!$E$12+1,1))-AVERAGE(OFFSET($H$3,0,0,'Données projet'!$E$12+1,1))</f>
        <v>307.52821153421951</v>
      </c>
      <c r="CE61" s="59">
        <f t="shared" si="40"/>
        <v>221.23619018904222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80.3</v>
      </c>
      <c r="CH61" s="16">
        <f>IF(ISNA(VLOOKUP(A61,'Données projet'!$A$113:$I$133,5,0)),0%,VLOOKUP(A61,'Données projet'!$A$113:$I$133,5,0)*VLOOKUP('Données projet'!$B$12,Paramètres!$A$1:$I$89,7,0))</f>
        <v>0.38500000000000001</v>
      </c>
      <c r="CI61" s="16">
        <f>IF(ISNA(VLOOKUP(A61,'Données projet'!$A$113:$I$133,6,0)),0%,VLOOKUP(A61,'Données projet'!$A$113:$I$133,6,0)*VLOOKUP('Données projet'!$B$12,Paramètres!$A$1:$I$89,7,0))</f>
        <v>9.3500000000000014E-2</v>
      </c>
      <c r="CJ61" s="16">
        <f>IF(ISNA(VLOOKUP(A61,'Données projet'!$A$113:$I$133,7,0)),0%,VLOOKUP(A61,'Données projet'!$A$113:$I$133,7,0))</f>
        <v>0.13</v>
      </c>
      <c r="CK61" s="21">
        <f>EXP(-LN(2)/35)*CK60+(1-EXP(-LN(2)/35))/(LN(2)/35)*CG61*CH61*VLOOKUP('Données projet'!$B$12,Paramètres!$A$1:$I$89,3,0)*0.475*44/12</f>
        <v>39.736038199027561</v>
      </c>
      <c r="CL61" s="21">
        <f>EXP(-LN(2)/25)*CL60+(1-EXP(-LN(2)/25))/(LN(2)/25)*Calculateur!CG61*Calculateur!CI61*VLOOKUP('Données projet'!$B$12,Paramètres!$A$1:$I$89,3,0)*0.475*44/12</f>
        <v>22.140432179728208</v>
      </c>
      <c r="CM61" s="21">
        <f>EXP(-LN(2)/2)*CM60+(1-EXP(-LN(2)/2))/(LN(2)/2)*CG61*CJ61*VLOOKUP('Données projet'!$B$12,Paramètres!$A$1:$I$89,3,0)*0.475*44/12</f>
        <v>6.0606392250715464</v>
      </c>
      <c r="CN61" s="22">
        <f t="shared" si="12"/>
        <v>67.937109603827309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187.98717948717947</v>
      </c>
      <c r="CR61" s="12">
        <f>VLOOKUP(A61,'Données projet'!$A$139:$I$159,9,0)</f>
        <v>7.2307692307692264</v>
      </c>
      <c r="CS61" s="12">
        <f t="array" ref="CS61">INDEX(CR:CR,MIN(IF(ISNUMBER(CR61:CR257),ROW(CR61:CR257),"")))</f>
        <v>7.2307692307692264</v>
      </c>
      <c r="CT61" s="12">
        <f>IF('Données projet'!$A$140&gt;35,CT60+CS61-DB60,IF(A61&lt;'Données projet'!$A$140,$CQ$205^A61,IF(A61='Données projet'!$A$140,'Données projet'!$B$140,CT60+CS61-DB60)))</f>
        <v>187.98717948717959</v>
      </c>
      <c r="CU61" s="17">
        <f>CT61*VLOOKUP('Données projet'!$B$13,Paramètres!$A$1:$I$89,3,0)*VLOOKUP('Données projet'!$B$13,Paramètres!$A$1:$I$89,5,0)</f>
        <v>214.07980000000012</v>
      </c>
      <c r="CV61" s="13">
        <f t="shared" si="41"/>
        <v>52.82612380655376</v>
      </c>
      <c r="CW61" s="20">
        <f t="shared" si="13"/>
        <v>464.86115062974795</v>
      </c>
      <c r="CX61" s="59">
        <f t="shared" si="14"/>
        <v>724.97426122843638</v>
      </c>
      <c r="CY61" s="59">
        <f ca="1">AVERAGE(OFFSET($CX$3,0,0,'Données projet'!$E$13+1,1))-AVERAGE(OFFSET($H$3,0,0,'Données projet'!$E$13+1,1))</f>
        <v>598.12133208901378</v>
      </c>
      <c r="CZ61" s="59">
        <f t="shared" si="42"/>
        <v>246.23353541360947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35.88461538461538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234.59999999999985</v>
      </c>
      <c r="DP61" s="17">
        <f>DO61*VLOOKUP('Données projet'!$B$14,Paramètres!$A$1:$I$89,3,0)*VLOOKUP('Données projet'!$B$14,Paramètres!$A$1:$I$89,5,0)</f>
        <v>186.64775999999989</v>
      </c>
      <c r="DQ61" s="13">
        <f t="shared" si="43"/>
        <v>46.79805411155214</v>
      </c>
      <c r="DR61" s="20">
        <f t="shared" si="16"/>
        <v>406.58479291095313</v>
      </c>
      <c r="DS61" s="59">
        <f t="shared" si="17"/>
        <v>666.69790350964149</v>
      </c>
      <c r="DT61" s="59">
        <f ca="1">AVERAGE(OFFSET($DS$3,0,0,'Données projet'!$E$14+1,1))-AVERAGE(OFFSET($H$3,0,0,'Données projet'!$E$14+1,1))</f>
        <v>323.01113210765487</v>
      </c>
      <c r="DU61" s="59">
        <f t="shared" si="44"/>
        <v>311.68541696405975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19.186709169211081</v>
      </c>
      <c r="EB61" s="21">
        <f>EXP(-LN(2)/25)*EB60+(1-EXP(-LN(2)/25))/(LN(2)/25)*Calculateur!DW61*Calculateur!DY61*VLOOKUP('Données projet'!$B$14,Paramètres!$A$1:$I$89,3,0)*0.475*44/12</f>
        <v>12.039372173300123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31.226081342511204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337.99164391755608</v>
      </c>
      <c r="T62" s="59">
        <f t="shared" si="34"/>
        <v>421.45428231923393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9.2219551282051242</v>
      </c>
      <c r="AI62" s="13">
        <f>IF('Données projet'!$A$62&gt;35,AI61+AH62-AQ61,IF(A62&lt;'Données projet'!$A$62,$AF$205^A62,IF(A62='Données projet'!$A$62,'Données projet'!$B$62,AI61+AH62-AQ61)))</f>
        <v>209.74118589743568</v>
      </c>
      <c r="AJ62" s="13">
        <f>AI62*VLOOKUP('Données projet'!$B$10,Paramètres!$A$1:$I$89,3,0)*VLOOKUP('Données projet'!$B$10,Paramètres!$A$1:$I$89,5,0)</f>
        <v>212.67756249999979</v>
      </c>
      <c r="AK62" s="13">
        <f t="shared" si="35"/>
        <v>52.520268322871921</v>
      </c>
      <c r="AL62" s="20">
        <f t="shared" si="4"/>
        <v>461.88622201650156</v>
      </c>
      <c r="AM62" s="59">
        <f t="shared" si="5"/>
        <v>722.57562921034435</v>
      </c>
      <c r="AN62" s="59">
        <f ca="1">AVERAGE(OFFSET($AM$3,0,0,'Données projet'!$E$10+1,1))-AVERAGE(OFFSET($H$3,0,0,'Données projet'!$E$10+1,1))</f>
        <v>596.42822894047072</v>
      </c>
      <c r="AO62" s="59">
        <f t="shared" si="36"/>
        <v>298.31525330951047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219.00000000000003</v>
      </c>
      <c r="BE62" s="13">
        <f>BD62*VLOOKUP('Données projet'!$B$11,Paramètres!$A$1:$I$89,3,0)*VLOOKUP('Données projet'!$B$11,Paramètres!$A$1:$I$89,5,0)</f>
        <v>228.89880000000002</v>
      </c>
      <c r="BF62" s="13">
        <f t="shared" si="37"/>
        <v>56.044509878204664</v>
      </c>
      <c r="BG62" s="20">
        <f t="shared" si="7"/>
        <v>496.27626470453976</v>
      </c>
      <c r="BH62" s="59">
        <f t="shared" si="8"/>
        <v>756.96567189838254</v>
      </c>
      <c r="BI62" s="59">
        <f ca="1">AVERAGE(OFFSET($BH$3,0,0,'Données projet'!$E$11+1,1))-AVERAGE(OFFSET($H$3,0,0,'Données projet'!$E$11+1,1))</f>
        <v>446.06835300781546</v>
      </c>
      <c r="BJ62" s="59">
        <f t="shared" si="38"/>
        <v>396.46809188573138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12.129701585785295</v>
      </c>
      <c r="BQ62" s="21">
        <f>EXP(-LN(2)/25)*BQ61+(1-EXP(-LN(2)/25))/(LN(2)/25)*Calculateur!BL62*Calculateur!BN62*VLOOKUP('Données projet'!$B$11,Paramètres!$A$1:$I$89,3,0)*0.475*44/12</f>
        <v>18.647162504444864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30.776864090230159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13.725000000000001</v>
      </c>
      <c r="BY62" s="12">
        <f>IF('Données projet'!$A$114&gt;35,BY61+BX62-CG61,IF(A62&lt;'Données projet'!$A$114,$BV$205^A62,IF(A62='Données projet'!$A$114,'Données projet'!$B$114,BY61+BX62-CG61)))</f>
        <v>296.72499999999997</v>
      </c>
      <c r="BZ62" s="13">
        <f>BY62*VLOOKUP('Données projet'!$B$12,Paramètres!$A$1:$I$89,3,0)*VLOOKUP('Données projet'!$B$12,Paramètres!$A$1:$I$89,5,0)</f>
        <v>138.86729999999997</v>
      </c>
      <c r="CA62" s="13">
        <f t="shared" si="39"/>
        <v>36.037397274940943</v>
      </c>
      <c r="CB62" s="20">
        <f t="shared" si="10"/>
        <v>304.62568108718875</v>
      </c>
      <c r="CC62" s="59">
        <f t="shared" si="11"/>
        <v>565.31508828103154</v>
      </c>
      <c r="CD62" s="59">
        <f ca="1">AVERAGE(OFFSET($CC$3,0,0,'Données projet'!$E$12+1,1))-AVERAGE(OFFSET($H$3,0,0,'Données projet'!$E$12+1,1))</f>
        <v>307.52821153421951</v>
      </c>
      <c r="CE62" s="59">
        <f t="shared" si="40"/>
        <v>221.23619018904222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38.95683872653477</v>
      </c>
      <c r="CL62" s="21">
        <f>EXP(-LN(2)/25)*CL61+(1-EXP(-LN(2)/25))/(LN(2)/25)*Calculateur!CG62*Calculateur!CI62*VLOOKUP('Données projet'!$B$12,Paramètres!$A$1:$I$89,3,0)*0.475*44/12</f>
        <v>21.535000897458815</v>
      </c>
      <c r="CM62" s="21">
        <f>EXP(-LN(2)/2)*CM61+(1-EXP(-LN(2)/2))/(LN(2)/2)*CG62*CJ62*VLOOKUP('Données projet'!$B$12,Paramètres!$A$1:$I$89,3,0)*0.475*44/12</f>
        <v>4.2855190943732735</v>
      </c>
      <c r="CN62" s="22">
        <f t="shared" si="12"/>
        <v>64.777358718366855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6.9975961538461569</v>
      </c>
      <c r="CT62" s="12">
        <f>IF('Données projet'!$A$140&gt;35,CT61+CS62-DB61,IF(A62&lt;'Données projet'!$A$140,$CQ$205^A62,IF(A62='Données projet'!$A$140,'Données projet'!$B$140,CT61+CS62-DB61)))</f>
        <v>159.10016025641036</v>
      </c>
      <c r="CU62" s="17">
        <f>CT62*VLOOKUP('Données projet'!$B$13,Paramètres!$A$1:$I$89,3,0)*VLOOKUP('Données projet'!$B$13,Paramètres!$A$1:$I$89,5,0)</f>
        <v>181.18326250000013</v>
      </c>
      <c r="CV62" s="13">
        <f t="shared" si="41"/>
        <v>45.58533980011061</v>
      </c>
      <c r="CW62" s="20">
        <f t="shared" si="13"/>
        <v>394.95531567269285</v>
      </c>
      <c r="CX62" s="59">
        <f t="shared" si="14"/>
        <v>655.64472286653563</v>
      </c>
      <c r="CY62" s="59">
        <f ca="1">AVERAGE(OFFSET($CX$3,0,0,'Données projet'!$E$13+1,1))-AVERAGE(OFFSET($H$3,0,0,'Données projet'!$E$13+1,1))</f>
        <v>598.12133208901378</v>
      </c>
      <c r="CZ62" s="59">
        <f t="shared" si="42"/>
        <v>246.23353541360947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239.79999999999984</v>
      </c>
      <c r="DP62" s="17">
        <f>DO62*VLOOKUP('Données projet'!$B$14,Paramètres!$A$1:$I$89,3,0)*VLOOKUP('Données projet'!$B$14,Paramètres!$A$1:$I$89,5,0)</f>
        <v>190.78487999999987</v>
      </c>
      <c r="DQ62" s="13">
        <f t="shared" si="43"/>
        <v>47.713437020051622</v>
      </c>
      <c r="DR62" s="20">
        <f t="shared" si="16"/>
        <v>415.384568809923</v>
      </c>
      <c r="DS62" s="59">
        <f t="shared" si="17"/>
        <v>676.07397600376578</v>
      </c>
      <c r="DT62" s="59">
        <f ca="1">AVERAGE(OFFSET($DS$3,0,0,'Données projet'!$E$14+1,1))-AVERAGE(OFFSET($H$3,0,0,'Données projet'!$E$14+1,1))</f>
        <v>323.01113210765487</v>
      </c>
      <c r="DU62" s="59">
        <f t="shared" si="44"/>
        <v>311.68541696405975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18.810469505139896</v>
      </c>
      <c r="EB62" s="21">
        <f>EXP(-LN(2)/25)*EB61+(1-EXP(-LN(2)/25))/(LN(2)/25)*Calculateur!DW62*Calculateur!DY62*VLOOKUP('Données projet'!$B$14,Paramètres!$A$1:$I$89,3,0)*0.475*44/12</f>
        <v>11.710154908098165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30.52062441323806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337.99164391755608</v>
      </c>
      <c r="T63" s="59">
        <f t="shared" si="34"/>
        <v>421.45428231923393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9.2219551282051242</v>
      </c>
      <c r="AI63" s="13">
        <f>IF('Données projet'!$A$62&gt;35,AI62+AH63-AQ62,IF(A63&lt;'Données projet'!$A$62,$AF$205^A63,IF(A63='Données projet'!$A$62,'Données projet'!$B$62,AI62+AH63-AQ62)))</f>
        <v>218.96314102564082</v>
      </c>
      <c r="AJ63" s="13">
        <f>AI63*VLOOKUP('Données projet'!$B$10,Paramètres!$A$1:$I$89,3,0)*VLOOKUP('Données projet'!$B$10,Paramètres!$A$1:$I$89,5,0)</f>
        <v>222.02862499999978</v>
      </c>
      <c r="AK63" s="13">
        <f t="shared" si="35"/>
        <v>54.555561528135165</v>
      </c>
      <c r="AL63" s="20">
        <f t="shared" si="4"/>
        <v>481.71745820316823</v>
      </c>
      <c r="AM63" s="59">
        <f t="shared" si="5"/>
        <v>742.97316453464578</v>
      </c>
      <c r="AN63" s="59">
        <f ca="1">AVERAGE(OFFSET($AM$3,0,0,'Données projet'!$E$10+1,1))-AVERAGE(OFFSET($H$3,0,0,'Données projet'!$E$10+1,1))</f>
        <v>596.42822894047072</v>
      </c>
      <c r="AO63" s="59">
        <f t="shared" si="36"/>
        <v>298.31525330951047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225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225.00000000000003</v>
      </c>
      <c r="BE63" s="13">
        <f>BD63*VLOOKUP('Données projet'!$B$11,Paramètres!$A$1:$I$89,3,0)*VLOOKUP('Données projet'!$B$11,Paramètres!$A$1:$I$89,5,0)</f>
        <v>235.17000000000004</v>
      </c>
      <c r="BF63" s="13">
        <f t="shared" si="37"/>
        <v>57.399106052685539</v>
      </c>
      <c r="BG63" s="20">
        <f t="shared" si="7"/>
        <v>509.55785970842743</v>
      </c>
      <c r="BH63" s="59">
        <f t="shared" si="8"/>
        <v>770.81356603990491</v>
      </c>
      <c r="BI63" s="59">
        <f ca="1">AVERAGE(OFFSET($BH$3,0,0,'Données projet'!$E$11+1,1))-AVERAGE(OFFSET($H$3,0,0,'Données projet'!$E$11+1,1))</f>
        <v>446.06835300781546</v>
      </c>
      <c r="BJ63" s="59">
        <f t="shared" si="38"/>
        <v>396.46809188573138</v>
      </c>
      <c r="BK63" s="15">
        <f>IF(ISNA(VLOOKUP(A63,'Données projet'!$A$87:$I$107,3,0)),0,VLOOKUP(A63,'Données projet'!$A$87:$I$107,3,0))</f>
        <v>9</v>
      </c>
      <c r="BL63" s="15" t="str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0.215</v>
      </c>
      <c r="BN63" s="16">
        <f>IF(ISNA(VLOOKUP(A63,'Données projet'!$A$87:$I$107,6,0)),0%,VLOOKUP(A63,'Données projet'!$A$87:$I$107,6,0)*VLOOKUP('Données projet'!$B$11,Paramètres!$A$1:$I$89,7,0))</f>
        <v>0.17200000000000001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17.108646483781079</v>
      </c>
      <c r="BQ63" s="21">
        <f>EXP(-LN(2)/25)*BQ62+(1-EXP(-LN(2)/25))/(LN(2)/25)*Calculateur!BL63*Calculateur!BN63*VLOOKUP('Données projet'!$B$11,Paramètres!$A$1:$I$89,3,0)*0.475*44/12</f>
        <v>22.294263196843147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39.402909680624226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13.725000000000001</v>
      </c>
      <c r="BY63" s="12">
        <f>IF('Données projet'!$A$114&gt;35,BY62+BX63-CG62,IF(A63&lt;'Données projet'!$A$114,$BV$205^A63,IF(A63='Données projet'!$A$114,'Données projet'!$B$114,BY62+BX63-CG62)))</f>
        <v>310.45</v>
      </c>
      <c r="BZ63" s="13">
        <f>BY63*VLOOKUP('Données projet'!$B$12,Paramètres!$A$1:$I$89,3,0)*VLOOKUP('Données projet'!$B$12,Paramètres!$A$1:$I$89,5,0)</f>
        <v>145.29059999999998</v>
      </c>
      <c r="CA63" s="13">
        <f t="shared" si="39"/>
        <v>37.506378765562481</v>
      </c>
      <c r="CB63" s="20">
        <f t="shared" si="10"/>
        <v>318.37140468335463</v>
      </c>
      <c r="CC63" s="59">
        <f t="shared" si="11"/>
        <v>579.62711101483205</v>
      </c>
      <c r="CD63" s="59">
        <f ca="1">AVERAGE(OFFSET($CC$3,0,0,'Données projet'!$E$12+1,1))-AVERAGE(OFFSET($H$3,0,0,'Données projet'!$E$12+1,1))</f>
        <v>307.52821153421951</v>
      </c>
      <c r="CE63" s="59">
        <f t="shared" si="40"/>
        <v>221.23619018904222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38.192918880432806</v>
      </c>
      <c r="CL63" s="21">
        <f>EXP(-LN(2)/25)*CL62+(1-EXP(-LN(2)/25))/(LN(2)/25)*Calculateur!CG63*Calculateur!CI63*VLOOKUP('Données projet'!$B$12,Paramètres!$A$1:$I$89,3,0)*0.475*44/12</f>
        <v>20.946125165441327</v>
      </c>
      <c r="CM63" s="21">
        <f>EXP(-LN(2)/2)*CM62+(1-EXP(-LN(2)/2))/(LN(2)/2)*CG63*CJ63*VLOOKUP('Données projet'!$B$12,Paramètres!$A$1:$I$89,3,0)*0.475*44/12</f>
        <v>3.0303196125357736</v>
      </c>
      <c r="CN63" s="22">
        <f t="shared" si="12"/>
        <v>62.169363658409907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6.9975961538461569</v>
      </c>
      <c r="CT63" s="12">
        <f>IF('Données projet'!$A$140&gt;35,CT62+CS63-DB62,IF(A63&lt;'Données projet'!$A$140,$CQ$205^A63,IF(A63='Données projet'!$A$140,'Données projet'!$B$140,CT62+CS63-DB62)))</f>
        <v>166.09775641025652</v>
      </c>
      <c r="CU63" s="17">
        <f>CT63*VLOOKUP('Données projet'!$B$13,Paramètres!$A$1:$I$89,3,0)*VLOOKUP('Données projet'!$B$13,Paramètres!$A$1:$I$89,5,0)</f>
        <v>189.15212500000013</v>
      </c>
      <c r="CV63" s="13">
        <f t="shared" si="41"/>
        <v>47.35245096114226</v>
      </c>
      <c r="CW63" s="20">
        <f t="shared" si="13"/>
        <v>411.91213646565626</v>
      </c>
      <c r="CX63" s="59">
        <f t="shared" si="14"/>
        <v>673.16784279713374</v>
      </c>
      <c r="CY63" s="59">
        <f ca="1">AVERAGE(OFFSET($CX$3,0,0,'Données projet'!$E$13+1,1))-AVERAGE(OFFSET($H$3,0,0,'Données projet'!$E$13+1,1))</f>
        <v>598.12133208901378</v>
      </c>
      <c r="CZ63" s="59">
        <f t="shared" si="42"/>
        <v>246.23353541360947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245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244.99999999999983</v>
      </c>
      <c r="DP63" s="17">
        <f>DO63*VLOOKUP('Données projet'!$B$14,Paramètres!$A$1:$I$89,3,0)*VLOOKUP('Données projet'!$B$14,Paramètres!$A$1:$I$89,5,0)</f>
        <v>194.92199999999988</v>
      </c>
      <c r="DQ63" s="13">
        <f t="shared" si="43"/>
        <v>48.626512129794925</v>
      </c>
      <c r="DR63" s="20">
        <f t="shared" si="16"/>
        <v>424.18032529272591</v>
      </c>
      <c r="DS63" s="59">
        <f t="shared" si="17"/>
        <v>685.43603162420345</v>
      </c>
      <c r="DT63" s="59">
        <f ca="1">AVERAGE(OFFSET($DS$3,0,0,'Données projet'!$E$14+1,1))-AVERAGE(OFFSET($H$3,0,0,'Données projet'!$E$14+1,1))</f>
        <v>323.01113210765487</v>
      </c>
      <c r="DU63" s="59">
        <f t="shared" si="44"/>
        <v>311.68541696405975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0.44166666666666671</v>
      </c>
      <c r="DY63" s="16">
        <f>IF(ISNA(VLOOKUP(A63,'Données projet'!$A$165:$I$185,6,0)),0%,VLOOKUP(A63,'Données projet'!$A$165:$I$185,6,0)*VLOOKUP('Données projet'!$B$14,Paramètres!$A$1:$I$89,7,0))</f>
        <v>4.4166666666666667E-2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23.103022511366611</v>
      </c>
      <c r="EB63" s="21">
        <f>EXP(-LN(2)/25)*EB62+(1-EXP(-LN(2)/25))/(LN(2)/25)*Calculateur!DW63*Calculateur!DY63*VLOOKUP('Données projet'!$B$14,Paramètres!$A$1:$I$89,3,0)*0.475*44/12</f>
        <v>11.854246213686512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34.957268725053126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337.99164391755608</v>
      </c>
      <c r="T64" s="59">
        <f t="shared" si="34"/>
        <v>421.45428231923393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9.2219551282051242</v>
      </c>
      <c r="AI64" s="13">
        <f>IF('Données projet'!$A$62&gt;35,AI63+AH64-AQ63,IF(A64&lt;'Données projet'!$A$62,$AF$205^A64,IF(A64='Données projet'!$A$62,'Données projet'!$B$62,AI63+AH64-AQ63)))</f>
        <v>228.18509615384596</v>
      </c>
      <c r="AJ64" s="13">
        <f>AI64*VLOOKUP('Données projet'!$B$10,Paramètres!$A$1:$I$89,3,0)*VLOOKUP('Données projet'!$B$10,Paramètres!$A$1:$I$89,5,0)</f>
        <v>231.37968749999982</v>
      </c>
      <c r="AK64" s="13">
        <f t="shared" si="35"/>
        <v>56.58089830750199</v>
      </c>
      <c r="AL64" s="20">
        <f t="shared" si="4"/>
        <v>501.53135361473227</v>
      </c>
      <c r="AM64" s="59">
        <f t="shared" si="5"/>
        <v>763.34353505986155</v>
      </c>
      <c r="AN64" s="59">
        <f ca="1">AVERAGE(OFFSET($AM$3,0,0,'Données projet'!$E$10+1,1))-AVERAGE(OFFSET($H$3,0,0,'Données projet'!$E$10+1,1))</f>
        <v>596.42822894047072</v>
      </c>
      <c r="AO64" s="59">
        <f t="shared" si="36"/>
        <v>298.31525330951047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209.60000000000002</v>
      </c>
      <c r="BE64" s="13">
        <f>BD64*VLOOKUP('Données projet'!$B$11,Paramètres!$A$1:$I$89,3,0)*VLOOKUP('Données projet'!$B$11,Paramètres!$A$1:$I$89,5,0)</f>
        <v>219.07392000000004</v>
      </c>
      <c r="BF64" s="13">
        <f t="shared" si="37"/>
        <v>53.913557419387772</v>
      </c>
      <c r="BG64" s="20">
        <f t="shared" si="7"/>
        <v>475.45318983876706</v>
      </c>
      <c r="BH64" s="59">
        <f t="shared" si="8"/>
        <v>737.26537128389646</v>
      </c>
      <c r="BI64" s="59">
        <f ca="1">AVERAGE(OFFSET($BH$3,0,0,'Données projet'!$E$11+1,1))-AVERAGE(OFFSET($H$3,0,0,'Données projet'!$E$11+1,1))</f>
        <v>446.06835300781546</v>
      </c>
      <c r="BJ64" s="59">
        <f t="shared" si="38"/>
        <v>396.46809188573138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16.773156361478094</v>
      </c>
      <c r="BQ64" s="21">
        <f>EXP(-LN(2)/25)*BQ63+(1-EXP(-LN(2)/25))/(LN(2)/25)*Calculateur!BL64*Calculateur!BN64*VLOOKUP('Données projet'!$B$11,Paramètres!$A$1:$I$89,3,0)*0.475*44/12</f>
        <v>21.684625397321124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38.457781758799214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13.725000000000001</v>
      </c>
      <c r="BY64" s="12">
        <f>IF('Données projet'!$A$114&gt;35,BY63+BX64-CG63,IF(A64&lt;'Données projet'!$A$114,$BV$205^A64,IF(A64='Données projet'!$A$114,'Données projet'!$B$114,BY63+BX64-CG63)))</f>
        <v>324.17500000000001</v>
      </c>
      <c r="BZ64" s="13">
        <f>BY64*VLOOKUP('Données projet'!$B$12,Paramètres!$A$1:$I$89,3,0)*VLOOKUP('Données projet'!$B$12,Paramètres!$A$1:$I$89,5,0)</f>
        <v>151.7139</v>
      </c>
      <c r="CA64" s="13">
        <f t="shared" si="39"/>
        <v>38.967817632489549</v>
      </c>
      <c r="CB64" s="20">
        <f t="shared" si="10"/>
        <v>332.10399154325262</v>
      </c>
      <c r="CC64" s="59">
        <f t="shared" si="11"/>
        <v>593.91617298838196</v>
      </c>
      <c r="CD64" s="59">
        <f ca="1">AVERAGE(OFFSET($CC$3,0,0,'Données projet'!$E$12+1,1))-AVERAGE(OFFSET($H$3,0,0,'Données projet'!$E$12+1,1))</f>
        <v>307.52821153421951</v>
      </c>
      <c r="CE64" s="59">
        <f t="shared" si="40"/>
        <v>221.23619018904222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37.443979036567811</v>
      </c>
      <c r="CL64" s="21">
        <f>EXP(-LN(2)/25)*CL63+(1-EXP(-LN(2)/25))/(LN(2)/25)*Calculateur!CG64*Calculateur!CI64*VLOOKUP('Données projet'!$B$12,Paramètres!$A$1:$I$89,3,0)*0.475*44/12</f>
        <v>20.373352271283483</v>
      </c>
      <c r="CM64" s="21">
        <f>EXP(-LN(2)/2)*CM63+(1-EXP(-LN(2)/2))/(LN(2)/2)*CG64*CJ64*VLOOKUP('Données projet'!$B$12,Paramètres!$A$1:$I$89,3,0)*0.475*44/12</f>
        <v>2.1427595471866367</v>
      </c>
      <c r="CN64" s="22">
        <f t="shared" si="12"/>
        <v>59.960090855037926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6.9975961538461569</v>
      </c>
      <c r="CT64" s="12">
        <f>IF('Données projet'!$A$140&gt;35,CT63+CS64-DB63,IF(A64&lt;'Données projet'!$A$140,$CQ$205^A64,IF(A64='Données projet'!$A$140,'Données projet'!$B$140,CT63+CS64-DB63)))</f>
        <v>173.09535256410268</v>
      </c>
      <c r="CU64" s="17">
        <f>CT64*VLOOKUP('Données projet'!$B$13,Paramètres!$A$1:$I$89,3,0)*VLOOKUP('Données projet'!$B$13,Paramètres!$A$1:$I$89,5,0)</f>
        <v>197.12098750000013</v>
      </c>
      <c r="CV64" s="13">
        <f t="shared" si="41"/>
        <v>49.110914967483566</v>
      </c>
      <c r="CW64" s="20">
        <f t="shared" si="13"/>
        <v>428.85389679753411</v>
      </c>
      <c r="CX64" s="59">
        <f t="shared" si="14"/>
        <v>690.66607824266339</v>
      </c>
      <c r="CY64" s="59">
        <f ca="1">AVERAGE(OFFSET($CX$3,0,0,'Données projet'!$E$13+1,1))-AVERAGE(OFFSET($H$3,0,0,'Données projet'!$E$13+1,1))</f>
        <v>598.12133208901378</v>
      </c>
      <c r="CZ64" s="59">
        <f t="shared" si="42"/>
        <v>246.23353541360947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237.39999999999984</v>
      </c>
      <c r="DP64" s="17">
        <f>DO64*VLOOKUP('Données projet'!$B$14,Paramètres!$A$1:$I$89,3,0)*VLOOKUP('Données projet'!$B$14,Paramètres!$A$1:$I$89,5,0)</f>
        <v>188.87543999999988</v>
      </c>
      <c r="DQ64" s="13">
        <f t="shared" si="43"/>
        <v>47.291242769027726</v>
      </c>
      <c r="DR64" s="20">
        <f t="shared" si="16"/>
        <v>411.32363915605634</v>
      </c>
      <c r="DS64" s="59">
        <f t="shared" si="17"/>
        <v>673.13582060118574</v>
      </c>
      <c r="DT64" s="59">
        <f ca="1">AVERAGE(OFFSET($DS$3,0,0,'Données projet'!$E$14+1,1))-AVERAGE(OFFSET($H$3,0,0,'Données projet'!$E$14+1,1))</f>
        <v>323.01113210765487</v>
      </c>
      <c r="DU64" s="59">
        <f t="shared" si="44"/>
        <v>311.68541696405975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22.649986331371029</v>
      </c>
      <c r="EB64" s="21">
        <f>EXP(-LN(2)/25)*EB63+(1-EXP(-LN(2)/25))/(LN(2)/25)*Calculateur!DW64*Calculateur!DY64*VLOOKUP('Données projet'!$B$14,Paramètres!$A$1:$I$89,3,0)*0.475*44/12</f>
        <v>11.530091227585539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34.180077558956569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337.99164391755608</v>
      </c>
      <c r="T65" s="59">
        <f t="shared" si="34"/>
        <v>421.45428231923393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9.2219551282051242</v>
      </c>
      <c r="AI65" s="13">
        <f>IF('Données projet'!$A$62&gt;35,AI64+AH65-AQ64,IF(A65&lt;'Données projet'!$A$62,$AF$205^A65,IF(A65='Données projet'!$A$62,'Données projet'!$B$62,AI64+AH65-AQ64)))</f>
        <v>237.4070512820511</v>
      </c>
      <c r="AJ65" s="13">
        <f>AI65*VLOOKUP('Données projet'!$B$10,Paramètres!$A$1:$I$89,3,0)*VLOOKUP('Données projet'!$B$10,Paramètres!$A$1:$I$89,5,0)</f>
        <v>240.73074999999983</v>
      </c>
      <c r="AK65" s="13">
        <f t="shared" si="35"/>
        <v>58.596727074753616</v>
      </c>
      <c r="AL65" s="20">
        <f t="shared" si="4"/>
        <v>521.32868923852891</v>
      </c>
      <c r="AM65" s="59">
        <f t="shared" si="5"/>
        <v>783.68769219818023</v>
      </c>
      <c r="AN65" s="59">
        <f ca="1">AVERAGE(OFFSET($AM$3,0,0,'Données projet'!$E$10+1,1))-AVERAGE(OFFSET($H$3,0,0,'Données projet'!$E$10+1,1))</f>
        <v>596.42822894047072</v>
      </c>
      <c r="AO65" s="59">
        <f t="shared" si="36"/>
        <v>298.31525330951047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215.20000000000002</v>
      </c>
      <c r="BE65" s="13">
        <f>BD65*VLOOKUP('Données projet'!$B$11,Paramètres!$A$1:$I$89,3,0)*VLOOKUP('Données projet'!$B$11,Paramètres!$A$1:$I$89,5,0)</f>
        <v>224.92704000000006</v>
      </c>
      <c r="BF65" s="13">
        <f t="shared" si="37"/>
        <v>55.184369220926527</v>
      </c>
      <c r="BG65" s="20">
        <f t="shared" si="7"/>
        <v>487.86070439311379</v>
      </c>
      <c r="BH65" s="59">
        <f t="shared" si="8"/>
        <v>750.21970735276511</v>
      </c>
      <c r="BI65" s="59">
        <f ca="1">AVERAGE(OFFSET($BH$3,0,0,'Données projet'!$E$11+1,1))-AVERAGE(OFFSET($H$3,0,0,'Données projet'!$E$11+1,1))</f>
        <v>446.06835300781546</v>
      </c>
      <c r="BJ65" s="59">
        <f t="shared" si="38"/>
        <v>396.46809188573138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16.444244995844699</v>
      </c>
      <c r="BQ65" s="21">
        <f>EXP(-LN(2)/25)*BQ64+(1-EXP(-LN(2)/25))/(LN(2)/25)*Calculateur!BL65*Calculateur!BN65*VLOOKUP('Données projet'!$B$11,Paramètres!$A$1:$I$89,3,0)*0.475*44/12</f>
        <v>21.09165817548649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37.535903171331185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13.725000000000001</v>
      </c>
      <c r="BY65" s="12">
        <f>IF('Données projet'!$A$114&gt;35,BY64+BX65-CG64,IF(A65&lt;'Données projet'!$A$114,$BV$205^A65,IF(A65='Données projet'!$A$114,'Données projet'!$B$114,BY64+BX65-CG64)))</f>
        <v>337.90000000000003</v>
      </c>
      <c r="BZ65" s="13">
        <f>BY65*VLOOKUP('Données projet'!$B$12,Paramètres!$A$1:$I$89,3,0)*VLOOKUP('Données projet'!$B$12,Paramètres!$A$1:$I$89,5,0)</f>
        <v>158.13720000000001</v>
      </c>
      <c r="CA65" s="13">
        <f t="shared" si="39"/>
        <v>40.422069728367731</v>
      </c>
      <c r="CB65" s="20">
        <f t="shared" si="10"/>
        <v>345.82406144357378</v>
      </c>
      <c r="CC65" s="59">
        <f t="shared" si="11"/>
        <v>608.1830644032251</v>
      </c>
      <c r="CD65" s="59">
        <f ca="1">AVERAGE(OFFSET($CC$3,0,0,'Données projet'!$E$12+1,1))-AVERAGE(OFFSET($H$3,0,0,'Données projet'!$E$12+1,1))</f>
        <v>307.52821153421951</v>
      </c>
      <c r="CE65" s="59">
        <f t="shared" si="40"/>
        <v>221.23619018904222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36.70972544623281</v>
      </c>
      <c r="CL65" s="21">
        <f>EXP(-LN(2)/25)*CL64+(1-EXP(-LN(2)/25))/(LN(2)/25)*Calculateur!CG65*Calculateur!CI65*VLOOKUP('Données projet'!$B$12,Paramètres!$A$1:$I$89,3,0)*0.475*44/12</f>
        <v>19.816241882037204</v>
      </c>
      <c r="CM65" s="21">
        <f>EXP(-LN(2)/2)*CM64+(1-EXP(-LN(2)/2))/(LN(2)/2)*CG65*CJ65*VLOOKUP('Données projet'!$B$12,Paramètres!$A$1:$I$89,3,0)*0.475*44/12</f>
        <v>1.5151598062678868</v>
      </c>
      <c r="CN65" s="22">
        <f t="shared" si="12"/>
        <v>58.041127134537902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6.9975961538461569</v>
      </c>
      <c r="CT65" s="12">
        <f>IF('Données projet'!$A$140&gt;35,CT64+CS65-DB64,IF(A65&lt;'Données projet'!$A$140,$CQ$205^A65,IF(A65='Données projet'!$A$140,'Données projet'!$B$140,CT64+CS65-DB64)))</f>
        <v>180.09294871794884</v>
      </c>
      <c r="CU65" s="17">
        <f>CT65*VLOOKUP('Données projet'!$B$13,Paramètres!$A$1:$I$89,3,0)*VLOOKUP('Données projet'!$B$13,Paramètres!$A$1:$I$89,5,0)</f>
        <v>205.08985000000015</v>
      </c>
      <c r="CV65" s="13">
        <f t="shared" si="41"/>
        <v>50.861121380872362</v>
      </c>
      <c r="CW65" s="20">
        <f t="shared" si="13"/>
        <v>445.78127515501961</v>
      </c>
      <c r="CX65" s="59">
        <f t="shared" si="14"/>
        <v>708.14027811467099</v>
      </c>
      <c r="CY65" s="59">
        <f ca="1">AVERAGE(OFFSET($CX$3,0,0,'Données projet'!$E$13+1,1))-AVERAGE(OFFSET($H$3,0,0,'Données projet'!$E$13+1,1))</f>
        <v>598.12133208901378</v>
      </c>
      <c r="CZ65" s="59">
        <f t="shared" si="42"/>
        <v>246.23353541360947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241.79999999999984</v>
      </c>
      <c r="DP65" s="17">
        <f>DO65*VLOOKUP('Données projet'!$B$14,Paramètres!$A$1:$I$89,3,0)*VLOOKUP('Données projet'!$B$14,Paramètres!$A$1:$I$89,5,0)</f>
        <v>192.37607999999989</v>
      </c>
      <c r="DQ65" s="13">
        <f t="shared" si="43"/>
        <v>48.064889828485896</v>
      </c>
      <c r="DR65" s="20">
        <f t="shared" si="16"/>
        <v>418.76802245127936</v>
      </c>
      <c r="DS65" s="59">
        <f t="shared" si="17"/>
        <v>681.12702541093063</v>
      </c>
      <c r="DT65" s="59">
        <f ca="1">AVERAGE(OFFSET($DS$3,0,0,'Données projet'!$E$14+1,1))-AVERAGE(OFFSET($H$3,0,0,'Données projet'!$E$14+1,1))</f>
        <v>323.01113210765487</v>
      </c>
      <c r="DU65" s="59">
        <f t="shared" si="44"/>
        <v>311.68541696405975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22.205833914540374</v>
      </c>
      <c r="EB65" s="21">
        <f>EXP(-LN(2)/25)*EB64+(1-EXP(-LN(2)/25))/(LN(2)/25)*Calculateur!DW65*Calculateur!DY65*VLOOKUP('Données projet'!$B$14,Paramètres!$A$1:$I$89,3,0)*0.475*44/12</f>
        <v>11.214800276626066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33.420634191166442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337.99164391755608</v>
      </c>
      <c r="T66" s="59">
        <f t="shared" si="34"/>
        <v>421.45428231923393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9.2219551282051242</v>
      </c>
      <c r="AI66" s="13">
        <f>IF('Données projet'!$A$62&gt;35,AI65+AH66-AQ65,IF(A66&lt;'Données projet'!$A$62,$AF$205^A66,IF(A66='Données projet'!$A$62,'Données projet'!$B$62,AI65+AH66-AQ65)))</f>
        <v>246.62900641025624</v>
      </c>
      <c r="AJ66" s="13">
        <f>AI66*VLOOKUP('Données projet'!$B$10,Paramètres!$A$1:$I$89,3,0)*VLOOKUP('Données projet'!$B$10,Paramètres!$A$1:$I$89,5,0)</f>
        <v>250.08181249999981</v>
      </c>
      <c r="AK66" s="13">
        <f t="shared" si="35"/>
        <v>60.603459434264501</v>
      </c>
      <c r="AL66" s="20">
        <f t="shared" si="4"/>
        <v>541.11018195217696</v>
      </c>
      <c r="AM66" s="59">
        <f t="shared" si="5"/>
        <v>804.00652029558307</v>
      </c>
      <c r="AN66" s="59">
        <f ca="1">AVERAGE(OFFSET($AM$3,0,0,'Données projet'!$E$10+1,1))-AVERAGE(OFFSET($H$3,0,0,'Données projet'!$E$10+1,1))</f>
        <v>596.42822894047072</v>
      </c>
      <c r="AO66" s="59">
        <f t="shared" si="36"/>
        <v>298.31525330951047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220.8</v>
      </c>
      <c r="BE66" s="13">
        <f>BD66*VLOOKUP('Données projet'!$B$11,Paramètres!$A$1:$I$89,3,0)*VLOOKUP('Données projet'!$B$11,Paramètres!$A$1:$I$89,5,0)</f>
        <v>230.78016000000002</v>
      </c>
      <c r="BF66" s="13">
        <f t="shared" si="37"/>
        <v>56.451337103640888</v>
      </c>
      <c r="BG66" s="20">
        <f t="shared" si="7"/>
        <v>500.26152412217448</v>
      </c>
      <c r="BH66" s="59">
        <f t="shared" si="8"/>
        <v>763.15786246558059</v>
      </c>
      <c r="BI66" s="59">
        <f ca="1">AVERAGE(OFFSET($BH$3,0,0,'Données projet'!$E$11+1,1))-AVERAGE(OFFSET($H$3,0,0,'Données projet'!$E$11+1,1))</f>
        <v>446.06835300781546</v>
      </c>
      <c r="BJ66" s="59">
        <f t="shared" si="38"/>
        <v>396.46809188573138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16.12178338147525</v>
      </c>
      <c r="BQ66" s="21">
        <f>EXP(-LN(2)/25)*BQ65+(1-EXP(-LN(2)/25))/(LN(2)/25)*Calculateur!BL66*Calculateur!BN66*VLOOKUP('Données projet'!$B$11,Paramètres!$A$1:$I$89,3,0)*0.475*44/12</f>
        <v>20.514905673515713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36.636689054990967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13.725000000000001</v>
      </c>
      <c r="BY66" s="12">
        <f>IF('Données projet'!$A$114&gt;35,BY65+BX66-CG65,IF(A66&lt;'Données projet'!$A$114,$BV$205^A66,IF(A66='Données projet'!$A$114,'Données projet'!$B$114,BY65+BX66-CG65)))</f>
        <v>351.62500000000006</v>
      </c>
      <c r="BZ66" s="13">
        <f>BY66*VLOOKUP('Données projet'!$B$12,Paramètres!$A$1:$I$89,3,0)*VLOOKUP('Données projet'!$B$12,Paramètres!$A$1:$I$89,5,0)</f>
        <v>164.56050000000005</v>
      </c>
      <c r="CA66" s="13">
        <f t="shared" si="39"/>
        <v>41.869460361417303</v>
      </c>
      <c r="CB66" s="20">
        <f t="shared" si="10"/>
        <v>359.53218096280187</v>
      </c>
      <c r="CC66" s="59">
        <f t="shared" si="11"/>
        <v>622.42851930620805</v>
      </c>
      <c r="CD66" s="59">
        <f ca="1">AVERAGE(OFFSET($CC$3,0,0,'Données projet'!$E$12+1,1))-AVERAGE(OFFSET($H$3,0,0,'Données projet'!$E$12+1,1))</f>
        <v>307.52821153421951</v>
      </c>
      <c r="CE66" s="59">
        <f t="shared" si="40"/>
        <v>221.23619018904222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35.989870120953803</v>
      </c>
      <c r="CL66" s="21">
        <f>EXP(-LN(2)/25)*CL65+(1-EXP(-LN(2)/25))/(LN(2)/25)*Calculateur!CG66*Calculateur!CI66*VLOOKUP('Données projet'!$B$12,Paramètres!$A$1:$I$89,3,0)*0.475*44/12</f>
        <v>19.274365705682026</v>
      </c>
      <c r="CM66" s="21">
        <f>EXP(-LN(2)/2)*CM65+(1-EXP(-LN(2)/2))/(LN(2)/2)*CG66*CJ66*VLOOKUP('Données projet'!$B$12,Paramètres!$A$1:$I$89,3,0)*0.475*44/12</f>
        <v>1.0713797735933184</v>
      </c>
      <c r="CN66" s="22">
        <f t="shared" si="12"/>
        <v>56.335615600229147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6.9975961538461569</v>
      </c>
      <c r="CT66" s="12">
        <f>IF('Données projet'!$A$140&gt;35,CT65+CS66-DB65,IF(A66&lt;'Données projet'!$A$140,$CQ$205^A66,IF(A66='Données projet'!$A$140,'Données projet'!$B$140,CT65+CS66-DB65)))</f>
        <v>187.090544871795</v>
      </c>
      <c r="CU66" s="17">
        <f>CT66*VLOOKUP('Données projet'!$B$13,Paramètres!$A$1:$I$89,3,0)*VLOOKUP('Données projet'!$B$13,Paramètres!$A$1:$I$89,5,0)</f>
        <v>213.05871250000015</v>
      </c>
      <c r="CV66" s="13">
        <f t="shared" si="41"/>
        <v>52.603427775653046</v>
      </c>
      <c r="CW66" s="20">
        <f t="shared" si="13"/>
        <v>462.6948943134293</v>
      </c>
      <c r="CX66" s="59">
        <f t="shared" si="14"/>
        <v>725.59123265683547</v>
      </c>
      <c r="CY66" s="59">
        <f ca="1">AVERAGE(OFFSET($CX$3,0,0,'Données projet'!$E$13+1,1))-AVERAGE(OFFSET($H$3,0,0,'Données projet'!$E$13+1,1))</f>
        <v>598.12133208901378</v>
      </c>
      <c r="CZ66" s="59">
        <f t="shared" si="42"/>
        <v>246.23353541360947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246.19999999999985</v>
      </c>
      <c r="DP66" s="17">
        <f>DO66*VLOOKUP('Données projet'!$B$14,Paramètres!$A$1:$I$89,3,0)*VLOOKUP('Données projet'!$B$14,Paramètres!$A$1:$I$89,5,0)</f>
        <v>195.87671999999989</v>
      </c>
      <c r="DQ66" s="13">
        <f t="shared" si="43"/>
        <v>48.836899853879942</v>
      </c>
      <c r="DR66" s="20">
        <f t="shared" si="16"/>
        <v>426.20955457884071</v>
      </c>
      <c r="DS66" s="59">
        <f t="shared" si="17"/>
        <v>689.10589292224677</v>
      </c>
      <c r="DT66" s="59">
        <f ca="1">AVERAGE(OFFSET($DS$3,0,0,'Données projet'!$E$14+1,1))-AVERAGE(OFFSET($H$3,0,0,'Données projet'!$E$14+1,1))</f>
        <v>323.01113210765487</v>
      </c>
      <c r="DU66" s="59">
        <f t="shared" si="44"/>
        <v>311.68541696405975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21.770391055697544</v>
      </c>
      <c r="EB66" s="21">
        <f>EXP(-LN(2)/25)*EB65+(1-EXP(-LN(2)/25))/(LN(2)/25)*Calculateur!DW66*Calculateur!DY66*VLOOKUP('Données projet'!$B$14,Paramètres!$A$1:$I$89,3,0)*0.475*44/12</f>
        <v>10.908130973301011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32.678522028998557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337.99164391755608</v>
      </c>
      <c r="T67" s="59">
        <f t="shared" si="34"/>
        <v>421.45428231923393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9.2219551282051242</v>
      </c>
      <c r="AI67" s="13">
        <f>IF('Données projet'!$A$62&gt;35,AI66+AH67-AQ66,IF(A67&lt;'Données projet'!$A$62,$AF$205^A67,IF(A67='Données projet'!$A$62,'Données projet'!$B$62,AI66+AH67-AQ66)))</f>
        <v>255.85096153846138</v>
      </c>
      <c r="AJ67" s="13">
        <f>AI67*VLOOKUP('Données projet'!$B$10,Paramètres!$A$1:$I$89,3,0)*VLOOKUP('Données projet'!$B$10,Paramètres!$A$1:$I$89,5,0)</f>
        <v>259.43287499999985</v>
      </c>
      <c r="AK67" s="13">
        <f t="shared" si="35"/>
        <v>62.601474465134189</v>
      </c>
      <c r="AL67" s="20">
        <f t="shared" si="4"/>
        <v>560.87649198510837</v>
      </c>
      <c r="AM67" s="59">
        <f t="shared" si="5"/>
        <v>824.30084414466319</v>
      </c>
      <c r="AN67" s="59">
        <f ca="1">AVERAGE(OFFSET($AM$3,0,0,'Données projet'!$E$10+1,1))-AVERAGE(OFFSET($H$3,0,0,'Données projet'!$E$10+1,1))</f>
        <v>596.42822894047072</v>
      </c>
      <c r="AO67" s="59">
        <f t="shared" si="36"/>
        <v>298.31525330951047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226.4</v>
      </c>
      <c r="BE67" s="13">
        <f>BD67*VLOOKUP('Données projet'!$B$11,Paramètres!$A$1:$I$89,3,0)*VLOOKUP('Données projet'!$B$11,Paramètres!$A$1:$I$89,5,0)</f>
        <v>236.63328000000004</v>
      </c>
      <c r="BF67" s="13">
        <f t="shared" si="37"/>
        <v>57.71456976922498</v>
      </c>
      <c r="BG67" s="20">
        <f t="shared" si="7"/>
        <v>512.65583834806694</v>
      </c>
      <c r="BH67" s="59">
        <f t="shared" si="8"/>
        <v>776.08019050762164</v>
      </c>
      <c r="BI67" s="59">
        <f ca="1">AVERAGE(OFFSET($BH$3,0,0,'Données projet'!$E$11+1,1))-AVERAGE(OFFSET($H$3,0,0,'Données projet'!$E$11+1,1))</f>
        <v>446.06835300781546</v>
      </c>
      <c r="BJ67" s="59">
        <f t="shared" si="38"/>
        <v>396.46809188573138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15.805645042681425</v>
      </c>
      <c r="BQ67" s="21">
        <f>EXP(-LN(2)/25)*BQ66+(1-EXP(-LN(2)/25))/(LN(2)/25)*Calculateur!BL67*Calculateur!BN67*VLOOKUP('Données projet'!$B$11,Paramètres!$A$1:$I$89,3,0)*0.475*44/12</f>
        <v>19.953924499041424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35.759569541722847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13.725000000000001</v>
      </c>
      <c r="BY67" s="12">
        <f>IF('Données projet'!$A$114&gt;35,BY66+BX67-CG66,IF(A67&lt;'Données projet'!$A$114,$BV$205^A67,IF(A67='Données projet'!$A$114,'Données projet'!$B$114,BY66+BX67-CG66)))</f>
        <v>365.35000000000008</v>
      </c>
      <c r="BZ67" s="13">
        <f>BY67*VLOOKUP('Données projet'!$B$12,Paramètres!$A$1:$I$89,3,0)*VLOOKUP('Données projet'!$B$12,Paramètres!$A$1:$I$89,5,0)</f>
        <v>170.98380000000003</v>
      </c>
      <c r="CA67" s="13">
        <f t="shared" si="39"/>
        <v>43.310288006398324</v>
      </c>
      <c r="CB67" s="20">
        <f t="shared" si="10"/>
        <v>373.22886994447708</v>
      </c>
      <c r="CC67" s="59">
        <f t="shared" si="11"/>
        <v>636.65322210403178</v>
      </c>
      <c r="CD67" s="59">
        <f ca="1">AVERAGE(OFFSET($CC$3,0,0,'Données projet'!$E$12+1,1))-AVERAGE(OFFSET($H$3,0,0,'Données projet'!$E$12+1,1))</f>
        <v>307.52821153421951</v>
      </c>
      <c r="CE67" s="59">
        <f t="shared" si="40"/>
        <v>221.23619018904222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35.284130719535128</v>
      </c>
      <c r="CL67" s="21">
        <f>EXP(-LN(2)/25)*CL66+(1-EXP(-LN(2)/25))/(LN(2)/25)*Calculateur!CG67*Calculateur!CI67*VLOOKUP('Données projet'!$B$12,Paramètres!$A$1:$I$89,3,0)*0.475*44/12</f>
        <v>18.747307161865312</v>
      </c>
      <c r="CM67" s="21">
        <f>EXP(-LN(2)/2)*CM66+(1-EXP(-LN(2)/2))/(LN(2)/2)*CG67*CJ67*VLOOKUP('Données projet'!$B$12,Paramètres!$A$1:$I$89,3,0)*0.475*44/12</f>
        <v>0.75757990313394341</v>
      </c>
      <c r="CN67" s="22">
        <f t="shared" si="12"/>
        <v>54.78901778453438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6.9975961538461569</v>
      </c>
      <c r="CT67" s="12">
        <f>IF('Données projet'!$A$140&gt;35,CT66+CS67-DB66,IF(A67&lt;'Données projet'!$A$140,$CQ$205^A67,IF(A67='Données projet'!$A$140,'Données projet'!$B$140,CT66+CS67-DB66)))</f>
        <v>194.08814102564116</v>
      </c>
      <c r="CU67" s="17">
        <f>CT67*VLOOKUP('Données projet'!$B$13,Paramètres!$A$1:$I$89,3,0)*VLOOKUP('Données projet'!$B$13,Paramètres!$A$1:$I$89,5,0)</f>
        <v>221.02757500000016</v>
      </c>
      <c r="CV67" s="13">
        <f t="shared" si="41"/>
        <v>54.338163462702362</v>
      </c>
      <c r="CW67" s="20">
        <f t="shared" si="13"/>
        <v>479.59532782254018</v>
      </c>
      <c r="CX67" s="59">
        <f t="shared" si="14"/>
        <v>743.01967998209489</v>
      </c>
      <c r="CY67" s="59">
        <f ca="1">AVERAGE(OFFSET($CX$3,0,0,'Données projet'!$E$13+1,1))-AVERAGE(OFFSET($H$3,0,0,'Données projet'!$E$13+1,1))</f>
        <v>598.12133208901378</v>
      </c>
      <c r="CZ67" s="59">
        <f t="shared" si="42"/>
        <v>246.23353541360947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250.59999999999985</v>
      </c>
      <c r="DP67" s="17">
        <f>DO67*VLOOKUP('Données projet'!$B$14,Paramètres!$A$1:$I$89,3,0)*VLOOKUP('Données projet'!$B$14,Paramètres!$A$1:$I$89,5,0)</f>
        <v>199.3773599999999</v>
      </c>
      <c r="DQ67" s="13">
        <f t="shared" si="43"/>
        <v>49.607305476717762</v>
      </c>
      <c r="DR67" s="20">
        <f t="shared" si="16"/>
        <v>433.64829237194994</v>
      </c>
      <c r="DS67" s="59">
        <f t="shared" si="17"/>
        <v>697.07264453150469</v>
      </c>
      <c r="DT67" s="59">
        <f ca="1">AVERAGE(OFFSET($DS$3,0,0,'Données projet'!$E$14+1,1))-AVERAGE(OFFSET($H$3,0,0,'Données projet'!$E$14+1,1))</f>
        <v>323.01113210765487</v>
      </c>
      <c r="DU67" s="59">
        <f t="shared" si="44"/>
        <v>311.68541696405975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21.343486965722704</v>
      </c>
      <c r="EB67" s="21">
        <f>EXP(-LN(2)/25)*EB66+(1-EXP(-LN(2)/25))/(LN(2)/25)*Calculateur!DW67*Calculateur!DY67*VLOOKUP('Données projet'!$B$14,Paramètres!$A$1:$I$89,3,0)*0.475*44/12</f>
        <v>10.609847558202418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31.953334523925122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337.99164391755608</v>
      </c>
      <c r="T68" s="59">
        <f t="shared" si="34"/>
        <v>421.45428231923393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9.2219551282051242</v>
      </c>
      <c r="AI68" s="13">
        <f>IF('Données projet'!$A$62&gt;35,AI67+AH68-AQ67,IF(A68&lt;'Données projet'!$A$62,$AF$205^A68,IF(A68='Données projet'!$A$62,'Données projet'!$B$62,AI67+AH68-AQ67)))</f>
        <v>265.07291666666652</v>
      </c>
      <c r="AJ68" s="13">
        <f>AI68*VLOOKUP('Données projet'!$B$10,Paramètres!$A$1:$I$89,3,0)*VLOOKUP('Données projet'!$B$10,Paramètres!$A$1:$I$89,5,0)</f>
        <v>268.78393749999987</v>
      </c>
      <c r="AK68" s="13">
        <f t="shared" si="35"/>
        <v>64.5911223702862</v>
      </c>
      <c r="AL68" s="20">
        <f t="shared" ref="AL68:AL131" si="58">(AJ68+AK68)*0.475*44/12</f>
        <v>580.62822927408149</v>
      </c>
      <c r="AM68" s="59">
        <f t="shared" ref="AM68:AM131" si="59">AL68+(AD68+AE68)*44/12</f>
        <v>844.57143539053664</v>
      </c>
      <c r="AN68" s="59">
        <f ca="1">AVERAGE(OFFSET($AM$3,0,0,'Données projet'!$E$10+1,1))-AVERAGE(OFFSET($H$3,0,0,'Données projet'!$E$10+1,1))</f>
        <v>596.42822894047072</v>
      </c>
      <c r="AO68" s="59">
        <f t="shared" si="36"/>
        <v>298.31525330951047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232</v>
      </c>
      <c r="BB68" s="12">
        <f>VLOOKUP(A68,'Données projet'!$A$87:$I$107,9,0)</f>
        <v>5.6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232</v>
      </c>
      <c r="BE68" s="13">
        <f>BD68*VLOOKUP('Données projet'!$B$11,Paramètres!$A$1:$I$89,3,0)*VLOOKUP('Données projet'!$B$11,Paramètres!$A$1:$I$89,5,0)</f>
        <v>242.4864</v>
      </c>
      <c r="BF68" s="13">
        <f t="shared" si="37"/>
        <v>58.974170235372419</v>
      </c>
      <c r="BG68" s="20">
        <f t="shared" ref="BG68:BG131" si="61">(BE68+BF68)*0.475*44/12</f>
        <v>525.04382649327351</v>
      </c>
      <c r="BH68" s="59">
        <f t="shared" ref="BH68:BH131" si="62">BG68+(AY68+AZ68)*44/12</f>
        <v>788.98703260972866</v>
      </c>
      <c r="BI68" s="59">
        <f ca="1">AVERAGE(OFFSET($BH$3,0,0,'Données projet'!$E$11+1,1))-AVERAGE(OFFSET($H$3,0,0,'Données projet'!$E$11+1,1))</f>
        <v>446.06835300781546</v>
      </c>
      <c r="BJ68" s="59">
        <f t="shared" si="38"/>
        <v>396.46809188573138</v>
      </c>
      <c r="BK68" s="15">
        <f>IF(ISNA(VLOOKUP(A68,'Données projet'!$A$87:$I$107,3,0)),0,VLOOKUP(A68,'Données projet'!$A$87:$I$107,3,0))</f>
        <v>10</v>
      </c>
      <c r="BL68" s="15" t="str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0.215</v>
      </c>
      <c r="BN68" s="16">
        <f>IF(ISNA(VLOOKUP(A68,'Données projet'!$A$87:$I$107,6,0)),0%,VLOOKUP(A68,'Données projet'!$A$87:$I$107,6,0)*VLOOKUP('Données projet'!$B$11,Paramètres!$A$1:$I$89,7,0))</f>
        <v>0.17200000000000001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20.46408783884371</v>
      </c>
      <c r="BQ68" s="21">
        <f>EXP(-LN(2)/25)*BQ67+(1-EXP(-LN(2)/25))/(LN(2)/25)*Calculateur!BL68*Calculateur!BN68*VLOOKUP('Données projet'!$B$11,Paramètres!$A$1:$I$89,3,0)*0.475*44/12</f>
        <v>23.367338938278124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43.831426777121834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13.725000000000001</v>
      </c>
      <c r="BY68" s="12">
        <f>IF('Données projet'!$A$114&gt;35,BY67+BX68-CG67,IF(A68&lt;'Données projet'!$A$114,$BV$205^A68,IF(A68='Données projet'!$A$114,'Données projet'!$B$114,BY67+BX68-CG67)))</f>
        <v>379.0750000000001</v>
      </c>
      <c r="BZ68" s="13">
        <f>BY68*VLOOKUP('Données projet'!$B$12,Paramètres!$A$1:$I$89,3,0)*VLOOKUP('Données projet'!$B$12,Paramètres!$A$1:$I$89,5,0)</f>
        <v>177.40710000000007</v>
      </c>
      <c r="CA68" s="13">
        <f t="shared" si="39"/>
        <v>44.744827442261823</v>
      </c>
      <c r="CB68" s="20">
        <f t="shared" ref="CB68:CB131" si="64">(BZ68+CA68)*0.475*44/12</f>
        <v>386.91460696193946</v>
      </c>
      <c r="CC68" s="59">
        <f t="shared" ref="CC68:CC131" si="65">CB68+(BT68+BU68)*44/12</f>
        <v>650.85781307839466</v>
      </c>
      <c r="CD68" s="59">
        <f ca="1">AVERAGE(OFFSET($CC$3,0,0,'Données projet'!$E$12+1,1))-AVERAGE(OFFSET($H$3,0,0,'Données projet'!$E$12+1,1))</f>
        <v>307.52821153421951</v>
      </c>
      <c r="CE68" s="59">
        <f t="shared" si="40"/>
        <v>221.23619018904222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34.592230437319742</v>
      </c>
      <c r="CL68" s="21">
        <f>EXP(-LN(2)/25)*CL67+(1-EXP(-LN(2)/25))/(LN(2)/25)*Calculateur!CG68*Calculateur!CI68*VLOOKUP('Données projet'!$B$12,Paramètres!$A$1:$I$89,3,0)*0.475*44/12</f>
        <v>18.234661061646069</v>
      </c>
      <c r="CM68" s="21">
        <f>EXP(-LN(2)/2)*CM67+(1-EXP(-LN(2)/2))/(LN(2)/2)*CG68*CJ68*VLOOKUP('Données projet'!$B$12,Paramètres!$A$1:$I$89,3,0)*0.475*44/12</f>
        <v>0.53568988679665919</v>
      </c>
      <c r="CN68" s="22">
        <f t="shared" ref="CN68:CN131" si="66">SUM(CK68:CM68)</f>
        <v>53.362581385762468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6.9975961538461569</v>
      </c>
      <c r="CT68" s="12">
        <f>IF('Données projet'!$A$140&gt;35,CT67+CS68-DB67,IF(A68&lt;'Données projet'!$A$140,$CQ$205^A68,IF(A68='Données projet'!$A$140,'Données projet'!$B$140,CT67+CS68-DB67)))</f>
        <v>201.08573717948732</v>
      </c>
      <c r="CU68" s="17">
        <f>CT68*VLOOKUP('Données projet'!$B$13,Paramètres!$A$1:$I$89,3,0)*VLOOKUP('Données projet'!$B$13,Paramètres!$A$1:$I$89,5,0)</f>
        <v>228.99643750000016</v>
      </c>
      <c r="CV68" s="13">
        <f t="shared" si="41"/>
        <v>56.065632661216441</v>
      </c>
      <c r="CW68" s="20">
        <f t="shared" ref="CW68:CW131" si="67">(CU68+CV68)*0.475*44/12</f>
        <v>496.48310553078545</v>
      </c>
      <c r="CX68" s="59">
        <f t="shared" ref="CX68:CX131" si="68">CW68+(CO68+CP68)*44/12</f>
        <v>760.42631164724071</v>
      </c>
      <c r="CY68" s="59">
        <f ca="1">AVERAGE(OFFSET($CX$3,0,0,'Données projet'!$E$13+1,1))-AVERAGE(OFFSET($H$3,0,0,'Données projet'!$E$13+1,1))</f>
        <v>598.12133208901378</v>
      </c>
      <c r="CZ68" s="59">
        <f t="shared" si="42"/>
        <v>246.23353541360947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255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254.99999999999986</v>
      </c>
      <c r="DP68" s="17">
        <f>DO68*VLOOKUP('Données projet'!$B$14,Paramètres!$A$1:$I$89,3,0)*VLOOKUP('Données projet'!$B$14,Paramètres!$A$1:$I$89,5,0)</f>
        <v>202.8779999999999</v>
      </c>
      <c r="DQ68" s="13">
        <f t="shared" si="43"/>
        <v>50.376138116990084</v>
      </c>
      <c r="DR68" s="20">
        <f t="shared" ref="DR68:DR131" si="70">(DP68+DQ68)*0.475*44/12</f>
        <v>441.08429055375751</v>
      </c>
      <c r="DS68" s="59">
        <f t="shared" ref="DS68:DS131" si="71">DR68+(DJ68+DK68)*44/12</f>
        <v>705.02749667021271</v>
      </c>
      <c r="DT68" s="59">
        <f ca="1">AVERAGE(OFFSET($DS$3,0,0,'Données projet'!$E$14+1,1))-AVERAGE(OFFSET($H$3,0,0,'Données projet'!$E$14+1,1))</f>
        <v>323.01113210765487</v>
      </c>
      <c r="DU68" s="59">
        <f t="shared" si="44"/>
        <v>311.68541696405975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0.43363636363636371</v>
      </c>
      <c r="DY68" s="16">
        <f>IF(ISNA(VLOOKUP(A68,'Données projet'!$A$165:$I$185,6,0)),0%,VLOOKUP(A68,'Données projet'!$A$165:$I$185,6,0)*VLOOKUP('Données projet'!$B$14,Paramètres!$A$1:$I$89,7,0))</f>
        <v>4.8181818181818187E-2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25.120227560538588</v>
      </c>
      <c r="EB68" s="21">
        <f>EXP(-LN(2)/25)*EB67+(1-EXP(-LN(2)/25))/(LN(2)/25)*Calculateur!DW68*Calculateur!DY68*VLOOKUP('Données projet'!$B$14,Paramètres!$A$1:$I$89,3,0)*0.475*44/12</f>
        <v>10.784026826136314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35.9042543866749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337.99164391755608</v>
      </c>
      <c r="T69" s="59">
        <f t="shared" ref="T69:T132" si="88">$T$3</f>
        <v>421.45428231923393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274.29487179487177</v>
      </c>
      <c r="AG69" s="12">
        <f>VLOOKUP(A69,'Données projet'!$A$61:$I$81,9,0)</f>
        <v>9.2219551282051242</v>
      </c>
      <c r="AH69" s="12">
        <f t="array" ref="AH69">INDEX(AG:AG,MIN(IF(ISNUMBER(AG69:AG265),ROW(AG69:AG265),"")))</f>
        <v>9.2219551282051242</v>
      </c>
      <c r="AI69" s="13">
        <f>IF('Données projet'!$A$62&gt;35,AI68+AH69-AQ68,IF(A69&lt;'Données projet'!$A$62,$AF$205^A69,IF(A69='Données projet'!$A$62,'Données projet'!$B$62,AI68+AH69-AQ68)))</f>
        <v>274.29487179487165</v>
      </c>
      <c r="AJ69" s="13">
        <f>AI69*VLOOKUP('Données projet'!$B$10,Paramètres!$A$1:$I$89,3,0)*VLOOKUP('Données projet'!$B$10,Paramètres!$A$1:$I$89,5,0)</f>
        <v>278.13499999999988</v>
      </c>
      <c r="AK69" s="13">
        <f t="shared" ref="AK69:AK132" si="89">EXP(-1.0587+0.8836*LN(AJ69)+0.284)</f>
        <v>66.572727603488161</v>
      </c>
      <c r="AL69" s="20">
        <f t="shared" si="58"/>
        <v>600.36595890940828</v>
      </c>
      <c r="AM69" s="59">
        <f t="shared" si="59"/>
        <v>864.81901802659536</v>
      </c>
      <c r="AN69" s="59">
        <f ca="1">AVERAGE(OFFSET($AM$3,0,0,'Données projet'!$E$10+1,1))-AVERAGE(OFFSET($H$3,0,0,'Données projet'!$E$10+1,1))</f>
        <v>596.42822894047072</v>
      </c>
      <c r="AO69" s="59">
        <f t="shared" ref="AO69:AO132" si="90">$AO$3</f>
        <v>298.31525330951047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54.141025641025635</v>
      </c>
      <c r="AR69" s="16">
        <f>IF(ISNA(VLOOKUP(A69,'Données projet'!$A$61:$I$81,5,0)),0%,VLOOKUP(A69,'Données projet'!$A$61:$I$81,5,0)*VLOOKUP('Données projet'!$B$10,Paramètres!$A$1:$I$89,7,0))</f>
        <v>0.30099999999999999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18.267454728159805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18.267454728159805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217</v>
      </c>
      <c r="BE69" s="13">
        <f>BD69*VLOOKUP('Données projet'!$B$11,Paramètres!$A$1:$I$89,3,0)*VLOOKUP('Données projet'!$B$11,Paramètres!$A$1:$I$89,5,0)</f>
        <v>226.80840000000003</v>
      </c>
      <c r="BF69" s="13">
        <f t="shared" ref="BF69:BF132" si="91">EXP(-1.0587+0.8836*LN(BE69)+0.284)</f>
        <v>55.592022759242575</v>
      </c>
      <c r="BG69" s="20">
        <f t="shared" si="61"/>
        <v>491.84740297234742</v>
      </c>
      <c r="BH69" s="59">
        <f t="shared" si="62"/>
        <v>756.30046208953445</v>
      </c>
      <c r="BI69" s="59">
        <f ca="1">AVERAGE(OFFSET($BH$3,0,0,'Données projet'!$E$11+1,1))-AVERAGE(OFFSET($H$3,0,0,'Données projet'!$E$11+1,1))</f>
        <v>446.06835300781546</v>
      </c>
      <c r="BJ69" s="59">
        <f t="shared" ref="BJ69:BJ132" si="92">$BJ$3</f>
        <v>396.46809188573138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20.062799558185084</v>
      </c>
      <c r="BQ69" s="21">
        <f>EXP(-LN(2)/25)*BQ68+(1-EXP(-LN(2)/25))/(LN(2)/25)*Calculateur!BL69*Calculateur!BN69*VLOOKUP('Données projet'!$B$11,Paramètres!$A$1:$I$89,3,0)*0.475*44/12</f>
        <v>22.728357826175962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42.791157384361043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392.8</v>
      </c>
      <c r="BW69" s="12">
        <f>VLOOKUP(A69,'Données projet'!$A$113:$I$133,9,0)</f>
        <v>13.725000000000001</v>
      </c>
      <c r="BX69" s="12">
        <f t="array" ref="BX69">INDEX(BW:BW,MIN(IF(ISNUMBER(BW69:BW265),ROW(BW69:BW265),"")))</f>
        <v>13.725000000000001</v>
      </c>
      <c r="BY69" s="12">
        <f>IF('Données projet'!$A$114&gt;35,BY68+BX69-CG68,IF(A69&lt;'Données projet'!$A$114,$BV$205^A69,IF(A69='Données projet'!$A$114,'Données projet'!$B$114,BY68+BX69-CG68)))</f>
        <v>392.80000000000013</v>
      </c>
      <c r="BZ69" s="13">
        <f>BY69*VLOOKUP('Données projet'!$B$12,Paramètres!$A$1:$I$89,3,0)*VLOOKUP('Données projet'!$B$12,Paramètres!$A$1:$I$89,5,0)</f>
        <v>183.83040000000005</v>
      </c>
      <c r="CA69" s="13">
        <f t="shared" ref="CA69:CA132" si="93">EXP(-1.0587+0.8836*LN(BZ69)+0.284)</f>
        <v>46.173332422615523</v>
      </c>
      <c r="CB69" s="20">
        <f t="shared" si="64"/>
        <v>400.58983396938879</v>
      </c>
      <c r="CC69" s="59">
        <f t="shared" si="65"/>
        <v>665.04289308657587</v>
      </c>
      <c r="CD69" s="59">
        <f ca="1">AVERAGE(OFFSET($CC$3,0,0,'Données projet'!$E$12+1,1))-AVERAGE(OFFSET($H$3,0,0,'Données projet'!$E$12+1,1))</f>
        <v>307.52821153421951</v>
      </c>
      <c r="CE69" s="59">
        <f t="shared" ref="CE69:CE132" si="94">$CE$3</f>
        <v>221.23619018904222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79.2</v>
      </c>
      <c r="CH69" s="16">
        <f>IF(ISNA(VLOOKUP(A69,'Données projet'!$A$113:$I$133,5,0)),0%,VLOOKUP(A69,'Données projet'!$A$113:$I$133,5,0)*VLOOKUP('Données projet'!$B$12,Paramètres!$A$1:$I$89,7,0))</f>
        <v>0.38500000000000001</v>
      </c>
      <c r="CI69" s="16">
        <f>IF(ISNA(VLOOKUP(A69,'Données projet'!$A$113:$I$133,6,0)),0%,VLOOKUP(A69,'Données projet'!$A$113:$I$133,6,0)*VLOOKUP('Données projet'!$B$12,Paramètres!$A$1:$I$89,7,0))</f>
        <v>9.3500000000000014E-2</v>
      </c>
      <c r="CJ69" s="16">
        <f>IF(ISNA(VLOOKUP(A69,'Données projet'!$A$113:$I$133,7,0)),0%,VLOOKUP(A69,'Données projet'!$A$113:$I$133,7,0))</f>
        <v>0.13</v>
      </c>
      <c r="CK69" s="21">
        <f>EXP(-LN(2)/35)*CK68+(1-EXP(-LN(2)/35))/(LN(2)/35)*CG69*CH69*VLOOKUP('Données projet'!$B$12,Paramètres!$A$1:$I$89,3,0)*0.475*44/12</f>
        <v>52.84431227724393</v>
      </c>
      <c r="CL69" s="21">
        <f>EXP(-LN(2)/25)*CL68+(1-EXP(-LN(2)/25))/(LN(2)/25)*Calculateur!CG69*Calculateur!CI69*VLOOKUP('Données projet'!$B$12,Paramètres!$A$1:$I$89,3,0)*0.475*44/12</f>
        <v>22.31531798353431</v>
      </c>
      <c r="CM69" s="21">
        <f>EXP(-LN(2)/2)*CM68+(1-EXP(-LN(2)/2))/(LN(2)/2)*CG69*CJ69*VLOOKUP('Données projet'!$B$12,Paramètres!$A$1:$I$89,3,0)*0.475*44/12</f>
        <v>5.8344829797025781</v>
      </c>
      <c r="CN69" s="22">
        <f t="shared" si="66"/>
        <v>80.994113240480829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208.08333333333334</v>
      </c>
      <c r="CR69" s="12">
        <f>VLOOKUP(A69,'Données projet'!$A$139:$I$159,9,0)</f>
        <v>6.9975961538461569</v>
      </c>
      <c r="CS69" s="12">
        <f t="array" ref="CS69">INDEX(CR:CR,MIN(IF(ISNUMBER(CR69:CR265),ROW(CR69:CR265),"")))</f>
        <v>6.9975961538461569</v>
      </c>
      <c r="CT69" s="12">
        <f>IF('Données projet'!$A$140&gt;35,CT68+CS69-DB68,IF(A69&lt;'Données projet'!$A$140,$CQ$205^A69,IF(A69='Données projet'!$A$140,'Données projet'!$B$140,CT68+CS69-DB68)))</f>
        <v>208.08333333333348</v>
      </c>
      <c r="CU69" s="17">
        <f>CT69*VLOOKUP('Données projet'!$B$13,Paramètres!$A$1:$I$89,3,0)*VLOOKUP('Données projet'!$B$13,Paramètres!$A$1:$I$89,5,0)</f>
        <v>236.96530000000018</v>
      </c>
      <c r="CV69" s="13">
        <f t="shared" ref="CV69:CV132" si="95">EXP(-1.0587+0.8836*LN(CU69)+0.284)</f>
        <v>57.786117216593055</v>
      </c>
      <c r="CW69" s="20">
        <f t="shared" si="67"/>
        <v>513.35871831889983</v>
      </c>
      <c r="CX69" s="59">
        <f t="shared" si="68"/>
        <v>777.81177743608691</v>
      </c>
      <c r="CY69" s="59">
        <f ca="1">AVERAGE(OFFSET($CX$3,0,0,'Données projet'!$E$13+1,1))-AVERAGE(OFFSET($H$3,0,0,'Données projet'!$E$13+1,1))</f>
        <v>598.12133208901378</v>
      </c>
      <c r="CZ69" s="59">
        <f t="shared" ref="CZ69:CZ132" si="96">$CZ$3</f>
        <v>246.23353541360947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39.166666666666664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247.79999999999984</v>
      </c>
      <c r="DP69" s="17">
        <f>DO69*VLOOKUP('Données projet'!$B$14,Paramètres!$A$1:$I$89,3,0)*VLOOKUP('Données projet'!$B$14,Paramètres!$A$1:$I$89,5,0)</f>
        <v>197.14967999999988</v>
      </c>
      <c r="DQ69" s="13">
        <f t="shared" ref="DQ69:DQ132" si="97">EXP(-1.0587+0.8836*LN(DP69)+0.284)</f>
        <v>49.11723130862363</v>
      </c>
      <c r="DR69" s="20">
        <f t="shared" si="70"/>
        <v>428.91487052918592</v>
      </c>
      <c r="DS69" s="59">
        <f t="shared" si="71"/>
        <v>693.367929646373</v>
      </c>
      <c r="DT69" s="59">
        <f ca="1">AVERAGE(OFFSET($DS$3,0,0,'Données projet'!$E$14+1,1))-AVERAGE(OFFSET($H$3,0,0,'Données projet'!$E$14+1,1))</f>
        <v>323.01113210765487</v>
      </c>
      <c r="DU69" s="59">
        <f t="shared" ref="DU69:DU132" si="98">$DU$3</f>
        <v>311.68541696405975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24.627635219902334</v>
      </c>
      <c r="EB69" s="21">
        <f>EXP(-LN(2)/25)*EB68+(1-EXP(-LN(2)/25))/(LN(2)/25)*Calculateur!DW69*Calculateur!DY69*VLOOKUP('Données projet'!$B$14,Paramètres!$A$1:$I$89,3,0)*0.475*44/12</f>
        <v>10.489137045468294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35.116772265370628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337.99164391755608</v>
      </c>
      <c r="T70" s="59">
        <f t="shared" si="88"/>
        <v>421.45428231923393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8.6875</v>
      </c>
      <c r="AI70" s="13">
        <f>IF('Données projet'!$A$62&gt;35,AI69+AH70-AQ69,IF(A70&lt;'Données projet'!$A$62,$AF$205^A70,IF(A70='Données projet'!$A$62,'Données projet'!$B$62,AI69+AH70-AQ69)))</f>
        <v>228.84134615384602</v>
      </c>
      <c r="AJ70" s="13">
        <f>AI70*VLOOKUP('Données projet'!$B$10,Paramètres!$A$1:$I$89,3,0)*VLOOKUP('Données projet'!$B$10,Paramètres!$A$1:$I$89,5,0)</f>
        <v>232.04512499999987</v>
      </c>
      <c r="AK70" s="13">
        <f t="shared" si="89"/>
        <v>56.724657281920663</v>
      </c>
      <c r="AL70" s="20">
        <f t="shared" si="58"/>
        <v>502.94070414101151</v>
      </c>
      <c r="AM70" s="59">
        <f t="shared" si="59"/>
        <v>767.89477144922841</v>
      </c>
      <c r="AN70" s="59">
        <f ca="1">AVERAGE(OFFSET($AM$3,0,0,'Données projet'!$E$10+1,1))-AVERAGE(OFFSET($H$3,0,0,'Données projet'!$E$10+1,1))</f>
        <v>596.42822894047072</v>
      </c>
      <c r="AO70" s="59">
        <f t="shared" si="90"/>
        <v>298.31525330951047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17.909241082987791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17.909241082987791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222</v>
      </c>
      <c r="BE70" s="13">
        <f>BD70*VLOOKUP('Données projet'!$B$11,Paramètres!$A$1:$I$89,3,0)*VLOOKUP('Données projet'!$B$11,Paramètres!$A$1:$I$89,5,0)</f>
        <v>232.03440000000003</v>
      </c>
      <c r="BF70" s="13">
        <f t="shared" si="91"/>
        <v>56.722340668285831</v>
      </c>
      <c r="BG70" s="20">
        <f t="shared" si="61"/>
        <v>502.91798999726456</v>
      </c>
      <c r="BH70" s="59">
        <f t="shared" si="62"/>
        <v>767.87205730548146</v>
      </c>
      <c r="BI70" s="59">
        <f ca="1">AVERAGE(OFFSET($BH$3,0,0,'Données projet'!$E$11+1,1))-AVERAGE(OFFSET($H$3,0,0,'Données projet'!$E$11+1,1))</f>
        <v>446.06835300781546</v>
      </c>
      <c r="BJ70" s="59">
        <f t="shared" si="92"/>
        <v>396.46809188573138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19.669380295948493</v>
      </c>
      <c r="BQ70" s="21">
        <f>EXP(-LN(2)/25)*BQ69+(1-EXP(-LN(2)/25))/(LN(2)/25)*Calculateur!BL70*Calculateur!BN70*VLOOKUP('Données projet'!$B$11,Paramètres!$A$1:$I$89,3,0)*0.475*44/12</f>
        <v>22.106849686186788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41.776229982135277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13.033333333333328</v>
      </c>
      <c r="BY70" s="12">
        <f>IF('Données projet'!$A$114&gt;35,BY69+BX70-CG69,IF(A70&lt;'Données projet'!$A$114,$BV$205^A70,IF(A70='Données projet'!$A$114,'Données projet'!$B$114,BY69+BX70-CG69)))</f>
        <v>326.63333333333344</v>
      </c>
      <c r="BZ70" s="13">
        <f>BY70*VLOOKUP('Données projet'!$B$12,Paramètres!$A$1:$I$89,3,0)*VLOOKUP('Données projet'!$B$12,Paramètres!$A$1:$I$89,5,0)</f>
        <v>152.86440000000005</v>
      </c>
      <c r="CA70" s="13">
        <f t="shared" si="93"/>
        <v>39.228812436928422</v>
      </c>
      <c r="CB70" s="20">
        <f t="shared" si="64"/>
        <v>334.56234499431707</v>
      </c>
      <c r="CC70" s="59">
        <f t="shared" si="65"/>
        <v>599.51641230253404</v>
      </c>
      <c r="CD70" s="59">
        <f ca="1">AVERAGE(OFFSET($CC$3,0,0,'Données projet'!$E$12+1,1))-AVERAGE(OFFSET($H$3,0,0,'Données projet'!$E$12+1,1))</f>
        <v>307.52821153421951</v>
      </c>
      <c r="CE70" s="59">
        <f t="shared" si="94"/>
        <v>221.23619018904222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51.808067545335035</v>
      </c>
      <c r="CL70" s="21">
        <f>EXP(-LN(2)/25)*CL69+(1-EXP(-LN(2)/25))/(LN(2)/25)*Calculateur!CG70*Calculateur!CI70*VLOOKUP('Données projet'!$B$12,Paramètres!$A$1:$I$89,3,0)*0.475*44/12</f>
        <v>21.705104439762994</v>
      </c>
      <c r="CM70" s="21">
        <f>EXP(-LN(2)/2)*CM69+(1-EXP(-LN(2)/2))/(LN(2)/2)*CG70*CJ70*VLOOKUP('Données projet'!$B$12,Paramètres!$A$1:$I$89,3,0)*0.475*44/12</f>
        <v>4.1256024796651873</v>
      </c>
      <c r="CN70" s="22">
        <f t="shared" si="66"/>
        <v>77.638774464763216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6.6995192307692264</v>
      </c>
      <c r="CT70" s="12">
        <f>IF('Données projet'!$A$140&gt;35,CT69+CS70-DB69,IF(A70&lt;'Données projet'!$A$140,$CQ$205^A70,IF(A70='Données projet'!$A$140,'Données projet'!$B$140,CT69+CS70-DB69)))</f>
        <v>175.61618589743605</v>
      </c>
      <c r="CU70" s="17">
        <f>CT70*VLOOKUP('Données projet'!$B$13,Paramètres!$A$1:$I$89,3,0)*VLOOKUP('Données projet'!$B$13,Paramètres!$A$1:$I$89,5,0)</f>
        <v>199.99171250000018</v>
      </c>
      <c r="CV70" s="13">
        <f t="shared" si="95"/>
        <v>49.742346379328339</v>
      </c>
      <c r="CW70" s="20">
        <f t="shared" si="67"/>
        <v>434.95348588149722</v>
      </c>
      <c r="CX70" s="59">
        <f t="shared" si="68"/>
        <v>699.90755318971412</v>
      </c>
      <c r="CY70" s="59">
        <f ca="1">AVERAGE(OFFSET($CX$3,0,0,'Données projet'!$E$13+1,1))-AVERAGE(OFFSET($H$3,0,0,'Données projet'!$E$13+1,1))</f>
        <v>598.12133208901378</v>
      </c>
      <c r="CZ70" s="59">
        <f t="shared" si="96"/>
        <v>246.23353541360947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251.59999999999985</v>
      </c>
      <c r="DP70" s="17">
        <f>DO70*VLOOKUP('Données projet'!$B$14,Paramètres!$A$1:$I$89,3,0)*VLOOKUP('Données projet'!$B$14,Paramètres!$A$1:$I$89,5,0)</f>
        <v>200.17295999999988</v>
      </c>
      <c r="DQ70" s="13">
        <f t="shared" si="97"/>
        <v>49.782177185855986</v>
      </c>
      <c r="DR70" s="20">
        <f t="shared" si="70"/>
        <v>435.33853059869892</v>
      </c>
      <c r="DS70" s="59">
        <f t="shared" si="71"/>
        <v>700.29259790691583</v>
      </c>
      <c r="DT70" s="59">
        <f ca="1">AVERAGE(OFFSET($DS$3,0,0,'Données projet'!$E$14+1,1))-AVERAGE(OFFSET($H$3,0,0,'Données projet'!$E$14+1,1))</f>
        <v>323.01113210765487</v>
      </c>
      <c r="DU70" s="59">
        <f t="shared" si="98"/>
        <v>311.68541696405975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24.144702314614296</v>
      </c>
      <c r="EB70" s="21">
        <f>EXP(-LN(2)/25)*EB69+(1-EXP(-LN(2)/25))/(LN(2)/25)*Calculateur!DW70*Calculateur!DY70*VLOOKUP('Données projet'!$B$14,Paramètres!$A$1:$I$89,3,0)*0.475*44/12</f>
        <v>10.202311041360218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34.347013355974511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337.99164391755608</v>
      </c>
      <c r="T71" s="59">
        <f t="shared" si="88"/>
        <v>421.45428231923393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8.6875</v>
      </c>
      <c r="AI71" s="13">
        <f>IF('Données projet'!$A$62&gt;35,AI70+AH71-AQ70,IF(A71&lt;'Données projet'!$A$62,$AF$205^A71,IF(A71='Données projet'!$A$62,'Données projet'!$B$62,AI70+AH71-AQ70)))</f>
        <v>237.52884615384602</v>
      </c>
      <c r="AJ71" s="13">
        <f>AI71*VLOOKUP('Données projet'!$B$10,Paramètres!$A$1:$I$89,3,0)*VLOOKUP('Données projet'!$B$10,Paramètres!$A$1:$I$89,5,0)</f>
        <v>240.85424999999989</v>
      </c>
      <c r="AK71" s="13">
        <f t="shared" si="89"/>
        <v>58.623288507052891</v>
      </c>
      <c r="AL71" s="20">
        <f t="shared" si="58"/>
        <v>521.59004623311682</v>
      </c>
      <c r="AM71" s="59">
        <f t="shared" si="59"/>
        <v>787.03643036033566</v>
      </c>
      <c r="AN71" s="59">
        <f ca="1">AVERAGE(OFFSET($AM$3,0,0,'Données projet'!$E$10+1,1))-AVERAGE(OFFSET($H$3,0,0,'Données projet'!$E$10+1,1))</f>
        <v>596.42822894047072</v>
      </c>
      <c r="AO71" s="59">
        <f t="shared" si="90"/>
        <v>298.31525330951047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17.558051788908848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17.558051788908848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227</v>
      </c>
      <c r="BE71" s="13">
        <f>BD71*VLOOKUP('Données projet'!$B$11,Paramètres!$A$1:$I$89,3,0)*VLOOKUP('Données projet'!$B$11,Paramètres!$A$1:$I$89,5,0)</f>
        <v>237.2604</v>
      </c>
      <c r="BF71" s="13">
        <f t="shared" si="91"/>
        <v>57.849698927879167</v>
      </c>
      <c r="BG71" s="20">
        <f t="shared" si="61"/>
        <v>513.98342229938953</v>
      </c>
      <c r="BH71" s="59">
        <f t="shared" si="62"/>
        <v>779.42980642660837</v>
      </c>
      <c r="BI71" s="59">
        <f ca="1">AVERAGE(OFFSET($BH$3,0,0,'Données projet'!$E$11+1,1))-AVERAGE(OFFSET($H$3,0,0,'Données projet'!$E$11+1,1))</f>
        <v>446.06835300781546</v>
      </c>
      <c r="BJ71" s="59">
        <f t="shared" si="92"/>
        <v>396.46809188573138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19.283675745482306</v>
      </c>
      <c r="BQ71" s="21">
        <f>EXP(-LN(2)/25)*BQ70+(1-EXP(-LN(2)/25))/(LN(2)/25)*Calculateur!BL71*Calculateur!BN71*VLOOKUP('Données projet'!$B$11,Paramètres!$A$1:$I$89,3,0)*0.475*44/12</f>
        <v>21.50233671896931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40.786012464451616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13.033333333333328</v>
      </c>
      <c r="BY71" s="12">
        <f>IF('Données projet'!$A$114&gt;35,BY70+BX71-CG70,IF(A71&lt;'Données projet'!$A$114,$BV$205^A71,IF(A71='Données projet'!$A$114,'Données projet'!$B$114,BY70+BX71-CG70)))</f>
        <v>339.66666666666674</v>
      </c>
      <c r="BZ71" s="13">
        <f>BY71*VLOOKUP('Données projet'!$B$12,Paramètres!$A$1:$I$89,3,0)*VLOOKUP('Données projet'!$B$12,Paramètres!$A$1:$I$89,5,0)</f>
        <v>158.96400000000006</v>
      </c>
      <c r="CA71" s="13">
        <f t="shared" si="93"/>
        <v>40.608754443576686</v>
      </c>
      <c r="CB71" s="20">
        <f t="shared" si="64"/>
        <v>347.58921398922945</v>
      </c>
      <c r="CC71" s="59">
        <f t="shared" si="65"/>
        <v>613.03559811644823</v>
      </c>
      <c r="CD71" s="59">
        <f ca="1">AVERAGE(OFFSET($CC$3,0,0,'Données projet'!$E$12+1,1))-AVERAGE(OFFSET($H$3,0,0,'Données projet'!$E$12+1,1))</f>
        <v>307.52821153421951</v>
      </c>
      <c r="CE71" s="59">
        <f t="shared" si="94"/>
        <v>221.23619018904222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50.792142940571999</v>
      </c>
      <c r="CL71" s="21">
        <f>EXP(-LN(2)/25)*CL70+(1-EXP(-LN(2)/25))/(LN(2)/25)*Calculateur!CG71*Calculateur!CI71*VLOOKUP('Données projet'!$B$12,Paramètres!$A$1:$I$89,3,0)*0.475*44/12</f>
        <v>21.11157721743584</v>
      </c>
      <c r="CM71" s="21">
        <f>EXP(-LN(2)/2)*CM70+(1-EXP(-LN(2)/2))/(LN(2)/2)*CG71*CJ71*VLOOKUP('Données projet'!$B$12,Paramètres!$A$1:$I$89,3,0)*0.475*44/12</f>
        <v>2.9172414898512895</v>
      </c>
      <c r="CN71" s="22">
        <f t="shared" si="66"/>
        <v>74.820961647859136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6.6995192307692264</v>
      </c>
      <c r="CT71" s="12">
        <f>IF('Données projet'!$A$140&gt;35,CT70+CS71-DB70,IF(A71&lt;'Données projet'!$A$140,$CQ$205^A71,IF(A71='Données projet'!$A$140,'Données projet'!$B$140,CT70+CS71-DB70)))</f>
        <v>182.31570512820528</v>
      </c>
      <c r="CU71" s="17">
        <f>CT71*VLOOKUP('Données projet'!$B$13,Paramètres!$A$1:$I$89,3,0)*VLOOKUP('Données projet'!$B$13,Paramètres!$A$1:$I$89,5,0)</f>
        <v>207.62112500000018</v>
      </c>
      <c r="CV71" s="13">
        <f t="shared" si="95"/>
        <v>51.415397478636855</v>
      </c>
      <c r="CW71" s="20">
        <f t="shared" si="67"/>
        <v>451.15527665029282</v>
      </c>
      <c r="CX71" s="59">
        <f t="shared" si="68"/>
        <v>716.6016607775116</v>
      </c>
      <c r="CY71" s="59">
        <f ca="1">AVERAGE(OFFSET($CX$3,0,0,'Données projet'!$E$13+1,1))-AVERAGE(OFFSET($H$3,0,0,'Données projet'!$E$13+1,1))</f>
        <v>598.12133208901378</v>
      </c>
      <c r="CZ71" s="59">
        <f t="shared" si="96"/>
        <v>246.23353541360947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255.39999999999986</v>
      </c>
      <c r="DP71" s="17">
        <f>DO71*VLOOKUP('Données projet'!$B$14,Paramètres!$A$1:$I$89,3,0)*VLOOKUP('Données projet'!$B$14,Paramètres!$A$1:$I$89,5,0)</f>
        <v>203.1962399999999</v>
      </c>
      <c r="DQ71" s="13">
        <f t="shared" si="97"/>
        <v>50.445955049216174</v>
      </c>
      <c r="DR71" s="20">
        <f t="shared" si="70"/>
        <v>441.76015637738465</v>
      </c>
      <c r="DS71" s="59">
        <f t="shared" si="71"/>
        <v>707.20654050460348</v>
      </c>
      <c r="DT71" s="59">
        <f ca="1">AVERAGE(OFFSET($DS$3,0,0,'Données projet'!$E$14+1,1))-AVERAGE(OFFSET($H$3,0,0,'Données projet'!$E$14+1,1))</f>
        <v>323.01113210765487</v>
      </c>
      <c r="DU71" s="59">
        <f t="shared" si="98"/>
        <v>311.68541696405975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23.67123942903897</v>
      </c>
      <c r="EB71" s="21">
        <f>EXP(-LN(2)/25)*EB70+(1-EXP(-LN(2)/25))/(LN(2)/25)*Calculateur!DW71*Calculateur!DY71*VLOOKUP('Données projet'!$B$14,Paramètres!$A$1:$I$89,3,0)*0.475*44/12</f>
        <v>9.9233283094180038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33.594567738456973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337.99164391755608</v>
      </c>
      <c r="T72" s="59">
        <f t="shared" si="88"/>
        <v>421.45428231923393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8.6875</v>
      </c>
      <c r="AI72" s="13">
        <f>IF('Données projet'!$A$62&gt;35,AI71+AH72-AQ71,IF(A72&lt;'Données projet'!$A$62,$AF$205^A72,IF(A72='Données projet'!$A$62,'Données projet'!$B$62,AI71+AH72-AQ71)))</f>
        <v>246.21634615384602</v>
      </c>
      <c r="AJ72" s="13">
        <f>AI72*VLOOKUP('Données projet'!$B$10,Paramètres!$A$1:$I$89,3,0)*VLOOKUP('Données projet'!$B$10,Paramètres!$A$1:$I$89,5,0)</f>
        <v>249.66337499999989</v>
      </c>
      <c r="AK72" s="13">
        <f t="shared" si="89"/>
        <v>60.513852023295833</v>
      </c>
      <c r="AL72" s="20">
        <f t="shared" si="58"/>
        <v>540.2253370655734</v>
      </c>
      <c r="AM72" s="59">
        <f t="shared" si="59"/>
        <v>806.15549741563996</v>
      </c>
      <c r="AN72" s="59">
        <f ca="1">AVERAGE(OFFSET($AM$3,0,0,'Données projet'!$E$10+1,1))-AVERAGE(OFFSET($H$3,0,0,'Données projet'!$E$10+1,1))</f>
        <v>596.42822894047072</v>
      </c>
      <c r="AO72" s="59">
        <f t="shared" si="90"/>
        <v>298.31525330951047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17.213749102682478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17.213749102682478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232</v>
      </c>
      <c r="BE72" s="13">
        <f>BD72*VLOOKUP('Données projet'!$B$11,Paramètres!$A$1:$I$89,3,0)*VLOOKUP('Données projet'!$B$11,Paramètres!$A$1:$I$89,5,0)</f>
        <v>242.4864</v>
      </c>
      <c r="BF72" s="13">
        <f t="shared" si="91"/>
        <v>58.974170235372419</v>
      </c>
      <c r="BG72" s="20">
        <f t="shared" si="61"/>
        <v>525.04382649327351</v>
      </c>
      <c r="BH72" s="59">
        <f t="shared" si="62"/>
        <v>790.97398684334007</v>
      </c>
      <c r="BI72" s="59">
        <f ca="1">AVERAGE(OFFSET($BH$3,0,0,'Données projet'!$E$11+1,1))-AVERAGE(OFFSET($H$3,0,0,'Données projet'!$E$11+1,1))</f>
        <v>446.06835300781546</v>
      </c>
      <c r="BJ72" s="59">
        <f t="shared" si="92"/>
        <v>396.46809188573138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18.905534625994214</v>
      </c>
      <c r="BQ72" s="21">
        <f>EXP(-LN(2)/25)*BQ71+(1-EXP(-LN(2)/25))/(LN(2)/25)*Calculateur!BL72*Calculateur!BN72*VLOOKUP('Données projet'!$B$11,Paramètres!$A$1:$I$89,3,0)*0.475*44/12</f>
        <v>20.914354190630352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39.819888816624569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13.033333333333328</v>
      </c>
      <c r="BY72" s="12">
        <f>IF('Données projet'!$A$114&gt;35,BY71+BX72-CG71,IF(A72&lt;'Données projet'!$A$114,$BV$205^A72,IF(A72='Données projet'!$A$114,'Données projet'!$B$114,BY71+BX72-CG71)))</f>
        <v>352.70000000000005</v>
      </c>
      <c r="BZ72" s="13">
        <f>BY72*VLOOKUP('Données projet'!$B$12,Paramètres!$A$1:$I$89,3,0)*VLOOKUP('Données projet'!$B$12,Paramètres!$A$1:$I$89,5,0)</f>
        <v>165.06360000000001</v>
      </c>
      <c r="CA72" s="13">
        <f t="shared" si="93"/>
        <v>41.982545255657556</v>
      </c>
      <c r="CB72" s="20">
        <f t="shared" si="64"/>
        <v>360.60536965360353</v>
      </c>
      <c r="CC72" s="59">
        <f t="shared" si="65"/>
        <v>626.53553000367015</v>
      </c>
      <c r="CD72" s="59">
        <f ca="1">AVERAGE(OFFSET($CC$3,0,0,'Données projet'!$E$12+1,1))-AVERAGE(OFFSET($H$3,0,0,'Données projet'!$E$12+1,1))</f>
        <v>307.52821153421951</v>
      </c>
      <c r="CE72" s="59">
        <f t="shared" si="94"/>
        <v>221.23619018904222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49.796139997655537</v>
      </c>
      <c r="CL72" s="21">
        <f>EXP(-LN(2)/25)*CL71+(1-EXP(-LN(2)/25))/(LN(2)/25)*Calculateur!CG72*Calculateur!CI72*VLOOKUP('Données projet'!$B$12,Paramètres!$A$1:$I$89,3,0)*0.475*44/12</f>
        <v>20.534280028215463</v>
      </c>
      <c r="CM72" s="21">
        <f>EXP(-LN(2)/2)*CM71+(1-EXP(-LN(2)/2))/(LN(2)/2)*CG72*CJ72*VLOOKUP('Données projet'!$B$12,Paramètres!$A$1:$I$89,3,0)*0.475*44/12</f>
        <v>2.0628012398325937</v>
      </c>
      <c r="CN72" s="22">
        <f t="shared" si="66"/>
        <v>72.393221265703602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6.6995192307692264</v>
      </c>
      <c r="CT72" s="12">
        <f>IF('Données projet'!$A$140&gt;35,CT71+CS72-DB71,IF(A72&lt;'Données projet'!$A$140,$CQ$205^A72,IF(A72='Données projet'!$A$140,'Données projet'!$B$140,CT71+CS72-DB71)))</f>
        <v>189.01522435897451</v>
      </c>
      <c r="CU72" s="17">
        <f>CT72*VLOOKUP('Données projet'!$B$13,Paramètres!$A$1:$I$89,3,0)*VLOOKUP('Données projet'!$B$13,Paramètres!$A$1:$I$89,5,0)</f>
        <v>215.25053750000015</v>
      </c>
      <c r="CV72" s="13">
        <f t="shared" si="95"/>
        <v>53.081305974857905</v>
      </c>
      <c r="CW72" s="20">
        <f t="shared" si="67"/>
        <v>467.34462738537769</v>
      </c>
      <c r="CX72" s="59">
        <f t="shared" si="68"/>
        <v>733.27478773544431</v>
      </c>
      <c r="CY72" s="59">
        <f ca="1">AVERAGE(OFFSET($CX$3,0,0,'Données projet'!$E$13+1,1))-AVERAGE(OFFSET($H$3,0,0,'Données projet'!$E$13+1,1))</f>
        <v>598.12133208901378</v>
      </c>
      <c r="CZ72" s="59">
        <f t="shared" si="96"/>
        <v>246.23353541360947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259.19999999999987</v>
      </c>
      <c r="DP72" s="17">
        <f>DO72*VLOOKUP('Données projet'!$B$14,Paramètres!$A$1:$I$89,3,0)*VLOOKUP('Données projet'!$B$14,Paramètres!$A$1:$I$89,5,0)</f>
        <v>206.21951999999993</v>
      </c>
      <c r="DQ72" s="13">
        <f t="shared" si="97"/>
        <v>51.10858428464028</v>
      </c>
      <c r="DR72" s="20">
        <f t="shared" si="70"/>
        <v>448.17978162908167</v>
      </c>
      <c r="DS72" s="59">
        <f t="shared" si="71"/>
        <v>714.10994197914829</v>
      </c>
      <c r="DT72" s="59">
        <f ca="1">AVERAGE(OFFSET($DS$3,0,0,'Données projet'!$E$14+1,1))-AVERAGE(OFFSET($H$3,0,0,'Données projet'!$E$14+1,1))</f>
        <v>323.01113210765487</v>
      </c>
      <c r="DU72" s="59">
        <f t="shared" si="98"/>
        <v>311.68541696405975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23.20706086186593</v>
      </c>
      <c r="EB72" s="21">
        <f>EXP(-LN(2)/25)*EB71+(1-EXP(-LN(2)/25))/(LN(2)/25)*Calculateur!DW72*Calculateur!DY72*VLOOKUP('Données projet'!$B$14,Paramètres!$A$1:$I$89,3,0)*0.475*44/12</f>
        <v>9.6519743749518128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32.859035236817746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337.99164391755608</v>
      </c>
      <c r="T73" s="59">
        <f t="shared" si="88"/>
        <v>421.45428231923393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8.6875</v>
      </c>
      <c r="AI73" s="13">
        <f>IF('Données projet'!$A$62&gt;35,AI72+AH73-AQ72,IF(A73&lt;'Données projet'!$A$62,$AF$205^A73,IF(A73='Données projet'!$A$62,'Données projet'!$B$62,AI72+AH73-AQ72)))</f>
        <v>254.90384615384602</v>
      </c>
      <c r="AJ73" s="13">
        <f>AI73*VLOOKUP('Données projet'!$B$10,Paramètres!$A$1:$I$89,3,0)*VLOOKUP('Données projet'!$B$10,Paramètres!$A$1:$I$89,5,0)</f>
        <v>258.47249999999985</v>
      </c>
      <c r="AK73" s="13">
        <f t="shared" si="89"/>
        <v>62.396665108459487</v>
      </c>
      <c r="AL73" s="20">
        <f t="shared" si="58"/>
        <v>558.84712923056668</v>
      </c>
      <c r="AM73" s="59">
        <f t="shared" si="59"/>
        <v>825.25267336757611</v>
      </c>
      <c r="AN73" s="59">
        <f ca="1">AVERAGE(OFFSET($AM$3,0,0,'Données projet'!$E$10+1,1))-AVERAGE(OFFSET($H$3,0,0,'Données projet'!$E$10+1,1))</f>
        <v>596.42822894047072</v>
      </c>
      <c r="AO73" s="59">
        <f t="shared" si="90"/>
        <v>298.31525330951047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16.876197982129103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16.876197982129103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237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237</v>
      </c>
      <c r="BE73" s="13">
        <f>BD73*VLOOKUP('Données projet'!$B$11,Paramètres!$A$1:$I$89,3,0)*VLOOKUP('Données projet'!$B$11,Paramètres!$A$1:$I$89,5,0)</f>
        <v>247.71240000000003</v>
      </c>
      <c r="BF73" s="13">
        <f t="shared" si="91"/>
        <v>60.095823975624157</v>
      </c>
      <c r="BG73" s="20">
        <f t="shared" si="61"/>
        <v>536.099323424212</v>
      </c>
      <c r="BH73" s="59">
        <f t="shared" si="62"/>
        <v>802.50486756122154</v>
      </c>
      <c r="BI73" s="59">
        <f ca="1">AVERAGE(OFFSET($BH$3,0,0,'Données projet'!$E$11+1,1))-AVERAGE(OFFSET($H$3,0,0,'Données projet'!$E$11+1,1))</f>
        <v>446.06835300781546</v>
      </c>
      <c r="BJ73" s="59">
        <f t="shared" si="92"/>
        <v>396.46809188573138</v>
      </c>
      <c r="BK73" s="15">
        <f>IF(ISNA(VLOOKUP(A73,'Données projet'!$A$87:$I$107,3,0)),0,VLOOKUP(A73,'Données projet'!$A$87:$I$107,3,0))</f>
        <v>11</v>
      </c>
      <c r="BL73" s="15" t="str">
        <f>IF(ISNA(VLOOKUP(A73,'Données projet'!$A$87:$I$107,4,0)),0,VLOOKUP(A73,'Données projet'!$A$87:$I$107,4,0))</f>
        <v>18</v>
      </c>
      <c r="BM73" s="16">
        <f>IF(ISNA(VLOOKUP(A73,'Données projet'!$A$87:$I$107,5,0)),0%,VLOOKUP(A73,'Données projet'!$A$87:$I$107,5,0)*VLOOKUP('Données projet'!$B$11,Paramètres!$A$1:$I$89,7,0))</f>
        <v>0.215</v>
      </c>
      <c r="BN73" s="16">
        <f>IF(ISNA(VLOOKUP(A73,'Données projet'!$A$87:$I$107,6,0)),0%,VLOOKUP(A73,'Données projet'!$A$87:$I$107,6,0)*VLOOKUP('Données projet'!$B$11,Paramètres!$A$1:$I$89,7,0))</f>
        <v>0.17200000000000001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23.00635229267791</v>
      </c>
      <c r="BQ73" s="21">
        <f>EXP(-LN(2)/25)*BQ72+(1-EXP(-LN(2)/25))/(LN(2)/25)*Calculateur!BL73*Calculateur!BN73*VLOOKUP('Données projet'!$B$11,Paramètres!$A$1:$I$89,3,0)*0.475*44/12</f>
        <v>23.905600074044322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46.911952366722232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13.033333333333328</v>
      </c>
      <c r="BY73" s="12">
        <f>IF('Données projet'!$A$114&gt;35,BY72+BX73-CG72,IF(A73&lt;'Données projet'!$A$114,$BV$205^A73,IF(A73='Données projet'!$A$114,'Données projet'!$B$114,BY72+BX73-CG72)))</f>
        <v>365.73333333333335</v>
      </c>
      <c r="BZ73" s="13">
        <f>BY73*VLOOKUP('Données projet'!$B$12,Paramètres!$A$1:$I$89,3,0)*VLOOKUP('Données projet'!$B$12,Paramètres!$A$1:$I$89,5,0)</f>
        <v>171.16319999999999</v>
      </c>
      <c r="CA73" s="13">
        <f t="shared" si="93"/>
        <v>43.350438209113896</v>
      </c>
      <c r="CB73" s="20">
        <f t="shared" si="64"/>
        <v>373.61125321420667</v>
      </c>
      <c r="CC73" s="59">
        <f t="shared" si="65"/>
        <v>640.01679735121616</v>
      </c>
      <c r="CD73" s="59">
        <f ca="1">AVERAGE(OFFSET($CC$3,0,0,'Données projet'!$E$12+1,1))-AVERAGE(OFFSET($H$3,0,0,'Données projet'!$E$12+1,1))</f>
        <v>307.52821153421951</v>
      </c>
      <c r="CE73" s="59">
        <f t="shared" si="94"/>
        <v>221.23619018904222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48.819668064947862</v>
      </c>
      <c r="CL73" s="21">
        <f>EXP(-LN(2)/25)*CL72+(1-EXP(-LN(2)/25))/(LN(2)/25)*Calculateur!CG73*Calculateur!CI73*VLOOKUP('Données projet'!$B$12,Paramètres!$A$1:$I$89,3,0)*0.475*44/12</f>
        <v>19.972769060993055</v>
      </c>
      <c r="CM73" s="21">
        <f>EXP(-LN(2)/2)*CM72+(1-EXP(-LN(2)/2))/(LN(2)/2)*CG73*CJ73*VLOOKUP('Données projet'!$B$12,Paramètres!$A$1:$I$89,3,0)*0.475*44/12</f>
        <v>1.4586207449256448</v>
      </c>
      <c r="CN73" s="22">
        <f t="shared" si="66"/>
        <v>70.251057870866561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6.6995192307692264</v>
      </c>
      <c r="CT73" s="12">
        <f>IF('Données projet'!$A$140&gt;35,CT72+CS73-DB72,IF(A73&lt;'Données projet'!$A$140,$CQ$205^A73,IF(A73='Données projet'!$A$140,'Données projet'!$B$140,CT72+CS73-DB72)))</f>
        <v>195.71474358974373</v>
      </c>
      <c r="CU73" s="17">
        <f>CT73*VLOOKUP('Données projet'!$B$13,Paramètres!$A$1:$I$89,3,0)*VLOOKUP('Données projet'!$B$13,Paramètres!$A$1:$I$89,5,0)</f>
        <v>222.87995000000015</v>
      </c>
      <c r="CV73" s="13">
        <f t="shared" si="95"/>
        <v>54.740354039102499</v>
      </c>
      <c r="CW73" s="20">
        <f t="shared" si="67"/>
        <v>483.52202953477035</v>
      </c>
      <c r="CX73" s="59">
        <f t="shared" si="68"/>
        <v>749.92757367177978</v>
      </c>
      <c r="CY73" s="59">
        <f ca="1">AVERAGE(OFFSET($CX$3,0,0,'Données projet'!$E$13+1,1))-AVERAGE(OFFSET($H$3,0,0,'Données projet'!$E$13+1,1))</f>
        <v>598.12133208901378</v>
      </c>
      <c r="CZ73" s="59">
        <f t="shared" si="96"/>
        <v>246.23353541360947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209.2427999999999</v>
      </c>
      <c r="DQ73" s="13">
        <f t="shared" si="97"/>
        <v>51.770083677016814</v>
      </c>
      <c r="DR73" s="20">
        <f t="shared" si="70"/>
        <v>454.59743907080406</v>
      </c>
      <c r="DS73" s="59">
        <f t="shared" si="71"/>
        <v>721.00298320781349</v>
      </c>
      <c r="DT73" s="59">
        <f ca="1">AVERAGE(OFFSET($DS$3,0,0,'Données projet'!$E$14+1,1))-AVERAGE(OFFSET($H$3,0,0,'Données projet'!$E$14+1,1))</f>
        <v>323.01113210765487</v>
      </c>
      <c r="DU73" s="59">
        <f t="shared" si="98"/>
        <v>311.68541696405975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0.47700000000000004</v>
      </c>
      <c r="DY73" s="16">
        <f>IF(ISNA(VLOOKUP(A73,'Données projet'!$A$165:$I$185,6,0)),0%,VLOOKUP(A73,'Données projet'!$A$165:$I$185,6,0)*VLOOKUP('Données projet'!$B$14,Paramètres!$A$1:$I$89,7,0))</f>
        <v>5.3000000000000005E-2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26.947257909246282</v>
      </c>
      <c r="EB73" s="21">
        <f>EXP(-LN(2)/25)*EB72+(1-EXP(-LN(2)/25))/(LN(2)/25)*Calculateur!DW73*Calculateur!DY73*VLOOKUP('Données projet'!$B$14,Paramètres!$A$1:$I$89,3,0)*0.475*44/12</f>
        <v>9.8523467354540575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36.799604644700338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337.99164391755608</v>
      </c>
      <c r="T74" s="59">
        <f t="shared" si="88"/>
        <v>421.45428231923393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8.6875</v>
      </c>
      <c r="AI74" s="13">
        <f>IF('Données projet'!$A$62&gt;35,AI73+AH74-AQ73,IF(A74&lt;'Données projet'!$A$62,$AF$205^A74,IF(A74='Données projet'!$A$62,'Données projet'!$B$62,AI73+AH74-AQ73)))</f>
        <v>263.59134615384602</v>
      </c>
      <c r="AJ74" s="13">
        <f>AI74*VLOOKUP('Données projet'!$B$10,Paramètres!$A$1:$I$89,3,0)*VLOOKUP('Données projet'!$B$10,Paramètres!$A$1:$I$89,5,0)</f>
        <v>267.28162499999985</v>
      </c>
      <c r="AK74" s="13">
        <f t="shared" si="89"/>
        <v>64.272022186962403</v>
      </c>
      <c r="AL74" s="20">
        <f t="shared" si="58"/>
        <v>577.45593551729269</v>
      </c>
      <c r="AM74" s="59">
        <f t="shared" si="59"/>
        <v>844.32861659534069</v>
      </c>
      <c r="AN74" s="59">
        <f ca="1">AVERAGE(OFFSET($AM$3,0,0,'Données projet'!$E$10+1,1))-AVERAGE(OFFSET($H$3,0,0,'Données projet'!$E$10+1,1))</f>
        <v>596.42822894047072</v>
      </c>
      <c r="AO74" s="59">
        <f t="shared" si="90"/>
        <v>298.31525330951047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16.545266033163927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16.545266033163927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4.4000000000000004</v>
      </c>
      <c r="BD74" s="12">
        <f>IF('Données projet'!$A$88&gt;35,BD73+BC74-BL73,IF(A74&lt;'Données projet'!$A$88,$BA$205^A74,IF(A74='Données projet'!$A$88,'Données projet'!$B$88,BD73+BC74-BL73)))</f>
        <v>223.4</v>
      </c>
      <c r="BE74" s="13">
        <f>BD74*VLOOKUP('Données projet'!$B$11,Paramètres!$A$1:$I$89,3,0)*VLOOKUP('Données projet'!$B$11,Paramètres!$A$1:$I$89,5,0)</f>
        <v>233.49768000000006</v>
      </c>
      <c r="BF74" s="13">
        <f t="shared" si="91"/>
        <v>57.038296123496387</v>
      </c>
      <c r="BG74" s="20">
        <f t="shared" si="61"/>
        <v>506.01682508175622</v>
      </c>
      <c r="BH74" s="59">
        <f t="shared" si="62"/>
        <v>772.88950615980411</v>
      </c>
      <c r="BI74" s="59">
        <f ca="1">AVERAGE(OFFSET($BH$3,0,0,'Données projet'!$E$11+1,1))-AVERAGE(OFFSET($H$3,0,0,'Données projet'!$E$11+1,1))</f>
        <v>446.06835300781546</v>
      </c>
      <c r="BJ74" s="59">
        <f t="shared" si="92"/>
        <v>396.46809188573138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22.555211756707802</v>
      </c>
      <c r="BQ74" s="21">
        <f>EXP(-LN(2)/25)*BQ73+(1-EXP(-LN(2)/25))/(LN(2)/25)*Calculateur!BL74*Calculateur!BN74*VLOOKUP('Données projet'!$B$11,Paramètres!$A$1:$I$89,3,0)*0.475*44/12</f>
        <v>23.25190018287871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45.807111939586513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13.033333333333328</v>
      </c>
      <c r="BY74" s="12">
        <f>IF('Données projet'!$A$114&gt;35,BY73+BX74-CG73,IF(A74&lt;'Données projet'!$A$114,$BV$205^A74,IF(A74='Données projet'!$A$114,'Données projet'!$B$114,BY73+BX74-CG73)))</f>
        <v>378.76666666666665</v>
      </c>
      <c r="BZ74" s="13">
        <f>BY74*VLOOKUP('Données projet'!$B$12,Paramètres!$A$1:$I$89,3,0)*VLOOKUP('Données projet'!$B$12,Paramètres!$A$1:$I$89,5,0)</f>
        <v>177.2628</v>
      </c>
      <c r="CA74" s="13">
        <f t="shared" si="93"/>
        <v>44.712667560459252</v>
      </c>
      <c r="CB74" s="20">
        <f t="shared" si="64"/>
        <v>386.60727266779986</v>
      </c>
      <c r="CC74" s="59">
        <f t="shared" si="65"/>
        <v>653.47995374584775</v>
      </c>
      <c r="CD74" s="59">
        <f ca="1">AVERAGE(OFFSET($CC$3,0,0,'Données projet'!$E$12+1,1))-AVERAGE(OFFSET($H$3,0,0,'Données projet'!$E$12+1,1))</f>
        <v>307.52821153421951</v>
      </c>
      <c r="CE74" s="59">
        <f t="shared" si="94"/>
        <v>221.23619018904222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47.862344151251513</v>
      </c>
      <c r="CL74" s="21">
        <f>EXP(-LN(2)/25)*CL73+(1-EXP(-LN(2)/25))/(LN(2)/25)*Calculateur!CG74*Calculateur!CI74*VLOOKUP('Données projet'!$B$12,Paramètres!$A$1:$I$89,3,0)*0.475*44/12</f>
        <v>19.426612640697925</v>
      </c>
      <c r="CM74" s="21">
        <f>EXP(-LN(2)/2)*CM73+(1-EXP(-LN(2)/2))/(LN(2)/2)*CG74*CJ74*VLOOKUP('Données projet'!$B$12,Paramètres!$A$1:$I$89,3,0)*0.475*44/12</f>
        <v>1.0314006199162968</v>
      </c>
      <c r="CN74" s="22">
        <f t="shared" si="66"/>
        <v>68.320357411865729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6.6995192307692264</v>
      </c>
      <c r="CT74" s="12">
        <f>IF('Données projet'!$A$140&gt;35,CT73+CS74-DB73,IF(A74&lt;'Données projet'!$A$140,$CQ$205^A74,IF(A74='Données projet'!$A$140,'Données projet'!$B$140,CT73+CS74-DB73)))</f>
        <v>202.41426282051296</v>
      </c>
      <c r="CU74" s="17">
        <f>CT74*VLOOKUP('Données projet'!$B$13,Paramètres!$A$1:$I$89,3,0)*VLOOKUP('Données projet'!$B$13,Paramètres!$A$1:$I$89,5,0)</f>
        <v>230.50936250000015</v>
      </c>
      <c r="CV74" s="13">
        <f t="shared" si="95"/>
        <v>56.39280342868954</v>
      </c>
      <c r="CW74" s="20">
        <f t="shared" si="67"/>
        <v>499.68793899246788</v>
      </c>
      <c r="CX74" s="59">
        <f t="shared" si="68"/>
        <v>766.56062007051582</v>
      </c>
      <c r="CY74" s="59">
        <f ca="1">AVERAGE(OFFSET($CX$3,0,0,'Données projet'!$E$13+1,1))-AVERAGE(OFFSET($H$3,0,0,'Données projet'!$E$13+1,1))</f>
        <v>598.12133208901378</v>
      </c>
      <c r="CZ74" s="59">
        <f t="shared" si="96"/>
        <v>246.23353541360947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256.39999999999986</v>
      </c>
      <c r="DP74" s="17">
        <f>DO74*VLOOKUP('Données projet'!$B$14,Paramètres!$A$1:$I$89,3,0)*VLOOKUP('Données projet'!$B$14,Paramètres!$A$1:$I$89,5,0)</f>
        <v>203.99183999999988</v>
      </c>
      <c r="DQ74" s="13">
        <f t="shared" si="97"/>
        <v>50.620441749347997</v>
      </c>
      <c r="DR74" s="20">
        <f t="shared" si="70"/>
        <v>443.44972404678083</v>
      </c>
      <c r="DS74" s="59">
        <f t="shared" si="71"/>
        <v>710.32240512482872</v>
      </c>
      <c r="DT74" s="59">
        <f ca="1">AVERAGE(OFFSET($DS$3,0,0,'Données projet'!$E$14+1,1))-AVERAGE(OFFSET($H$3,0,0,'Données projet'!$E$14+1,1))</f>
        <v>323.01113210765487</v>
      </c>
      <c r="DU74" s="59">
        <f t="shared" si="98"/>
        <v>311.68541696405975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26.418838617850348</v>
      </c>
      <c r="EB74" s="21">
        <f>EXP(-LN(2)/25)*EB73+(1-EXP(-LN(2)/25))/(LN(2)/25)*Calculateur!DW74*Calculateur!DY74*VLOOKUP('Données projet'!$B$14,Paramètres!$A$1:$I$89,3,0)*0.475*44/12</f>
        <v>9.5829337958606686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36.001772413711016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337.99164391755608</v>
      </c>
      <c r="T75" s="59">
        <f t="shared" si="88"/>
        <v>421.45428231923393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8.6875</v>
      </c>
      <c r="AI75" s="13">
        <f>IF('Données projet'!$A$62&gt;35,AI74+AH75-AQ74,IF(A75&lt;'Données projet'!$A$62,$AF$205^A75,IF(A75='Données projet'!$A$62,'Données projet'!$B$62,AI74+AH75-AQ74)))</f>
        <v>272.27884615384602</v>
      </c>
      <c r="AJ75" s="13">
        <f>AI75*VLOOKUP('Données projet'!$B$10,Paramètres!$A$1:$I$89,3,0)*VLOOKUP('Données projet'!$B$10,Paramètres!$A$1:$I$89,5,0)</f>
        <v>276.0907499999999</v>
      </c>
      <c r="AK75" s="13">
        <f t="shared" si="89"/>
        <v>66.140197174363124</v>
      </c>
      <c r="AL75" s="20">
        <f t="shared" si="58"/>
        <v>596.05223299534885</v>
      </c>
      <c r="AM75" s="59">
        <f t="shared" si="59"/>
        <v>863.38394723287001</v>
      </c>
      <c r="AN75" s="59">
        <f ca="1">AVERAGE(OFFSET($AM$3,0,0,'Données projet'!$E$10+1,1))-AVERAGE(OFFSET($H$3,0,0,'Données projet'!$E$10+1,1))</f>
        <v>596.42822894047072</v>
      </c>
      <c r="AO75" s="59">
        <f t="shared" si="90"/>
        <v>298.31525330951047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16.220823457869397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16.220823457869397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4.4000000000000004</v>
      </c>
      <c r="BD75" s="12">
        <f>IF('Données projet'!$A$88&gt;35,BD74+BC75-BL74,IF(A75&lt;'Données projet'!$A$88,$BA$205^A75,IF(A75='Données projet'!$A$88,'Données projet'!$B$88,BD74+BC75-BL74)))</f>
        <v>227.8</v>
      </c>
      <c r="BE75" s="13">
        <f>BD75*VLOOKUP('Données projet'!$B$11,Paramètres!$A$1:$I$89,3,0)*VLOOKUP('Données projet'!$B$11,Paramètres!$A$1:$I$89,5,0)</f>
        <v>238.09656000000001</v>
      </c>
      <c r="BF75" s="13">
        <f t="shared" si="91"/>
        <v>58.029806498941532</v>
      </c>
      <c r="BG75" s="20">
        <f t="shared" si="61"/>
        <v>515.75342165232314</v>
      </c>
      <c r="BH75" s="59">
        <f t="shared" si="62"/>
        <v>783.0851358898442</v>
      </c>
      <c r="BI75" s="59">
        <f ca="1">AVERAGE(OFFSET($BH$3,0,0,'Données projet'!$E$11+1,1))-AVERAGE(OFFSET($H$3,0,0,'Données projet'!$E$11+1,1))</f>
        <v>446.06835300781546</v>
      </c>
      <c r="BJ75" s="59">
        <f t="shared" si="92"/>
        <v>396.46809188573138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22.112917811479512</v>
      </c>
      <c r="BQ75" s="21">
        <f>EXP(-LN(2)/25)*BQ74+(1-EXP(-LN(2)/25))/(LN(2)/25)*Calculateur!BL75*Calculateur!BN75*VLOOKUP('Données projet'!$B$11,Paramètres!$A$1:$I$89,3,0)*0.475*44/12</f>
        <v>22.616075749613604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44.72899356109312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13.033333333333328</v>
      </c>
      <c r="BY75" s="12">
        <f>IF('Données projet'!$A$114&gt;35,BY74+BX75-CG74,IF(A75&lt;'Données projet'!$A$114,$BV$205^A75,IF(A75='Données projet'!$A$114,'Données projet'!$B$114,BY74+BX75-CG74)))</f>
        <v>391.79999999999995</v>
      </c>
      <c r="BZ75" s="13">
        <f>BY75*VLOOKUP('Données projet'!$B$12,Paramètres!$A$1:$I$89,3,0)*VLOOKUP('Données projet'!$B$12,Paramètres!$A$1:$I$89,5,0)</f>
        <v>183.36239999999998</v>
      </c>
      <c r="CA75" s="13">
        <f t="shared" si="93"/>
        <v>46.069450530321852</v>
      </c>
      <c r="CB75" s="20">
        <f t="shared" si="64"/>
        <v>399.59380634031049</v>
      </c>
      <c r="CC75" s="59">
        <f t="shared" si="65"/>
        <v>666.92552057783155</v>
      </c>
      <c r="CD75" s="59">
        <f ca="1">AVERAGE(OFFSET($CC$3,0,0,'Données projet'!$E$12+1,1))-AVERAGE(OFFSET($H$3,0,0,'Données projet'!$E$12+1,1))</f>
        <v>307.52821153421951</v>
      </c>
      <c r="CE75" s="59">
        <f t="shared" si="94"/>
        <v>221.23619018904222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46.923792775592823</v>
      </c>
      <c r="CL75" s="21">
        <f>EXP(-LN(2)/25)*CL74+(1-EXP(-LN(2)/25))/(LN(2)/25)*Calculateur!CG75*Calculateur!CI75*VLOOKUP('Données projet'!$B$12,Paramètres!$A$1:$I$89,3,0)*0.475*44/12</f>
        <v>18.895390896436883</v>
      </c>
      <c r="CM75" s="21">
        <f>EXP(-LN(2)/2)*CM74+(1-EXP(-LN(2)/2))/(LN(2)/2)*CG75*CJ75*VLOOKUP('Données projet'!$B$12,Paramètres!$A$1:$I$89,3,0)*0.475*44/12</f>
        <v>0.72931037246282238</v>
      </c>
      <c r="CN75" s="22">
        <f t="shared" si="66"/>
        <v>66.548494044492529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6.6995192307692264</v>
      </c>
      <c r="CT75" s="12">
        <f>IF('Données projet'!$A$140&gt;35,CT74+CS75-DB74,IF(A75&lt;'Données projet'!$A$140,$CQ$205^A75,IF(A75='Données projet'!$A$140,'Données projet'!$B$140,CT74+CS75-DB74)))</f>
        <v>209.11378205128219</v>
      </c>
      <c r="CU75" s="17">
        <f>CT75*VLOOKUP('Données projet'!$B$13,Paramètres!$A$1:$I$89,3,0)*VLOOKUP('Données projet'!$B$13,Paramètres!$A$1:$I$89,5,0)</f>
        <v>238.13877500000012</v>
      </c>
      <c r="CV75" s="13">
        <f t="shared" si="95"/>
        <v>58.038897590281202</v>
      </c>
      <c r="CW75" s="20">
        <f t="shared" si="67"/>
        <v>515.84277976140663</v>
      </c>
      <c r="CX75" s="59">
        <f t="shared" si="68"/>
        <v>783.1744939989278</v>
      </c>
      <c r="CY75" s="59">
        <f ca="1">AVERAGE(OFFSET($CX$3,0,0,'Données projet'!$E$13+1,1))-AVERAGE(OFFSET($H$3,0,0,'Données projet'!$E$13+1,1))</f>
        <v>598.12133208901378</v>
      </c>
      <c r="CZ75" s="59">
        <f t="shared" si="96"/>
        <v>246.23353541360947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259.79999999999984</v>
      </c>
      <c r="DP75" s="17">
        <f>DO75*VLOOKUP('Données projet'!$B$14,Paramètres!$A$1:$I$89,3,0)*VLOOKUP('Données projet'!$B$14,Paramètres!$A$1:$I$89,5,0)</f>
        <v>206.69687999999991</v>
      </c>
      <c r="DQ75" s="13">
        <f t="shared" si="97"/>
        <v>51.213106197404436</v>
      </c>
      <c r="DR75" s="20">
        <f t="shared" si="70"/>
        <v>449.1932259604792</v>
      </c>
      <c r="DS75" s="59">
        <f t="shared" si="71"/>
        <v>716.52494019800031</v>
      </c>
      <c r="DT75" s="59">
        <f ca="1">AVERAGE(OFFSET($DS$3,0,0,'Données projet'!$E$14+1,1))-AVERAGE(OFFSET($H$3,0,0,'Données projet'!$E$14+1,1))</f>
        <v>323.01113210765487</v>
      </c>
      <c r="DU75" s="59">
        <f t="shared" si="98"/>
        <v>311.68541696405975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25.900781306454743</v>
      </c>
      <c r="EB75" s="21">
        <f>EXP(-LN(2)/25)*EB74+(1-EXP(-LN(2)/25))/(LN(2)/25)*Calculateur!DW75*Calculateur!DY75*VLOOKUP('Données projet'!$B$14,Paramètres!$A$1:$I$89,3,0)*0.475*44/12</f>
        <v>9.3208879672682716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35.221669273723016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337.99164391755608</v>
      </c>
      <c r="T76" s="59">
        <f t="shared" si="88"/>
        <v>421.45428231923393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8.6875</v>
      </c>
      <c r="AI76" s="13">
        <f>IF('Données projet'!$A$62&gt;35,AI75+AH76-AQ75,IF(A76&lt;'Données projet'!$A$62,$AF$205^A76,IF(A76='Données projet'!$A$62,'Données projet'!$B$62,AI75+AH76-AQ75)))</f>
        <v>280.96634615384602</v>
      </c>
      <c r="AJ76" s="13">
        <f>AI76*VLOOKUP('Données projet'!$B$10,Paramètres!$A$1:$I$89,3,0)*VLOOKUP('Données projet'!$B$10,Paramètres!$A$1:$I$89,5,0)</f>
        <v>284.89987499999989</v>
      </c>
      <c r="AK76" s="13">
        <f t="shared" si="89"/>
        <v>68.001445514261732</v>
      </c>
      <c r="AL76" s="20">
        <f t="shared" si="58"/>
        <v>614.63646656233891</v>
      </c>
      <c r="AM76" s="59">
        <f t="shared" si="59"/>
        <v>882.41925076026064</v>
      </c>
      <c r="AN76" s="59">
        <f ca="1">AVERAGE(OFFSET($AM$3,0,0,'Données projet'!$E$10+1,1))-AVERAGE(OFFSET($H$3,0,0,'Données projet'!$E$10+1,1))</f>
        <v>596.42822894047072</v>
      </c>
      <c r="AO76" s="59">
        <f t="shared" si="90"/>
        <v>298.31525330951047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15.902743003585963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15.902743003585963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4.4000000000000004</v>
      </c>
      <c r="BD76" s="12">
        <f>IF('Données projet'!$A$88&gt;35,BD75+BC76-BL75,IF(A76&lt;'Données projet'!$A$88,$BA$205^A76,IF(A76='Données projet'!$A$88,'Données projet'!$B$88,BD75+BC76-BL75)))</f>
        <v>232.20000000000002</v>
      </c>
      <c r="BE76" s="13">
        <f>BD76*VLOOKUP('Données projet'!$B$11,Paramètres!$A$1:$I$89,3,0)*VLOOKUP('Données projet'!$B$11,Paramètres!$A$1:$I$89,5,0)</f>
        <v>242.69544000000002</v>
      </c>
      <c r="BF76" s="13">
        <f t="shared" si="91"/>
        <v>59.019090031230249</v>
      </c>
      <c r="BG76" s="20">
        <f t="shared" si="61"/>
        <v>525.48613980439268</v>
      </c>
      <c r="BH76" s="59">
        <f t="shared" si="62"/>
        <v>793.26892400231441</v>
      </c>
      <c r="BI76" s="59">
        <f ca="1">AVERAGE(OFFSET($BH$3,0,0,'Données projet'!$E$11+1,1))-AVERAGE(OFFSET($H$3,0,0,'Données projet'!$E$11+1,1))</f>
        <v>446.06835300781546</v>
      </c>
      <c r="BJ76" s="59">
        <f t="shared" si="92"/>
        <v>396.46809188573138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21.679296980744478</v>
      </c>
      <c r="BQ76" s="21">
        <f>EXP(-LN(2)/25)*BQ75+(1-EXP(-LN(2)/25))/(LN(2)/25)*Calculateur!BL76*Calculateur!BN76*VLOOKUP('Données projet'!$B$11,Paramètres!$A$1:$I$89,3,0)*0.475*44/12</f>
        <v>21.997637968912684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43.676934949657166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13.033333333333328</v>
      </c>
      <c r="BY76" s="12">
        <f>IF('Données projet'!$A$114&gt;35,BY75+BX76-CG75,IF(A76&lt;'Données projet'!$A$114,$BV$205^A76,IF(A76='Données projet'!$A$114,'Données projet'!$B$114,BY75+BX76-CG75)))</f>
        <v>404.83333333333326</v>
      </c>
      <c r="BZ76" s="13">
        <f>BY76*VLOOKUP('Données projet'!$B$12,Paramètres!$A$1:$I$89,3,0)*VLOOKUP('Données projet'!$B$12,Paramètres!$A$1:$I$89,5,0)</f>
        <v>189.46199999999999</v>
      </c>
      <c r="CA76" s="13">
        <f t="shared" si="93"/>
        <v>47.420989067433915</v>
      </c>
      <c r="CB76" s="20">
        <f t="shared" si="64"/>
        <v>412.57120595911402</v>
      </c>
      <c r="CC76" s="59">
        <f t="shared" si="65"/>
        <v>680.35399015703581</v>
      </c>
      <c r="CD76" s="59">
        <f ca="1">AVERAGE(OFFSET($CC$3,0,0,'Données projet'!$E$12+1,1))-AVERAGE(OFFSET($H$3,0,0,'Données projet'!$E$12+1,1))</f>
        <v>307.52821153421951</v>
      </c>
      <c r="CE76" s="59">
        <f t="shared" si="94"/>
        <v>221.23619018904222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46.003645819950982</v>
      </c>
      <c r="CL76" s="21">
        <f>EXP(-LN(2)/25)*CL75+(1-EXP(-LN(2)/25))/(LN(2)/25)*Calculateur!CG76*Calculateur!CI76*VLOOKUP('Données projet'!$B$12,Paramètres!$A$1:$I$89,3,0)*0.475*44/12</f>
        <v>18.378695438708395</v>
      </c>
      <c r="CM76" s="21">
        <f>EXP(-LN(2)/2)*CM75+(1-EXP(-LN(2)/2))/(LN(2)/2)*CG76*CJ76*VLOOKUP('Données projet'!$B$12,Paramètres!$A$1:$I$89,3,0)*0.475*44/12</f>
        <v>0.51570030995814842</v>
      </c>
      <c r="CN76" s="22">
        <f t="shared" si="66"/>
        <v>64.898041568617529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6.6995192307692264</v>
      </c>
      <c r="CT76" s="12">
        <f>IF('Données projet'!$A$140&gt;35,CT75+CS76-DB75,IF(A76&lt;'Données projet'!$A$140,$CQ$205^A76,IF(A76='Données projet'!$A$140,'Données projet'!$B$140,CT75+CS76-DB75)))</f>
        <v>215.81330128205141</v>
      </c>
      <c r="CU76" s="17">
        <f>CT76*VLOOKUP('Données projet'!$B$13,Paramètres!$A$1:$I$89,3,0)*VLOOKUP('Données projet'!$B$13,Paramètres!$A$1:$I$89,5,0)</f>
        <v>245.76818750000018</v>
      </c>
      <c r="CV76" s="13">
        <f t="shared" si="95"/>
        <v>59.678863485929035</v>
      </c>
      <c r="CW76" s="20">
        <f t="shared" si="67"/>
        <v>531.98694713382667</v>
      </c>
      <c r="CX76" s="59">
        <f t="shared" si="68"/>
        <v>799.76973133174852</v>
      </c>
      <c r="CY76" s="59">
        <f ca="1">AVERAGE(OFFSET($CX$3,0,0,'Données projet'!$E$13+1,1))-AVERAGE(OFFSET($H$3,0,0,'Données projet'!$E$13+1,1))</f>
        <v>598.12133208901378</v>
      </c>
      <c r="CZ76" s="59">
        <f t="shared" si="96"/>
        <v>246.23353541360947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263.19999999999982</v>
      </c>
      <c r="DP76" s="17">
        <f>DO76*VLOOKUP('Données projet'!$B$14,Paramètres!$A$1:$I$89,3,0)*VLOOKUP('Données projet'!$B$14,Paramètres!$A$1:$I$89,5,0)</f>
        <v>209.40191999999988</v>
      </c>
      <c r="DQ76" s="13">
        <f t="shared" si="97"/>
        <v>51.804868484579039</v>
      </c>
      <c r="DR76" s="20">
        <f t="shared" si="70"/>
        <v>454.93515661064157</v>
      </c>
      <c r="DS76" s="59">
        <f t="shared" si="71"/>
        <v>722.7179408085633</v>
      </c>
      <c r="DT76" s="59">
        <f ca="1">AVERAGE(OFFSET($DS$3,0,0,'Données projet'!$E$14+1,1))-AVERAGE(OFFSET($H$3,0,0,'Données projet'!$E$14+1,1))</f>
        <v>323.01113210765487</v>
      </c>
      <c r="DU76" s="59">
        <f t="shared" si="98"/>
        <v>311.68541696405975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25.392882782951848</v>
      </c>
      <c r="EB76" s="21">
        <f>EXP(-LN(2)/25)*EB75+(1-EXP(-LN(2)/25))/(LN(2)/25)*Calculateur!DW76*Calculateur!DY76*VLOOKUP('Données projet'!$B$14,Paramètres!$A$1:$I$89,3,0)*0.475*44/12</f>
        <v>9.0660077956391252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34.458890578590974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337.99164391755608</v>
      </c>
      <c r="T77" s="59">
        <f t="shared" si="88"/>
        <v>421.45428231923393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289.65384615384613</v>
      </c>
      <c r="AG77" s="12">
        <f>VLOOKUP(A77,'Données projet'!$A$61:$I$81,9,0)</f>
        <v>8.6875</v>
      </c>
      <c r="AH77" s="12">
        <f t="array" ref="AH77">INDEX(AG:AG,MIN(IF(ISNUMBER(AG77:AG273),ROW(AG77:AG273),"")))</f>
        <v>8.6875</v>
      </c>
      <c r="AI77" s="13">
        <f>IF('Données projet'!$A$62&gt;35,AI76+AH77-AQ76,IF(A77&lt;'Données projet'!$A$62,$AF$205^A77,IF(A77='Données projet'!$A$62,'Données projet'!$B$62,AI76+AH77-AQ76)))</f>
        <v>289.65384615384602</v>
      </c>
      <c r="AJ77" s="13">
        <f>AI77*VLOOKUP('Données projet'!$B$10,Paramètres!$A$1:$I$89,3,0)*VLOOKUP('Données projet'!$B$10,Paramètres!$A$1:$I$89,5,0)</f>
        <v>293.70899999999989</v>
      </c>
      <c r="AK77" s="13">
        <f t="shared" si="89"/>
        <v>69.856005956199439</v>
      </c>
      <c r="AL77" s="20">
        <f t="shared" si="58"/>
        <v>633.20905204038047</v>
      </c>
      <c r="AM77" s="59">
        <f t="shared" si="59"/>
        <v>901.43508114333133</v>
      </c>
      <c r="AN77" s="59">
        <f ca="1">AVERAGE(OFFSET($AM$3,0,0,'Données projet'!$E$10+1,1))-AVERAGE(OFFSET($H$3,0,0,'Données projet'!$E$10+1,1))</f>
        <v>596.42822894047072</v>
      </c>
      <c r="AO77" s="59">
        <f t="shared" si="90"/>
        <v>298.31525330951047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52.737179487179482</v>
      </c>
      <c r="AR77" s="16">
        <f>IF(ISNA(VLOOKUP(A77,'Données projet'!$A$61:$I$81,5,0)),0%,VLOOKUP(A77,'Données projet'!$A$61:$I$81,5,0)*VLOOKUP('Données projet'!$B$10,Paramètres!$A$1:$I$89,7,0))</f>
        <v>0.30099999999999999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33.384689878496104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33.384689878496104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4.4000000000000004</v>
      </c>
      <c r="BD77" s="12">
        <f>IF('Données projet'!$A$88&gt;35,BD76+BC77-BL76,IF(A77&lt;'Données projet'!$A$88,$BA$205^A77,IF(A77='Données projet'!$A$88,'Données projet'!$B$88,BD76+BC77-BL76)))</f>
        <v>236.60000000000002</v>
      </c>
      <c r="BE77" s="13">
        <f>BD77*VLOOKUP('Données projet'!$B$11,Paramètres!$A$1:$I$89,3,0)*VLOOKUP('Données projet'!$B$11,Paramètres!$A$1:$I$89,5,0)</f>
        <v>247.29432000000003</v>
      </c>
      <c r="BF77" s="13">
        <f t="shared" si="91"/>
        <v>60.006193782698659</v>
      </c>
      <c r="BG77" s="20">
        <f t="shared" si="61"/>
        <v>535.21506150486687</v>
      </c>
      <c r="BH77" s="59">
        <f t="shared" si="62"/>
        <v>803.44109060781773</v>
      </c>
      <c r="BI77" s="59">
        <f ca="1">AVERAGE(OFFSET($BH$3,0,0,'Données projet'!$E$11+1,1))-AVERAGE(OFFSET($H$3,0,0,'Données projet'!$E$11+1,1))</f>
        <v>446.06835300781546</v>
      </c>
      <c r="BJ77" s="59">
        <f t="shared" si="92"/>
        <v>396.46809188573138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21.254179190017567</v>
      </c>
      <c r="BQ77" s="21">
        <f>EXP(-LN(2)/25)*BQ76+(1-EXP(-LN(2)/25))/(LN(2)/25)*Calculateur!BL77*Calculateur!BN77*VLOOKUP('Données projet'!$B$11,Paramètres!$A$1:$I$89,3,0)*0.475*44/12</f>
        <v>21.396111401847264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42.650290591864831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13.033333333333328</v>
      </c>
      <c r="BY77" s="12">
        <f>IF('Données projet'!$A$114&gt;35,BY76+BX77-CG76,IF(A77&lt;'Données projet'!$A$114,$BV$205^A77,IF(A77='Données projet'!$A$114,'Données projet'!$B$114,BY76+BX77-CG76)))</f>
        <v>417.86666666666656</v>
      </c>
      <c r="BZ77" s="13">
        <f>BY77*VLOOKUP('Données projet'!$B$12,Paramètres!$A$1:$I$89,3,0)*VLOOKUP('Données projet'!$B$12,Paramètres!$A$1:$I$89,5,0)</f>
        <v>195.56159999999994</v>
      </c>
      <c r="CA77" s="13">
        <f t="shared" si="93"/>
        <v>48.767471379077946</v>
      </c>
      <c r="CB77" s="20">
        <f t="shared" si="64"/>
        <v>425.53979931856065</v>
      </c>
      <c r="CC77" s="59">
        <f t="shared" si="65"/>
        <v>693.76582842151151</v>
      </c>
      <c r="CD77" s="59">
        <f ca="1">AVERAGE(OFFSET($CC$3,0,0,'Données projet'!$E$12+1,1))-AVERAGE(OFFSET($H$3,0,0,'Données projet'!$E$12+1,1))</f>
        <v>307.52821153421951</v>
      </c>
      <c r="CE77" s="59">
        <f t="shared" si="94"/>
        <v>221.23619018904222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45.101542384875053</v>
      </c>
      <c r="CL77" s="21">
        <f>EXP(-LN(2)/25)*CL76+(1-EXP(-LN(2)/25))/(LN(2)/25)*Calculateur!CG77*Calculateur!CI77*VLOOKUP('Données projet'!$B$12,Paramètres!$A$1:$I$89,3,0)*0.475*44/12</f>
        <v>17.876129045443324</v>
      </c>
      <c r="CM77" s="21">
        <f>EXP(-LN(2)/2)*CM76+(1-EXP(-LN(2)/2))/(LN(2)/2)*CG77*CJ77*VLOOKUP('Données projet'!$B$12,Paramètres!$A$1:$I$89,3,0)*0.475*44/12</f>
        <v>0.36465518623141119</v>
      </c>
      <c r="CN77" s="22">
        <f t="shared" si="66"/>
        <v>63.342326616549791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222.5128205128205</v>
      </c>
      <c r="CR77" s="12">
        <f>VLOOKUP(A77,'Données projet'!$A$139:$I$159,9,0)</f>
        <v>6.6995192307692264</v>
      </c>
      <c r="CS77" s="12">
        <f t="array" ref="CS77">INDEX(CR:CR,MIN(IF(ISNUMBER(CR77:CR273),ROW(CR77:CR273),"")))</f>
        <v>6.6995192307692264</v>
      </c>
      <c r="CT77" s="12">
        <f>IF('Données projet'!$A$140&gt;35,CT76+CS77-DB76,IF(A77&lt;'Données projet'!$A$140,$CQ$205^A77,IF(A77='Données projet'!$A$140,'Données projet'!$B$140,CT76+CS77-DB76)))</f>
        <v>222.51282051282064</v>
      </c>
      <c r="CU77" s="17">
        <f>CT77*VLOOKUP('Données projet'!$B$13,Paramètres!$A$1:$I$89,3,0)*VLOOKUP('Données projet'!$B$13,Paramètres!$A$1:$I$89,5,0)</f>
        <v>253.39760000000015</v>
      </c>
      <c r="CV77" s="13">
        <f t="shared" si="95"/>
        <v>61.312913186005268</v>
      </c>
      <c r="CW77" s="20">
        <f t="shared" si="67"/>
        <v>548.12081046562605</v>
      </c>
      <c r="CX77" s="59">
        <f t="shared" si="68"/>
        <v>816.34683956857691</v>
      </c>
      <c r="CY77" s="59">
        <f ca="1">AVERAGE(OFFSET($CX$3,0,0,'Données projet'!$E$13+1,1))-AVERAGE(OFFSET($H$3,0,0,'Données projet'!$E$13+1,1))</f>
        <v>598.12133208901378</v>
      </c>
      <c r="CZ77" s="59">
        <f t="shared" si="96"/>
        <v>246.23353541360947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36.865384615384613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266.5999999999998</v>
      </c>
      <c r="DP77" s="17">
        <f>DO77*VLOOKUP('Données projet'!$B$14,Paramètres!$A$1:$I$89,3,0)*VLOOKUP('Données projet'!$B$14,Paramètres!$A$1:$I$89,5,0)</f>
        <v>212.10695999999984</v>
      </c>
      <c r="DQ77" s="13">
        <f t="shared" si="97"/>
        <v>52.395741612408194</v>
      </c>
      <c r="DR77" s="20">
        <f t="shared" si="70"/>
        <v>460.67553864161067</v>
      </c>
      <c r="DS77" s="59">
        <f t="shared" si="71"/>
        <v>728.90156774456159</v>
      </c>
      <c r="DT77" s="59">
        <f ca="1">AVERAGE(OFFSET($DS$3,0,0,'Données projet'!$E$14+1,1))-AVERAGE(OFFSET($H$3,0,0,'Données projet'!$E$14+1,1))</f>
        <v>323.01113210765487</v>
      </c>
      <c r="DU77" s="59">
        <f t="shared" si="98"/>
        <v>311.68541696405975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24.894943839707334</v>
      </c>
      <c r="EB77" s="21">
        <f>EXP(-LN(2)/25)*EB76+(1-EXP(-LN(2)/25))/(LN(2)/25)*Calculateur!DW77*Calculateur!DY77*VLOOKUP('Données projet'!$B$14,Paramètres!$A$1:$I$89,3,0)*0.475*44/12</f>
        <v>8.818097335706744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33.713041175414077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337.99164391755608</v>
      </c>
      <c r="T78" s="59">
        <f t="shared" si="88"/>
        <v>421.45428231923393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8.1746794871794854</v>
      </c>
      <c r="AI78" s="13">
        <f>IF('Données projet'!$A$62&gt;35,AI77+AH78-AQ77,IF(A78&lt;'Données projet'!$A$62,$AF$205^A78,IF(A78='Données projet'!$A$62,'Données projet'!$B$62,AI77+AH78-AQ77)))</f>
        <v>245.09134615384605</v>
      </c>
      <c r="AJ78" s="13">
        <f>AI78*VLOOKUP('Données projet'!$B$10,Paramètres!$A$1:$I$89,3,0)*VLOOKUP('Données projet'!$B$10,Paramètres!$A$1:$I$89,5,0)</f>
        <v>248.52262499999989</v>
      </c>
      <c r="AK78" s="13">
        <f t="shared" si="89"/>
        <v>60.269474185728868</v>
      </c>
      <c r="AL78" s="20">
        <f t="shared" si="58"/>
        <v>537.81290608181098</v>
      </c>
      <c r="AM78" s="59">
        <f t="shared" si="59"/>
        <v>806.47449078163572</v>
      </c>
      <c r="AN78" s="59">
        <f ca="1">AVERAGE(OFFSET($AM$3,0,0,'Données projet'!$E$10+1,1))-AVERAGE(OFFSET($H$3,0,0,'Données projet'!$E$10+1,1))</f>
        <v>596.42822894047072</v>
      </c>
      <c r="AO78" s="59">
        <f t="shared" si="90"/>
        <v>298.31525330951047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32.730036472628974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32.730036472628974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241</v>
      </c>
      <c r="BB78" s="12">
        <f>VLOOKUP(A78,'Données projet'!$A$87:$I$107,9,0)</f>
        <v>4.4000000000000004</v>
      </c>
      <c r="BC78" s="12">
        <f t="array" ref="BC78">INDEX(BB:BB,MIN(IF(ISNUMBER(BB78:BB274),ROW(BB78:BB274),"")))</f>
        <v>4.4000000000000004</v>
      </c>
      <c r="BD78" s="12">
        <f>IF('Données projet'!$A$88&gt;35,BD77+BC78-BL77,IF(A78&lt;'Données projet'!$A$88,$BA$205^A78,IF(A78='Données projet'!$A$88,'Données projet'!$B$88,BD77+BC78-BL77)))</f>
        <v>241.00000000000003</v>
      </c>
      <c r="BE78" s="13">
        <f>BD78*VLOOKUP('Données projet'!$B$11,Paramètres!$A$1:$I$89,3,0)*VLOOKUP('Données projet'!$B$11,Paramètres!$A$1:$I$89,5,0)</f>
        <v>251.89320000000006</v>
      </c>
      <c r="BF78" s="13">
        <f t="shared" si="91"/>
        <v>60.991162965075887</v>
      </c>
      <c r="BG78" s="20">
        <f t="shared" si="61"/>
        <v>544.94026549750731</v>
      </c>
      <c r="BH78" s="59">
        <f t="shared" si="62"/>
        <v>813.60185019733217</v>
      </c>
      <c r="BI78" s="59">
        <f ca="1">AVERAGE(OFFSET($BH$3,0,0,'Données projet'!$E$11+1,1))-AVERAGE(OFFSET($H$3,0,0,'Données projet'!$E$11+1,1))</f>
        <v>446.06835300781546</v>
      </c>
      <c r="BJ78" s="59">
        <f t="shared" si="92"/>
        <v>396.46809188573138</v>
      </c>
      <c r="BK78" s="15">
        <f>IF(ISNA(VLOOKUP(A78,'Données projet'!$A$87:$I$107,3,0)),0,VLOOKUP(A78,'Données projet'!$A$87:$I$107,3,0))</f>
        <v>12</v>
      </c>
      <c r="BL78" s="15" t="str">
        <f>IF(ISNA(VLOOKUP(A78,'Données projet'!$A$87:$I$107,4,0)),0,VLOOKUP(A78,'Données projet'!$A$87:$I$107,4,0))</f>
        <v>16</v>
      </c>
      <c r="BM78" s="16">
        <f>IF(ISNA(VLOOKUP(A78,'Données projet'!$A$87:$I$107,5,0)),0%,VLOOKUP(A78,'Données projet'!$A$87:$I$107,5,0)*VLOOKUP('Données projet'!$B$11,Paramètres!$A$1:$I$89,7,0))</f>
        <v>0.25800000000000001</v>
      </c>
      <c r="BN78" s="16">
        <f>IF(ISNA(VLOOKUP(A78,'Données projet'!$A$87:$I$107,6,0)),0%,VLOOKUP(A78,'Données projet'!$A$87:$I$107,6,0)*VLOOKUP('Données projet'!$B$11,Paramètres!$A$1:$I$89,7,0))</f>
        <v>0.129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25.607044280629964</v>
      </c>
      <c r="BQ78" s="21">
        <f>EXP(-LN(2)/25)*BQ77+(1-EXP(-LN(2)/25))/(LN(2)/25)*Calculateur!BL78*Calculateur!BN78*VLOOKUP('Données projet'!$B$11,Paramètres!$A$1:$I$89,3,0)*0.475*44/12</f>
        <v>23.186466942787717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48.793511223417681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430.9</v>
      </c>
      <c r="BW78" s="12">
        <f>VLOOKUP(A78,'Données projet'!$A$113:$I$133,9,0)</f>
        <v>13.033333333333328</v>
      </c>
      <c r="BX78" s="12">
        <f t="array" ref="BX78">INDEX(BW:BW,MIN(IF(ISNUMBER(BW78:BW274),ROW(BW78:BW274),"")))</f>
        <v>13.033333333333328</v>
      </c>
      <c r="BY78" s="12">
        <f>IF('Données projet'!$A$114&gt;35,BY77+BX78-CG77,IF(A78&lt;'Données projet'!$A$114,$BV$205^A78,IF(A78='Données projet'!$A$114,'Données projet'!$B$114,BY77+BX78-CG77)))</f>
        <v>430.89999999999986</v>
      </c>
      <c r="BZ78" s="13">
        <f>BY78*VLOOKUP('Données projet'!$B$12,Paramètres!$A$1:$I$89,3,0)*VLOOKUP('Données projet'!$B$12,Paramètres!$A$1:$I$89,5,0)</f>
        <v>201.66119999999992</v>
      </c>
      <c r="CA78" s="13">
        <f t="shared" si="93"/>
        <v>50.109073265229782</v>
      </c>
      <c r="CB78" s="20">
        <f t="shared" si="64"/>
        <v>438.49989260360843</v>
      </c>
      <c r="CC78" s="59">
        <f t="shared" si="65"/>
        <v>707.16147730343323</v>
      </c>
      <c r="CD78" s="59">
        <f ca="1">AVERAGE(OFFSET($CC$3,0,0,'Données projet'!$E$12+1,1))-AVERAGE(OFFSET($H$3,0,0,'Données projet'!$E$12+1,1))</f>
        <v>307.52821153421951</v>
      </c>
      <c r="CE78" s="59">
        <f t="shared" si="94"/>
        <v>221.23619018904222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78.3</v>
      </c>
      <c r="CH78" s="16">
        <f>IF(ISNA(VLOOKUP(A78,'Données projet'!$A$113:$I$133,5,0)),0%,VLOOKUP(A78,'Données projet'!$A$113:$I$133,5,0)*VLOOKUP('Données projet'!$B$12,Paramètres!$A$1:$I$89,7,0))</f>
        <v>0.38500000000000001</v>
      </c>
      <c r="CI78" s="16">
        <f>IF(ISNA(VLOOKUP(A78,'Données projet'!$A$113:$I$133,6,0)),0%,VLOOKUP(A78,'Données projet'!$A$113:$I$133,6,0)*VLOOKUP('Données projet'!$B$12,Paramètres!$A$1:$I$89,7,0))</f>
        <v>9.3500000000000014E-2</v>
      </c>
      <c r="CJ78" s="16">
        <f>IF(ISNA(VLOOKUP(A78,'Données projet'!$A$113:$I$133,7,0)),0%,VLOOKUP(A78,'Données projet'!$A$113:$I$133,7,0))</f>
        <v>0.13</v>
      </c>
      <c r="CK78" s="21">
        <f>EXP(-LN(2)/35)*CK77+(1-EXP(-LN(2)/35))/(LN(2)/35)*CG78*CH78*VLOOKUP('Données projet'!$B$12,Paramètres!$A$1:$I$89,3,0)*0.475*44/12</f>
        <v>62.932424682332041</v>
      </c>
      <c r="CL78" s="21">
        <f>EXP(-LN(2)/25)*CL77+(1-EXP(-LN(2)/25))/(LN(2)/25)*Calculateur!CG78*Calculateur!CI78*VLOOKUP('Données projet'!$B$12,Paramètres!$A$1:$I$89,3,0)*0.475*44/12</f>
        <v>21.914552718174257</v>
      </c>
      <c r="CM78" s="21">
        <f>EXP(-LN(2)/2)*CM77+(1-EXP(-LN(2)/2))/(LN(2)/2)*CG78*CJ78*VLOOKUP('Données projet'!$B$12,Paramètres!$A$1:$I$89,3,0)*0.475*44/12</f>
        <v>5.6515466714313227</v>
      </c>
      <c r="CN78" s="22">
        <f t="shared" si="66"/>
        <v>90.498524071937609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6.5339743589743566</v>
      </c>
      <c r="CT78" s="12">
        <f>IF('Données projet'!$A$140&gt;35,CT77+CS78-DB77,IF(A78&lt;'Données projet'!$A$140,$CQ$205^A78,IF(A78='Données projet'!$A$140,'Données projet'!$B$140,CT77+CS78-DB77)))</f>
        <v>192.18141025641037</v>
      </c>
      <c r="CU78" s="17">
        <f>CT78*VLOOKUP('Données projet'!$B$13,Paramètres!$A$1:$I$89,3,0)*VLOOKUP('Données projet'!$B$13,Paramètres!$A$1:$I$89,5,0)</f>
        <v>218.85619000000011</v>
      </c>
      <c r="CV78" s="13">
        <f t="shared" si="95"/>
        <v>53.866208898247855</v>
      </c>
      <c r="CW78" s="20">
        <f t="shared" si="67"/>
        <v>474.99151141444844</v>
      </c>
      <c r="CX78" s="59">
        <f t="shared" si="68"/>
        <v>743.65309611427324</v>
      </c>
      <c r="CY78" s="59">
        <f ca="1">AVERAGE(OFFSET($CX$3,0,0,'Données projet'!$E$13+1,1))-AVERAGE(OFFSET($H$3,0,0,'Données projet'!$E$13+1,1))</f>
        <v>598.12133208901378</v>
      </c>
      <c r="CZ78" s="59">
        <f t="shared" si="96"/>
        <v>246.23353541360947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270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269.99999999999977</v>
      </c>
      <c r="DP78" s="17">
        <f>DO78*VLOOKUP('Données projet'!$B$14,Paramètres!$A$1:$I$89,3,0)*VLOOKUP('Données projet'!$B$14,Paramètres!$A$1:$I$89,5,0)</f>
        <v>214.81199999999981</v>
      </c>
      <c r="DQ78" s="13">
        <f t="shared" si="97"/>
        <v>52.985738231738011</v>
      </c>
      <c r="DR78" s="20">
        <f t="shared" si="70"/>
        <v>466.41439408694333</v>
      </c>
      <c r="DS78" s="59">
        <f t="shared" si="71"/>
        <v>735.07597878676813</v>
      </c>
      <c r="DT78" s="59">
        <f ca="1">AVERAGE(OFFSET($DS$3,0,0,'Données projet'!$E$14+1,1))-AVERAGE(OFFSET($H$3,0,0,'Données projet'!$E$14+1,1))</f>
        <v>323.01113210765487</v>
      </c>
      <c r="DU78" s="59">
        <f t="shared" si="98"/>
        <v>311.68541696405975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0.47111111111111109</v>
      </c>
      <c r="DY78" s="16">
        <f>IF(ISNA(VLOOKUP(A78,'Données projet'!$A$165:$I$185,6,0)),0%,VLOOKUP(A78,'Données projet'!$A$165:$I$185,6,0)*VLOOKUP('Données projet'!$B$14,Paramètres!$A$1:$I$89,7,0))</f>
        <v>5.8888888888888886E-2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28.135901047402278</v>
      </c>
      <c r="EB78" s="21">
        <f>EXP(-LN(2)/25)*EB77+(1-EXP(-LN(2)/25))/(LN(2)/25)*Calculateur!DW78*Calculateur!DY78*VLOOKUP('Données projet'!$B$14,Paramètres!$A$1:$I$89,3,0)*0.475*44/12</f>
        <v>9.0412721076988323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37.177173155101109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337.99164391755608</v>
      </c>
      <c r="T79" s="59">
        <f t="shared" si="88"/>
        <v>421.45428231923393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8.1746794871794854</v>
      </c>
      <c r="AI79" s="13">
        <f>IF('Données projet'!$A$62&gt;35,AI78+AH79-AQ78,IF(A79&lt;'Données projet'!$A$62,$AF$205^A79,IF(A79='Données projet'!$A$62,'Données projet'!$B$62,AI78+AH79-AQ78)))</f>
        <v>253.26602564102552</v>
      </c>
      <c r="AJ79" s="13">
        <f>AI79*VLOOKUP('Données projet'!$B$10,Paramètres!$A$1:$I$89,3,0)*VLOOKUP('Données projet'!$B$10,Paramètres!$A$1:$I$89,5,0)</f>
        <v>256.8117499999999</v>
      </c>
      <c r="AK79" s="13">
        <f t="shared" si="89"/>
        <v>62.042284648955892</v>
      </c>
      <c r="AL79" s="20">
        <f t="shared" si="58"/>
        <v>555.33744368026464</v>
      </c>
      <c r="AM79" s="59">
        <f t="shared" si="59"/>
        <v>824.42702806111402</v>
      </c>
      <c r="AN79" s="59">
        <f ca="1">AVERAGE(OFFSET($AM$3,0,0,'Données projet'!$E$10+1,1))-AVERAGE(OFFSET($H$3,0,0,'Données projet'!$E$10+1,1))</f>
        <v>596.42822894047072</v>
      </c>
      <c r="AO79" s="59">
        <f t="shared" si="90"/>
        <v>298.31525330951047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32.088220420751753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32.088220420751753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</v>
      </c>
      <c r="BD79" s="12">
        <f>IF('Données projet'!$A$88&gt;35,BD78+BC79-BL78,IF(A79&lt;'Données projet'!$A$88,$BA$205^A79,IF(A79='Données projet'!$A$88,'Données projet'!$B$88,BD78+BC79-BL78)))</f>
        <v>229.00000000000003</v>
      </c>
      <c r="BE79" s="13">
        <f>BD79*VLOOKUP('Données projet'!$B$11,Paramètres!$A$1:$I$89,3,0)*VLOOKUP('Données projet'!$B$11,Paramètres!$A$1:$I$89,5,0)</f>
        <v>239.35080000000005</v>
      </c>
      <c r="BF79" s="13">
        <f t="shared" si="91"/>
        <v>58.299829927807131</v>
      </c>
      <c r="BG79" s="20">
        <f t="shared" si="61"/>
        <v>518.4081804575975</v>
      </c>
      <c r="BH79" s="59">
        <f t="shared" si="62"/>
        <v>787.49776483844698</v>
      </c>
      <c r="BI79" s="59">
        <f ca="1">AVERAGE(OFFSET($BH$3,0,0,'Données projet'!$E$11+1,1))-AVERAGE(OFFSET($H$3,0,0,'Données projet'!$E$11+1,1))</f>
        <v>446.06835300781546</v>
      </c>
      <c r="BJ79" s="59">
        <f t="shared" si="92"/>
        <v>396.46809188573138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25.104905761041596</v>
      </c>
      <c r="BQ79" s="21">
        <f>EXP(-LN(2)/25)*BQ78+(1-EXP(-LN(2)/25))/(LN(2)/25)*Calculateur!BL79*Calculateur!BN79*VLOOKUP('Données projet'!$B$11,Paramètres!$A$1:$I$89,3,0)*0.475*44/12</f>
        <v>22.552431784913885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47.657337545955485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12.250000000000007</v>
      </c>
      <c r="BY79" s="12">
        <f>IF('Données projet'!$A$114&gt;35,BY78+BX79-CG78,IF(A79&lt;'Données projet'!$A$114,$BV$205^A79,IF(A79='Données projet'!$A$114,'Données projet'!$B$114,BY78+BX79-CG78)))</f>
        <v>364.84999999999985</v>
      </c>
      <c r="BZ79" s="13">
        <f>BY79*VLOOKUP('Données projet'!$B$12,Paramètres!$A$1:$I$89,3,0)*VLOOKUP('Données projet'!$B$12,Paramètres!$A$1:$I$89,5,0)</f>
        <v>170.74979999999994</v>
      </c>
      <c r="CA79" s="13">
        <f t="shared" si="93"/>
        <v>43.257910806253115</v>
      </c>
      <c r="CB79" s="20">
        <f t="shared" si="64"/>
        <v>372.73009632089071</v>
      </c>
      <c r="CC79" s="59">
        <f t="shared" si="65"/>
        <v>641.81968070174014</v>
      </c>
      <c r="CD79" s="59">
        <f ca="1">AVERAGE(OFFSET($CC$3,0,0,'Données projet'!$E$12+1,1))-AVERAGE(OFFSET($H$3,0,0,'Données projet'!$E$12+1,1))</f>
        <v>307.52821153421951</v>
      </c>
      <c r="CE79" s="59">
        <f t="shared" si="94"/>
        <v>221.23619018904222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61.69835821930036</v>
      </c>
      <c r="CL79" s="21">
        <f>EXP(-LN(2)/25)*CL78+(1-EXP(-LN(2)/25))/(LN(2)/25)*Calculateur!CG79*Calculateur!CI79*VLOOKUP('Données projet'!$B$12,Paramètres!$A$1:$I$89,3,0)*0.475*44/12</f>
        <v>21.315298121659541</v>
      </c>
      <c r="CM79" s="21">
        <f>EXP(-LN(2)/2)*CM78+(1-EXP(-LN(2)/2))/(LN(2)/2)*CG79*CJ79*VLOOKUP('Données projet'!$B$12,Paramètres!$A$1:$I$89,3,0)*0.475*44/12</f>
        <v>3.9962469755613497</v>
      </c>
      <c r="CN79" s="22">
        <f t="shared" si="66"/>
        <v>87.009903316521246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6.5339743589743566</v>
      </c>
      <c r="CT79" s="12">
        <f>IF('Données projet'!$A$140&gt;35,CT78+CS79-DB78,IF(A79&lt;'Données projet'!$A$140,$CQ$205^A79,IF(A79='Données projet'!$A$140,'Données projet'!$B$140,CT78+CS79-DB78)))</f>
        <v>198.71538461538472</v>
      </c>
      <c r="CU79" s="17">
        <f>CT79*VLOOKUP('Données projet'!$B$13,Paramètres!$A$1:$I$89,3,0)*VLOOKUP('Données projet'!$B$13,Paramètres!$A$1:$I$89,5,0)</f>
        <v>226.29708000000011</v>
      </c>
      <c r="CV79" s="13">
        <f t="shared" si="95"/>
        <v>55.481268903235325</v>
      </c>
      <c r="CW79" s="20">
        <f t="shared" si="67"/>
        <v>490.76395767313505</v>
      </c>
      <c r="CX79" s="59">
        <f t="shared" si="68"/>
        <v>759.85354205398448</v>
      </c>
      <c r="CY79" s="59">
        <f ca="1">AVERAGE(OFFSET($CX$3,0,0,'Données projet'!$E$13+1,1))-AVERAGE(OFFSET($H$3,0,0,'Données projet'!$E$13+1,1))</f>
        <v>598.12133208901378</v>
      </c>
      <c r="CZ79" s="59">
        <f t="shared" si="96"/>
        <v>246.23353541360947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263.79999999999978</v>
      </c>
      <c r="DP79" s="17">
        <f>DO79*VLOOKUP('Données projet'!$B$14,Paramètres!$A$1:$I$89,3,0)*VLOOKUP('Données projet'!$B$14,Paramètres!$A$1:$I$89,5,0)</f>
        <v>209.87927999999985</v>
      </c>
      <c r="DQ79" s="13">
        <f t="shared" si="97"/>
        <v>51.909204458241767</v>
      </c>
      <c r="DR79" s="20">
        <f t="shared" si="70"/>
        <v>455.94827709810414</v>
      </c>
      <c r="DS79" s="59">
        <f t="shared" si="71"/>
        <v>725.03786147895357</v>
      </c>
      <c r="DT79" s="59">
        <f ca="1">AVERAGE(OFFSET($DS$3,0,0,'Données projet'!$E$14+1,1))-AVERAGE(OFFSET($H$3,0,0,'Données projet'!$E$14+1,1))</f>
        <v>323.01113210765487</v>
      </c>
      <c r="DU79" s="59">
        <f t="shared" si="98"/>
        <v>311.68541696405975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27.58417318906783</v>
      </c>
      <c r="EB79" s="21">
        <f>EXP(-LN(2)/25)*EB78+(1-EXP(-LN(2)/25))/(LN(2)/25)*Calculateur!DW79*Calculateur!DY79*VLOOKUP('Données projet'!$B$14,Paramètres!$A$1:$I$89,3,0)*0.475*44/12</f>
        <v>8.7940380464539718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36.378211235521803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337.99164391755608</v>
      </c>
      <c r="T80" s="59">
        <f t="shared" si="88"/>
        <v>421.45428231923393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8.1746794871794854</v>
      </c>
      <c r="AI80" s="13">
        <f>IF('Données projet'!$A$62&gt;35,AI79+AH80-AQ79,IF(A80&lt;'Données projet'!$A$62,$AF$205^A80,IF(A80='Données projet'!$A$62,'Données projet'!$B$62,AI79+AH80-AQ79)))</f>
        <v>261.44070512820502</v>
      </c>
      <c r="AJ80" s="13">
        <f>AI80*VLOOKUP('Données projet'!$B$10,Paramètres!$A$1:$I$89,3,0)*VLOOKUP('Données projet'!$B$10,Paramètres!$A$1:$I$89,5,0)</f>
        <v>265.10087499999992</v>
      </c>
      <c r="AK80" s="13">
        <f t="shared" si="89"/>
        <v>63.808445854207463</v>
      </c>
      <c r="AL80" s="20">
        <f t="shared" si="58"/>
        <v>572.85040048774454</v>
      </c>
      <c r="AM80" s="59">
        <f t="shared" si="59"/>
        <v>842.36055971201677</v>
      </c>
      <c r="AN80" s="59">
        <f ca="1">AVERAGE(OFFSET($AM$3,0,0,'Données projet'!$E$10+1,1))-AVERAGE(OFFSET($H$3,0,0,'Données projet'!$E$10+1,1))</f>
        <v>596.42822894047072</v>
      </c>
      <c r="AO80" s="59">
        <f t="shared" si="90"/>
        <v>298.31525330951047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31.458989990182705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31.458989990182705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</v>
      </c>
      <c r="BD80" s="12">
        <f>IF('Données projet'!$A$88&gt;35,BD79+BC80-BL79,IF(A80&lt;'Données projet'!$A$88,$BA$205^A80,IF(A80='Données projet'!$A$88,'Données projet'!$B$88,BD79+BC80-BL79)))</f>
        <v>233.00000000000003</v>
      </c>
      <c r="BE80" s="13">
        <f>BD80*VLOOKUP('Données projet'!$B$11,Paramètres!$A$1:$I$89,3,0)*VLOOKUP('Données projet'!$B$11,Paramètres!$A$1:$I$89,5,0)</f>
        <v>243.53160000000008</v>
      </c>
      <c r="BF80" s="13">
        <f t="shared" si="91"/>
        <v>59.198724224270414</v>
      </c>
      <c r="BG80" s="20">
        <f t="shared" si="61"/>
        <v>527.25531469060445</v>
      </c>
      <c r="BH80" s="59">
        <f t="shared" si="62"/>
        <v>796.76547391487679</v>
      </c>
      <c r="BI80" s="59">
        <f ca="1">AVERAGE(OFFSET($BH$3,0,0,'Données projet'!$E$11+1,1))-AVERAGE(OFFSET($H$3,0,0,'Données projet'!$E$11+1,1))</f>
        <v>446.06835300781546</v>
      </c>
      <c r="BJ80" s="59">
        <f t="shared" si="92"/>
        <v>396.46809188573138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24.612613871548103</v>
      </c>
      <c r="BQ80" s="21">
        <f>EXP(-LN(2)/25)*BQ79+(1-EXP(-LN(2)/25))/(LN(2)/25)*Calculateur!BL80*Calculateur!BN80*VLOOKUP('Données projet'!$B$11,Paramètres!$A$1:$I$89,3,0)*0.475*44/12</f>
        <v>21.93573435177457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46.548348223322677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12.250000000000007</v>
      </c>
      <c r="BY80" s="12">
        <f>IF('Données projet'!$A$114&gt;35,BY79+BX80-CG79,IF(A80&lt;'Données projet'!$A$114,$BV$205^A80,IF(A80='Données projet'!$A$114,'Données projet'!$B$114,BY79+BX80-CG79)))</f>
        <v>377.09999999999985</v>
      </c>
      <c r="BZ80" s="13">
        <f>BY80*VLOOKUP('Données projet'!$B$12,Paramètres!$A$1:$I$89,3,0)*VLOOKUP('Données projet'!$B$12,Paramètres!$A$1:$I$89,5,0)</f>
        <v>176.48279999999994</v>
      </c>
      <c r="CA80" s="13">
        <f t="shared" si="93"/>
        <v>44.53877753376306</v>
      </c>
      <c r="CB80" s="20">
        <f t="shared" si="64"/>
        <v>384.94591420463718</v>
      </c>
      <c r="CC80" s="59">
        <f t="shared" si="65"/>
        <v>654.45607342890946</v>
      </c>
      <c r="CD80" s="59">
        <f ca="1">AVERAGE(OFFSET($CC$3,0,0,'Données projet'!$E$12+1,1))-AVERAGE(OFFSET($H$3,0,0,'Données projet'!$E$12+1,1))</f>
        <v>307.52821153421951</v>
      </c>
      <c r="CE80" s="59">
        <f t="shared" si="94"/>
        <v>221.23619018904222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60.488491046902517</v>
      </c>
      <c r="CL80" s="21">
        <f>EXP(-LN(2)/25)*CL79+(1-EXP(-LN(2)/25))/(LN(2)/25)*Calculateur!CG80*Calculateur!CI80*VLOOKUP('Données projet'!$B$12,Paramètres!$A$1:$I$89,3,0)*0.475*44/12</f>
        <v>20.732430173599951</v>
      </c>
      <c r="CM80" s="21">
        <f>EXP(-LN(2)/2)*CM79+(1-EXP(-LN(2)/2))/(LN(2)/2)*CG80*CJ80*VLOOKUP('Données projet'!$B$12,Paramètres!$A$1:$I$89,3,0)*0.475*44/12</f>
        <v>2.8257733357156618</v>
      </c>
      <c r="CN80" s="22">
        <f t="shared" si="66"/>
        <v>84.046694556218142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6.5339743589743566</v>
      </c>
      <c r="CT80" s="12">
        <f>IF('Données projet'!$A$140&gt;35,CT79+CS80-DB79,IF(A80&lt;'Données projet'!$A$140,$CQ$205^A80,IF(A80='Données projet'!$A$140,'Données projet'!$B$140,CT79+CS80-DB79)))</f>
        <v>205.24935897435907</v>
      </c>
      <c r="CU80" s="17">
        <f>CT80*VLOOKUP('Données projet'!$B$13,Paramètres!$A$1:$I$89,3,0)*VLOOKUP('Données projet'!$B$13,Paramètres!$A$1:$I$89,5,0)</f>
        <v>233.7379700000001</v>
      </c>
      <c r="CV80" s="13">
        <f t="shared" si="95"/>
        <v>57.090158137288377</v>
      </c>
      <c r="CW80" s="20">
        <f t="shared" si="67"/>
        <v>506.52565650577748</v>
      </c>
      <c r="CX80" s="59">
        <f t="shared" si="68"/>
        <v>776.03581573004976</v>
      </c>
      <c r="CY80" s="59">
        <f ca="1">AVERAGE(OFFSET($CX$3,0,0,'Données projet'!$E$13+1,1))-AVERAGE(OFFSET($H$3,0,0,'Données projet'!$E$13+1,1))</f>
        <v>598.12133208901378</v>
      </c>
      <c r="CZ80" s="59">
        <f t="shared" si="96"/>
        <v>246.23353541360947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266.5999999999998</v>
      </c>
      <c r="DP80" s="17">
        <f>DO80*VLOOKUP('Données projet'!$B$14,Paramètres!$A$1:$I$89,3,0)*VLOOKUP('Données projet'!$B$14,Paramètres!$A$1:$I$89,5,0)</f>
        <v>212.10695999999984</v>
      </c>
      <c r="DQ80" s="13">
        <f t="shared" si="97"/>
        <v>52.395741612408194</v>
      </c>
      <c r="DR80" s="20">
        <f t="shared" si="70"/>
        <v>460.67553864161067</v>
      </c>
      <c r="DS80" s="59">
        <f t="shared" si="71"/>
        <v>730.18569786588296</v>
      </c>
      <c r="DT80" s="59">
        <f ca="1">AVERAGE(OFFSET($DS$3,0,0,'Données projet'!$E$14+1,1))-AVERAGE(OFFSET($H$3,0,0,'Données projet'!$E$14+1,1))</f>
        <v>323.01113210765487</v>
      </c>
      <c r="DU80" s="59">
        <f t="shared" si="98"/>
        <v>311.68541696405975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27.043264377514554</v>
      </c>
      <c r="EB80" s="21">
        <f>EXP(-LN(2)/25)*EB79+(1-EXP(-LN(2)/25))/(LN(2)/25)*Calculateur!DW80*Calculateur!DY80*VLOOKUP('Données projet'!$B$14,Paramètres!$A$1:$I$89,3,0)*0.475*44/12</f>
        <v>8.5535646136153254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35.596828991129883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337.99164391755608</v>
      </c>
      <c r="T81" s="59">
        <f t="shared" si="88"/>
        <v>421.45428231923393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8.1746794871794854</v>
      </c>
      <c r="AI81" s="13">
        <f>IF('Données projet'!$A$62&gt;35,AI80+AH81-AQ80,IF(A81&lt;'Données projet'!$A$62,$AF$205^A81,IF(A81='Données projet'!$A$62,'Données projet'!$B$62,AI80+AH81-AQ80)))</f>
        <v>269.61538461538453</v>
      </c>
      <c r="AJ81" s="13">
        <f>AI81*VLOOKUP('Données projet'!$B$10,Paramètres!$A$1:$I$89,3,0)*VLOOKUP('Données projet'!$B$10,Paramètres!$A$1:$I$89,5,0)</f>
        <v>273.38999999999993</v>
      </c>
      <c r="AK81" s="13">
        <f t="shared" si="89"/>
        <v>65.568189564466451</v>
      </c>
      <c r="AL81" s="20">
        <f t="shared" si="58"/>
        <v>590.35218015811222</v>
      </c>
      <c r="AM81" s="59">
        <f t="shared" si="59"/>
        <v>860.27561819253845</v>
      </c>
      <c r="AN81" s="59">
        <f ca="1">AVERAGE(OFFSET($AM$3,0,0,'Données projet'!$E$10+1,1))-AVERAGE(OFFSET($H$3,0,0,'Données projet'!$E$10+1,1))</f>
        <v>596.42822894047072</v>
      </c>
      <c r="AO81" s="59">
        <f t="shared" si="90"/>
        <v>298.31525330951047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30.842098384564448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30.842098384564448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</v>
      </c>
      <c r="BD81" s="12">
        <f>IF('Données projet'!$A$88&gt;35,BD80+BC81-BL80,IF(A81&lt;'Données projet'!$A$88,$BA$205^A81,IF(A81='Données projet'!$A$88,'Données projet'!$B$88,BD80+BC81-BL80)))</f>
        <v>237.00000000000003</v>
      </c>
      <c r="BE81" s="13">
        <f>BD81*VLOOKUP('Données projet'!$B$11,Paramètres!$A$1:$I$89,3,0)*VLOOKUP('Données projet'!$B$11,Paramètres!$A$1:$I$89,5,0)</f>
        <v>247.71240000000003</v>
      </c>
      <c r="BF81" s="13">
        <f t="shared" si="91"/>
        <v>60.095823975624157</v>
      </c>
      <c r="BG81" s="20">
        <f t="shared" si="61"/>
        <v>536.099323424212</v>
      </c>
      <c r="BH81" s="59">
        <f t="shared" si="62"/>
        <v>806.02276145863823</v>
      </c>
      <c r="BI81" s="59">
        <f ca="1">AVERAGE(OFFSET($BH$3,0,0,'Données projet'!$E$11+1,1))-AVERAGE(OFFSET($H$3,0,0,'Données projet'!$E$11+1,1))</f>
        <v>446.06835300781546</v>
      </c>
      <c r="BJ81" s="59">
        <f t="shared" si="92"/>
        <v>396.46809188573138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24.129975525739173</v>
      </c>
      <c r="BQ81" s="21">
        <f>EXP(-LN(2)/25)*BQ80+(1-EXP(-LN(2)/25))/(LN(2)/25)*Calculateur!BL81*Calculateur!BN81*VLOOKUP('Données projet'!$B$11,Paramètres!$A$1:$I$89,3,0)*0.475*44/12</f>
        <v>21.33590054237516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45.465876068114333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12.250000000000007</v>
      </c>
      <c r="BY81" s="12">
        <f>IF('Données projet'!$A$114&gt;35,BY80+BX81-CG80,IF(A81&lt;'Données projet'!$A$114,$BV$205^A81,IF(A81='Données projet'!$A$114,'Données projet'!$B$114,BY80+BX81-CG80)))</f>
        <v>389.34999999999985</v>
      </c>
      <c r="BZ81" s="13">
        <f>BY81*VLOOKUP('Données projet'!$B$12,Paramètres!$A$1:$I$89,3,0)*VLOOKUP('Données projet'!$B$12,Paramètres!$A$1:$I$89,5,0)</f>
        <v>182.21579999999992</v>
      </c>
      <c r="CA81" s="13">
        <f t="shared" si="93"/>
        <v>45.814809262589939</v>
      </c>
      <c r="CB81" s="20">
        <f t="shared" si="64"/>
        <v>397.15331113234402</v>
      </c>
      <c r="CC81" s="59">
        <f t="shared" si="65"/>
        <v>667.07674916677024</v>
      </c>
      <c r="CD81" s="59">
        <f ca="1">AVERAGE(OFFSET($CC$3,0,0,'Données projet'!$E$12+1,1))-AVERAGE(OFFSET($H$3,0,0,'Données projet'!$E$12+1,1))</f>
        <v>307.52821153421951</v>
      </c>
      <c r="CE81" s="59">
        <f t="shared" si="94"/>
        <v>221.23619018904222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59.302348631809288</v>
      </c>
      <c r="CL81" s="21">
        <f>EXP(-LN(2)/25)*CL80+(1-EXP(-LN(2)/25))/(LN(2)/25)*Calculateur!CG81*Calculateur!CI81*VLOOKUP('Données projet'!$B$12,Paramètres!$A$1:$I$89,3,0)*0.475*44/12</f>
        <v>20.165500780231742</v>
      </c>
      <c r="CM81" s="21">
        <f>EXP(-LN(2)/2)*CM80+(1-EXP(-LN(2)/2))/(LN(2)/2)*CG81*CJ81*VLOOKUP('Données projet'!$B$12,Paramètres!$A$1:$I$89,3,0)*0.475*44/12</f>
        <v>1.9981234877806751</v>
      </c>
      <c r="CN81" s="22">
        <f t="shared" si="66"/>
        <v>81.465972899821708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6.5339743589743566</v>
      </c>
      <c r="CT81" s="12">
        <f>IF('Données projet'!$A$140&gt;35,CT80+CS81-DB80,IF(A81&lt;'Données projet'!$A$140,$CQ$205^A81,IF(A81='Données projet'!$A$140,'Données projet'!$B$140,CT80+CS81-DB80)))</f>
        <v>211.78333333333342</v>
      </c>
      <c r="CU81" s="17">
        <f>CT81*VLOOKUP('Données projet'!$B$13,Paramètres!$A$1:$I$89,3,0)*VLOOKUP('Données projet'!$B$13,Paramètres!$A$1:$I$89,5,0)</f>
        <v>241.1788600000001</v>
      </c>
      <c r="CV81" s="13">
        <f t="shared" si="95"/>
        <v>58.693095577852866</v>
      </c>
      <c r="CW81" s="20">
        <f t="shared" si="67"/>
        <v>522.27698929809401</v>
      </c>
      <c r="CX81" s="59">
        <f t="shared" si="68"/>
        <v>792.20042733252023</v>
      </c>
      <c r="CY81" s="59">
        <f ca="1">AVERAGE(OFFSET($CX$3,0,0,'Données projet'!$E$13+1,1))-AVERAGE(OFFSET($H$3,0,0,'Données projet'!$E$13+1,1))</f>
        <v>598.12133208901378</v>
      </c>
      <c r="CZ81" s="59">
        <f t="shared" si="96"/>
        <v>246.23353541360947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269.39999999999981</v>
      </c>
      <c r="DP81" s="17">
        <f>DO81*VLOOKUP('Données projet'!$B$14,Paramètres!$A$1:$I$89,3,0)*VLOOKUP('Données projet'!$B$14,Paramètres!$A$1:$I$89,5,0)</f>
        <v>214.33463999999984</v>
      </c>
      <c r="DQ81" s="13">
        <f t="shared" si="97"/>
        <v>52.881684324030282</v>
      </c>
      <c r="DR81" s="20">
        <f t="shared" si="70"/>
        <v>465.40176486435234</v>
      </c>
      <c r="DS81" s="59">
        <f t="shared" si="71"/>
        <v>735.32520289877857</v>
      </c>
      <c r="DT81" s="59">
        <f ca="1">AVERAGE(OFFSET($DS$3,0,0,'Données projet'!$E$14+1,1))-AVERAGE(OFFSET($H$3,0,0,'Données projet'!$E$14+1,1))</f>
        <v>323.01113210765487</v>
      </c>
      <c r="DU81" s="59">
        <f t="shared" si="98"/>
        <v>311.68541696405975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26.512962457834043</v>
      </c>
      <c r="EB81" s="21">
        <f>EXP(-LN(2)/25)*EB80+(1-EXP(-LN(2)/25))/(LN(2)/25)*Calculateur!DW81*Calculateur!DY81*VLOOKUP('Données projet'!$B$14,Paramètres!$A$1:$I$89,3,0)*0.475*44/12</f>
        <v>8.3196669394436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34.832629397277643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337.99164391755608</v>
      </c>
      <c r="T82" s="59">
        <f t="shared" si="88"/>
        <v>421.45428231923393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8.1746794871794854</v>
      </c>
      <c r="AI82" s="13">
        <f>IF('Données projet'!$A$62&gt;35,AI81+AH82-AQ81,IF(A82&lt;'Données projet'!$A$62,$AF$205^A82,IF(A82='Données projet'!$A$62,'Données projet'!$B$62,AI81+AH82-AQ81)))</f>
        <v>277.79006410256403</v>
      </c>
      <c r="AJ82" s="13">
        <f>AI82*VLOOKUP('Données projet'!$B$10,Paramètres!$A$1:$I$89,3,0)*VLOOKUP('Données projet'!$B$10,Paramètres!$A$1:$I$89,5,0)</f>
        <v>281.67912499999994</v>
      </c>
      <c r="AK82" s="13">
        <f t="shared" si="89"/>
        <v>67.321732690081475</v>
      </c>
      <c r="AL82" s="20">
        <f t="shared" si="58"/>
        <v>607.84316047689174</v>
      </c>
      <c r="AM82" s="59">
        <f t="shared" si="59"/>
        <v>878.17270785806863</v>
      </c>
      <c r="AN82" s="59">
        <f ca="1">AVERAGE(OFFSET($AM$3,0,0,'Données projet'!$E$10+1,1))-AVERAGE(OFFSET($H$3,0,0,'Données projet'!$E$10+1,1))</f>
        <v>596.42822894047072</v>
      </c>
      <c r="AO82" s="59">
        <f t="shared" si="90"/>
        <v>298.31525330951047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30.237303647065641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30.237303647065641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</v>
      </c>
      <c r="BD82" s="12">
        <f>IF('Données projet'!$A$88&gt;35,BD81+BC82-BL81,IF(A82&lt;'Données projet'!$A$88,$BA$205^A82,IF(A82='Données projet'!$A$88,'Données projet'!$B$88,BD81+BC82-BL81)))</f>
        <v>241.00000000000003</v>
      </c>
      <c r="BE82" s="13">
        <f>BD82*VLOOKUP('Données projet'!$B$11,Paramètres!$A$1:$I$89,3,0)*VLOOKUP('Données projet'!$B$11,Paramètres!$A$1:$I$89,5,0)</f>
        <v>251.89320000000006</v>
      </c>
      <c r="BF82" s="13">
        <f t="shared" si="91"/>
        <v>60.991162965075887</v>
      </c>
      <c r="BG82" s="20">
        <f t="shared" si="61"/>
        <v>544.94026549750731</v>
      </c>
      <c r="BH82" s="59">
        <f t="shared" si="62"/>
        <v>815.26981287868421</v>
      </c>
      <c r="BI82" s="59">
        <f ca="1">AVERAGE(OFFSET($BH$3,0,0,'Données projet'!$E$11+1,1))-AVERAGE(OFFSET($H$3,0,0,'Données projet'!$E$11+1,1))</f>
        <v>446.06835300781546</v>
      </c>
      <c r="BJ82" s="59">
        <f t="shared" si="92"/>
        <v>396.46809188573138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23.656801423511233</v>
      </c>
      <c r="BQ82" s="21">
        <f>EXP(-LN(2)/25)*BQ81+(1-EXP(-LN(2)/25))/(LN(2)/25)*Calculateur!BL82*Calculateur!BN82*VLOOKUP('Données projet'!$B$11,Paramètres!$A$1:$I$89,3,0)*0.475*44/12</f>
        <v>20.752469220037668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44.409270643548901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12.250000000000007</v>
      </c>
      <c r="BY82" s="12">
        <f>IF('Données projet'!$A$114&gt;35,BY81+BX82-CG81,IF(A82&lt;'Données projet'!$A$114,$BV$205^A82,IF(A82='Données projet'!$A$114,'Données projet'!$B$114,BY81+BX82-CG81)))</f>
        <v>401.59999999999985</v>
      </c>
      <c r="BZ82" s="13">
        <f>BY82*VLOOKUP('Données projet'!$B$12,Paramètres!$A$1:$I$89,3,0)*VLOOKUP('Données projet'!$B$12,Paramètres!$A$1:$I$89,5,0)</f>
        <v>187.94879999999992</v>
      </c>
      <c r="CA82" s="13">
        <f t="shared" si="93"/>
        <v>47.086175568004251</v>
      </c>
      <c r="CB82" s="20">
        <f t="shared" si="64"/>
        <v>409.35258244760729</v>
      </c>
      <c r="CC82" s="59">
        <f t="shared" si="65"/>
        <v>679.68212982878424</v>
      </c>
      <c r="CD82" s="59">
        <f ca="1">AVERAGE(OFFSET($CC$3,0,0,'Données projet'!$E$12+1,1))-AVERAGE(OFFSET($H$3,0,0,'Données projet'!$E$12+1,1))</f>
        <v>307.52821153421951</v>
      </c>
      <c r="CE82" s="59">
        <f t="shared" si="94"/>
        <v>221.23619018904222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58.139465746000596</v>
      </c>
      <c r="CL82" s="21">
        <f>EXP(-LN(2)/25)*CL81+(1-EXP(-LN(2)/25))/(LN(2)/25)*Calculateur!CG82*Calculateur!CI82*VLOOKUP('Données projet'!$B$12,Paramètres!$A$1:$I$89,3,0)*0.475*44/12</f>
        <v>19.614074100938709</v>
      </c>
      <c r="CM82" s="21">
        <f>EXP(-LN(2)/2)*CM81+(1-EXP(-LN(2)/2))/(LN(2)/2)*CG82*CJ82*VLOOKUP('Données projet'!$B$12,Paramètres!$A$1:$I$89,3,0)*0.475*44/12</f>
        <v>1.4128866678578311</v>
      </c>
      <c r="CN82" s="22">
        <f t="shared" si="66"/>
        <v>79.166426514797138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6.5339743589743566</v>
      </c>
      <c r="CT82" s="12">
        <f>IF('Données projet'!$A$140&gt;35,CT81+CS82-DB81,IF(A82&lt;'Données projet'!$A$140,$CQ$205^A82,IF(A82='Données projet'!$A$140,'Données projet'!$B$140,CT81+CS82-DB81)))</f>
        <v>218.31730769230776</v>
      </c>
      <c r="CU82" s="17">
        <f>CT82*VLOOKUP('Données projet'!$B$13,Paramètres!$A$1:$I$89,3,0)*VLOOKUP('Données projet'!$B$13,Paramètres!$A$1:$I$89,5,0)</f>
        <v>248.6197500000001</v>
      </c>
      <c r="CV82" s="13">
        <f t="shared" si="95"/>
        <v>60.290285922900722</v>
      </c>
      <c r="CW82" s="20">
        <f t="shared" si="67"/>
        <v>538.01831256571893</v>
      </c>
      <c r="CX82" s="59">
        <f t="shared" si="68"/>
        <v>808.34785994689582</v>
      </c>
      <c r="CY82" s="59">
        <f ca="1">AVERAGE(OFFSET($CX$3,0,0,'Données projet'!$E$13+1,1))-AVERAGE(OFFSET($H$3,0,0,'Données projet'!$E$13+1,1))</f>
        <v>598.12133208901378</v>
      </c>
      <c r="CZ82" s="59">
        <f t="shared" si="96"/>
        <v>246.23353541360947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272.19999999999982</v>
      </c>
      <c r="DP82" s="17">
        <f>DO82*VLOOKUP('Données projet'!$B$14,Paramètres!$A$1:$I$89,3,0)*VLOOKUP('Données projet'!$B$14,Paramètres!$A$1:$I$89,5,0)</f>
        <v>216.56231999999989</v>
      </c>
      <c r="DQ82" s="13">
        <f t="shared" si="97"/>
        <v>53.367039486661959</v>
      </c>
      <c r="DR82" s="20">
        <f t="shared" si="70"/>
        <v>470.12696777260271</v>
      </c>
      <c r="DS82" s="59">
        <f t="shared" si="71"/>
        <v>740.45651515377972</v>
      </c>
      <c r="DT82" s="59">
        <f ca="1">AVERAGE(OFFSET($DS$3,0,0,'Données projet'!$E$14+1,1))-AVERAGE(OFFSET($H$3,0,0,'Données projet'!$E$14+1,1))</f>
        <v>323.01113210765487</v>
      </c>
      <c r="DU82" s="59">
        <f t="shared" si="98"/>
        <v>311.68541696405975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25.993059435346233</v>
      </c>
      <c r="EB82" s="21">
        <f>EXP(-LN(2)/25)*EB81+(1-EXP(-LN(2)/25))/(LN(2)/25)*Calculateur!DW82*Calculateur!DY82*VLOOKUP('Données projet'!$B$14,Paramètres!$A$1:$I$89,3,0)*0.475*44/12</f>
        <v>8.0921652094722454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34.085224644818481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337.99164391755608</v>
      </c>
      <c r="T83" s="59">
        <f t="shared" si="88"/>
        <v>421.45428231923393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8.1746794871794854</v>
      </c>
      <c r="AI83" s="13">
        <f>IF('Données projet'!$A$62&gt;35,AI82+AH83-AQ82,IF(A83&lt;'Données projet'!$A$62,$AF$205^A83,IF(A83='Données projet'!$A$62,'Données projet'!$B$62,AI82+AH83-AQ82)))</f>
        <v>285.96474358974353</v>
      </c>
      <c r="AJ83" s="13">
        <f>AI83*VLOOKUP('Données projet'!$B$10,Paramètres!$A$1:$I$89,3,0)*VLOOKUP('Données projet'!$B$10,Paramètres!$A$1:$I$89,5,0)</f>
        <v>289.96824999999995</v>
      </c>
      <c r="AK83" s="13">
        <f t="shared" si="89"/>
        <v>69.069278649338855</v>
      </c>
      <c r="AL83" s="20">
        <f t="shared" si="58"/>
        <v>625.32369573093172</v>
      </c>
      <c r="AM83" s="59">
        <f t="shared" si="59"/>
        <v>896.05230736961789</v>
      </c>
      <c r="AN83" s="59">
        <f ca="1">AVERAGE(OFFSET($AM$3,0,0,'Données projet'!$E$10+1,1))-AVERAGE(OFFSET($H$3,0,0,'Données projet'!$E$10+1,1))</f>
        <v>596.42822894047072</v>
      </c>
      <c r="AO83" s="59">
        <f t="shared" si="90"/>
        <v>298.31525330951047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29.644368565480821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29.644368565480821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245</v>
      </c>
      <c r="BB83" s="12">
        <f>VLOOKUP(A83,'Données projet'!$A$87:$I$107,9,0)</f>
        <v>4</v>
      </c>
      <c r="BC83" s="12">
        <f t="array" ref="BC83">INDEX(BB:BB,MIN(IF(ISNUMBER(BB83:BB279),ROW(BB83:BB279),"")))</f>
        <v>4</v>
      </c>
      <c r="BD83" s="12">
        <f>IF('Données projet'!$A$88&gt;35,BD82+BC83-BL82,IF(A83&lt;'Données projet'!$A$88,$BA$205^A83,IF(A83='Données projet'!$A$88,'Données projet'!$B$88,BD82+BC83-BL82)))</f>
        <v>245.00000000000003</v>
      </c>
      <c r="BE83" s="13">
        <f>BD83*VLOOKUP('Données projet'!$B$11,Paramètres!$A$1:$I$89,3,0)*VLOOKUP('Données projet'!$B$11,Paramètres!$A$1:$I$89,5,0)</f>
        <v>256.07400000000007</v>
      </c>
      <c r="BF83" s="13">
        <f t="shared" si="91"/>
        <v>61.884773790113961</v>
      </c>
      <c r="BG83" s="20">
        <f t="shared" si="61"/>
        <v>553.77819768444851</v>
      </c>
      <c r="BH83" s="59">
        <f t="shared" si="62"/>
        <v>824.50680932313458</v>
      </c>
      <c r="BI83" s="59">
        <f ca="1">AVERAGE(OFFSET($BH$3,0,0,'Données projet'!$E$11+1,1))-AVERAGE(OFFSET($H$3,0,0,'Données projet'!$E$11+1,1))</f>
        <v>446.06835300781546</v>
      </c>
      <c r="BJ83" s="59">
        <f t="shared" si="92"/>
        <v>396.46809188573138</v>
      </c>
      <c r="BK83" s="15">
        <f>IF(ISNA(VLOOKUP(A83,'Données projet'!$A$87:$I$107,3,0)),0,VLOOKUP(A83,'Données projet'!$A$87:$I$107,3,0))</f>
        <v>13</v>
      </c>
      <c r="BL83" s="21" t="str">
        <f>IF(ISNA(VLOOKUP(A83,'Données projet'!$A$87:$I$107,4,0)),0,VLOOKUP(A83,'Données projet'!$A$87:$I$107,4,0))</f>
        <v>15</v>
      </c>
      <c r="BM83" s="16">
        <f>IF(ISNA(VLOOKUP(A83,'Données projet'!$A$87:$I$107,5,0)),0%,VLOOKUP(A83,'Données projet'!$A$87:$I$107,5,0)*VLOOKUP('Données projet'!$B$11,Paramètres!$A$1:$I$89,7,0))</f>
        <v>0.25800000000000001</v>
      </c>
      <c r="BN83" s="16">
        <f>IF(ISNA(VLOOKUP(A83,'Données projet'!$A$87:$I$107,6,0)),0%,VLOOKUP(A83,'Données projet'!$A$87:$I$107,6,0)*VLOOKUP('Données projet'!$B$11,Paramètres!$A$1:$I$89,7,0))</f>
        <v>0.129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27.664449646282215</v>
      </c>
      <c r="BQ83" s="21">
        <f>EXP(-LN(2)/25)*BQ82+(1-EXP(-LN(2)/25))/(LN(2)/25)*Calculateur!BL83*Calculateur!BN83*VLOOKUP('Données projet'!$B$11,Paramètres!$A$1:$I$89,3,0)*0.475*44/12</f>
        <v>22.411960607012588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50.076410253294803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12.250000000000007</v>
      </c>
      <c r="BY83" s="12">
        <f>IF('Données projet'!$A$114&gt;35,BY82+BX83-CG82,IF(A83&lt;'Données projet'!$A$114,$BV$205^A83,IF(A83='Données projet'!$A$114,'Données projet'!$B$114,BY82+BX83-CG82)))</f>
        <v>413.84999999999985</v>
      </c>
      <c r="BZ83" s="13">
        <f>BY83*VLOOKUP('Données projet'!$B$12,Paramètres!$A$1:$I$89,3,0)*VLOOKUP('Données projet'!$B$12,Paramètres!$A$1:$I$89,5,0)</f>
        <v>193.68179999999992</v>
      </c>
      <c r="CA83" s="13">
        <f t="shared" si="93"/>
        <v>48.353035092357665</v>
      </c>
      <c r="CB83" s="20">
        <f t="shared" si="64"/>
        <v>421.54400445252281</v>
      </c>
      <c r="CC83" s="59">
        <f t="shared" si="65"/>
        <v>692.27261609120887</v>
      </c>
      <c r="CD83" s="59">
        <f ca="1">AVERAGE(OFFSET($CC$3,0,0,'Données projet'!$E$12+1,1))-AVERAGE(OFFSET($H$3,0,0,'Données projet'!$E$12+1,1))</f>
        <v>307.52821153421951</v>
      </c>
      <c r="CE83" s="59">
        <f t="shared" si="94"/>
        <v>221.23619018904222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56.99938628429409</v>
      </c>
      <c r="CL83" s="21">
        <f>EXP(-LN(2)/25)*CL82+(1-EXP(-LN(2)/25))/(LN(2)/25)*Calculateur!CG83*Calculateur!CI83*VLOOKUP('Données projet'!$B$12,Paramètres!$A$1:$I$89,3,0)*0.475*44/12</f>
        <v>19.077726213189212</v>
      </c>
      <c r="CM83" s="21">
        <f>EXP(-LN(2)/2)*CM82+(1-EXP(-LN(2)/2))/(LN(2)/2)*CG83*CJ83*VLOOKUP('Données projet'!$B$12,Paramètres!$A$1:$I$89,3,0)*0.475*44/12</f>
        <v>0.99906174389033775</v>
      </c>
      <c r="CN83" s="22">
        <f t="shared" si="66"/>
        <v>77.076174241373636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6.5339743589743566</v>
      </c>
      <c r="CT83" s="12">
        <f>IF('Données projet'!$A$140&gt;35,CT82+CS83-DB82,IF(A83&lt;'Données projet'!$A$140,$CQ$205^A83,IF(A83='Données projet'!$A$140,'Données projet'!$B$140,CT82+CS83-DB82)))</f>
        <v>224.85128205128211</v>
      </c>
      <c r="CU83" s="17">
        <f>CT83*VLOOKUP('Données projet'!$B$13,Paramètres!$A$1:$I$89,3,0)*VLOOKUP('Données projet'!$B$13,Paramètres!$A$1:$I$89,5,0)</f>
        <v>256.06064000000009</v>
      </c>
      <c r="CV83" s="13">
        <f t="shared" si="95"/>
        <v>61.881920921267962</v>
      </c>
      <c r="CW83" s="20">
        <f t="shared" si="67"/>
        <v>553.74996027120858</v>
      </c>
      <c r="CX83" s="59">
        <f t="shared" si="68"/>
        <v>824.47857190989475</v>
      </c>
      <c r="CY83" s="59">
        <f ca="1">AVERAGE(OFFSET($CX$3,0,0,'Données projet'!$E$13+1,1))-AVERAGE(OFFSET($H$3,0,0,'Données projet'!$E$13+1,1))</f>
        <v>598.12133208901378</v>
      </c>
      <c r="CZ83" s="59">
        <f t="shared" si="96"/>
        <v>246.23353541360947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275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274.99999999999983</v>
      </c>
      <c r="DP83" s="17">
        <f>DO83*VLOOKUP('Données projet'!$B$14,Paramètres!$A$1:$I$89,3,0)*VLOOKUP('Données projet'!$B$14,Paramètres!$A$1:$I$89,5,0)</f>
        <v>218.78999999999988</v>
      </c>
      <c r="DQ83" s="13">
        <f t="shared" si="97"/>
        <v>53.851813843863468</v>
      </c>
      <c r="DR83" s="20">
        <f t="shared" si="70"/>
        <v>474.85115911139536</v>
      </c>
      <c r="DS83" s="59">
        <f t="shared" si="71"/>
        <v>745.57977075008148</v>
      </c>
      <c r="DT83" s="59">
        <f ca="1">AVERAGE(OFFSET($DS$3,0,0,'Données projet'!$E$14+1,1))-AVERAGE(OFFSET($H$3,0,0,'Données projet'!$E$14+1,1))</f>
        <v>323.01113210765487</v>
      </c>
      <c r="DU83" s="59">
        <f t="shared" si="98"/>
        <v>311.68541696405975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8</v>
      </c>
      <c r="DX83" s="16">
        <f>IF(ISNA(VLOOKUP(A83,'Données projet'!$A$165:$I$185,5,0)),0%,VLOOKUP(A83,'Données projet'!$A$165:$I$185,5,0)*VLOOKUP('Données projet'!$B$14,Paramètres!$A$1:$I$89,7,0))</f>
        <v>0.46375</v>
      </c>
      <c r="DY83" s="16">
        <f>IF(ISNA(VLOOKUP(A83,'Données projet'!$A$165:$I$185,6,0)),0%,VLOOKUP(A83,'Données projet'!$A$165:$I$185,6,0)*VLOOKUP('Données projet'!$B$14,Paramètres!$A$1:$I$89,7,0))</f>
        <v>6.6250000000000003E-2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28.746341781998176</v>
      </c>
      <c r="EB83" s="21">
        <f>EXP(-LN(2)/25)*EB82+(1-EXP(-LN(2)/25))/(LN(2)/25)*Calculateur!DW83*Calculateur!DY83*VLOOKUP('Données projet'!$B$14,Paramètres!$A$1:$I$89,3,0)*0.475*44/12</f>
        <v>8.3351906336313277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37.081532415629503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337.99164391755608</v>
      </c>
      <c r="T84" s="59">
        <f t="shared" si="88"/>
        <v>421.45428231923393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8.1746794871794854</v>
      </c>
      <c r="AI84" s="13">
        <f>IF('Données projet'!$A$62&gt;35,AI83+AH84-AQ83,IF(A84&lt;'Données projet'!$A$62,$AF$205^A84,IF(A84='Données projet'!$A$62,'Données projet'!$B$62,AI83+AH84-AQ83)))</f>
        <v>294.13942307692304</v>
      </c>
      <c r="AJ84" s="13">
        <f>AI84*VLOOKUP('Données projet'!$B$10,Paramètres!$A$1:$I$89,3,0)*VLOOKUP('Données projet'!$B$10,Paramètres!$A$1:$I$89,5,0)</f>
        <v>298.25737499999997</v>
      </c>
      <c r="AK84" s="13">
        <f t="shared" si="89"/>
        <v>70.811018569088475</v>
      </c>
      <c r="AL84" s="20">
        <f t="shared" si="58"/>
        <v>642.79411879949566</v>
      </c>
      <c r="AM84" s="59">
        <f t="shared" si="59"/>
        <v>913.91487182299716</v>
      </c>
      <c r="AN84" s="59">
        <f ca="1">AVERAGE(OFFSET($AM$3,0,0,'Données projet'!$E$10+1,1))-AVERAGE(OFFSET($H$3,0,0,'Données projet'!$E$10+1,1))</f>
        <v>596.42822894047072</v>
      </c>
      <c r="AO84" s="59">
        <f t="shared" si="90"/>
        <v>298.31525330951047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29.063060579191188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29.063060579191188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3.6</v>
      </c>
      <c r="BD84" s="12">
        <f>IF('Données projet'!$A$88&gt;35,BD83+BC84-BL83,IF(A84&lt;'Données projet'!$A$88,$BA$205^A84,IF(A84='Données projet'!$A$88,'Données projet'!$B$88,BD83+BC84-BL83)))</f>
        <v>233.60000000000002</v>
      </c>
      <c r="BE84" s="13">
        <f>BD84*VLOOKUP('Données projet'!$B$11,Paramètres!$A$1:$I$89,3,0)*VLOOKUP('Données projet'!$B$11,Paramètres!$A$1:$I$89,5,0)</f>
        <v>244.15872000000005</v>
      </c>
      <c r="BF84" s="13">
        <f t="shared" si="91"/>
        <v>59.333402749839792</v>
      </c>
      <c r="BG84" s="20">
        <f t="shared" si="61"/>
        <v>528.58211378930434</v>
      </c>
      <c r="BH84" s="59">
        <f t="shared" si="62"/>
        <v>799.70286681280572</v>
      </c>
      <c r="BI84" s="59">
        <f ca="1">AVERAGE(OFFSET($BH$3,0,0,'Données projet'!$E$11+1,1))-AVERAGE(OFFSET($H$3,0,0,'Données projet'!$E$11+1,1))</f>
        <v>446.06835300781546</v>
      </c>
      <c r="BJ84" s="59">
        <f t="shared" si="92"/>
        <v>396.46809188573138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27.12196666236677</v>
      </c>
      <c r="BQ84" s="21">
        <f>EXP(-LN(2)/25)*BQ83+(1-EXP(-LN(2)/25))/(LN(2)/25)*Calculateur!BL84*Calculateur!BN84*VLOOKUP('Données projet'!$B$11,Paramètres!$A$1:$I$89,3,0)*0.475*44/12</f>
        <v>21.799104365620043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48.921071027986812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12.250000000000007</v>
      </c>
      <c r="BY84" s="12">
        <f>IF('Données projet'!$A$114&gt;35,BY83+BX84-CG83,IF(A84&lt;'Données projet'!$A$114,$BV$205^A84,IF(A84='Données projet'!$A$114,'Données projet'!$B$114,BY83+BX84-CG83)))</f>
        <v>426.09999999999985</v>
      </c>
      <c r="BZ84" s="13">
        <f>BY84*VLOOKUP('Données projet'!$B$12,Paramètres!$A$1:$I$89,3,0)*VLOOKUP('Données projet'!$B$12,Paramètres!$A$1:$I$89,5,0)</f>
        <v>199.41479999999993</v>
      </c>
      <c r="CA84" s="13">
        <f t="shared" si="93"/>
        <v>49.615536552460448</v>
      </c>
      <c r="CB84" s="20">
        <f t="shared" si="64"/>
        <v>433.72783616220175</v>
      </c>
      <c r="CC84" s="59">
        <f t="shared" si="65"/>
        <v>704.84858918570319</v>
      </c>
      <c r="CD84" s="59">
        <f ca="1">AVERAGE(OFFSET($CC$3,0,0,'Données projet'!$E$12+1,1))-AVERAGE(OFFSET($H$3,0,0,'Données projet'!$E$12+1,1))</f>
        <v>307.52821153421951</v>
      </c>
      <c r="CE84" s="59">
        <f t="shared" si="94"/>
        <v>221.23619018904222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55.881663085451841</v>
      </c>
      <c r="CL84" s="21">
        <f>EXP(-LN(2)/25)*CL83+(1-EXP(-LN(2)/25))/(LN(2)/25)*Calculateur!CG84*Calculateur!CI84*VLOOKUP('Données projet'!$B$12,Paramètres!$A$1:$I$89,3,0)*0.475*44/12</f>
        <v>18.556044786635535</v>
      </c>
      <c r="CM84" s="21">
        <f>EXP(-LN(2)/2)*CM83+(1-EXP(-LN(2)/2))/(LN(2)/2)*CG84*CJ84*VLOOKUP('Données projet'!$B$12,Paramètres!$A$1:$I$89,3,0)*0.475*44/12</f>
        <v>0.70644333392891567</v>
      </c>
      <c r="CN84" s="22">
        <f t="shared" si="66"/>
        <v>75.144151206016289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6.5339743589743566</v>
      </c>
      <c r="CT84" s="12">
        <f>IF('Données projet'!$A$140&gt;35,CT83+CS84-DB83,IF(A84&lt;'Données projet'!$A$140,$CQ$205^A84,IF(A84='Données projet'!$A$140,'Données projet'!$B$140,CT83+CS84-DB83)))</f>
        <v>231.38525641025646</v>
      </c>
      <c r="CU84" s="17">
        <f>CT84*VLOOKUP('Données projet'!$B$13,Paramètres!$A$1:$I$89,3,0)*VLOOKUP('Données projet'!$B$13,Paramètres!$A$1:$I$89,5,0)</f>
        <v>263.50153000000006</v>
      </c>
      <c r="CV84" s="13">
        <f t="shared" si="95"/>
        <v>63.468180544013514</v>
      </c>
      <c r="CW84" s="20">
        <f t="shared" si="67"/>
        <v>569.472245864157</v>
      </c>
      <c r="CX84" s="59">
        <f t="shared" si="68"/>
        <v>840.5929988876585</v>
      </c>
      <c r="CY84" s="59">
        <f ca="1">AVERAGE(OFFSET($CX$3,0,0,'Données projet'!$E$13+1,1))-AVERAGE(OFFSET($H$3,0,0,'Données projet'!$E$13+1,1))</f>
        <v>598.12133208901378</v>
      </c>
      <c r="CZ84" s="59">
        <f t="shared" si="96"/>
        <v>246.23353541360947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266.99999999999983</v>
      </c>
      <c r="DP84" s="17">
        <f>DO84*VLOOKUP('Données projet'!$B$14,Paramètres!$A$1:$I$89,3,0)*VLOOKUP('Données projet'!$B$14,Paramètres!$A$1:$I$89,5,0)</f>
        <v>212.42519999999985</v>
      </c>
      <c r="DQ84" s="13">
        <f t="shared" si="97"/>
        <v>52.465198231787184</v>
      </c>
      <c r="DR84" s="20">
        <f t="shared" si="70"/>
        <v>461.35077692036231</v>
      </c>
      <c r="DS84" s="59">
        <f t="shared" si="71"/>
        <v>732.47152994386374</v>
      </c>
      <c r="DT84" s="59">
        <f ca="1">AVERAGE(OFFSET($DS$3,0,0,'Données projet'!$E$14+1,1))-AVERAGE(OFFSET($H$3,0,0,'Données projet'!$E$14+1,1))</f>
        <v>323.01113210765487</v>
      </c>
      <c r="DU84" s="59">
        <f t="shared" si="98"/>
        <v>311.68541696405975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28.182643553190385</v>
      </c>
      <c r="EB84" s="21">
        <f>EXP(-LN(2)/25)*EB83+(1-EXP(-LN(2)/25))/(LN(2)/25)*Calculateur!DW84*Calculateur!DY84*VLOOKUP('Données projet'!$B$14,Paramètres!$A$1:$I$89,3,0)*0.475*44/12</f>
        <v>8.1072644074260545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36.289907960616439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337.99164391755608</v>
      </c>
      <c r="T85" s="59">
        <f t="shared" si="88"/>
        <v>421.45428231923393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302.31410256410254</v>
      </c>
      <c r="AG85" s="12">
        <f>VLOOKUP(A85,'Données projet'!$A$61:$I$81,9,0)</f>
        <v>8.1746794871794854</v>
      </c>
      <c r="AH85" s="12">
        <f t="array" ref="AH85">INDEX(AG:AG,MIN(IF(ISNUMBER(AG85:AG281),ROW(AG85:AG281),"")))</f>
        <v>8.1746794871794854</v>
      </c>
      <c r="AI85" s="13">
        <f>IF('Données projet'!$A$62&gt;35,AI84+AH85-AQ84,IF(A85&lt;'Données projet'!$A$62,$AF$205^A85,IF(A85='Données projet'!$A$62,'Données projet'!$B$62,AI84+AH85-AQ84)))</f>
        <v>302.31410256410254</v>
      </c>
      <c r="AJ85" s="13">
        <f>AI85*VLOOKUP('Données projet'!$B$10,Paramètres!$A$1:$I$89,3,0)*VLOOKUP('Données projet'!$B$10,Paramètres!$A$1:$I$89,5,0)</f>
        <v>306.54649999999998</v>
      </c>
      <c r="AK85" s="13">
        <f t="shared" si="89"/>
        <v>72.547132348145581</v>
      </c>
      <c r="AL85" s="20">
        <f t="shared" si="58"/>
        <v>660.25474300635346</v>
      </c>
      <c r="AM85" s="59">
        <f t="shared" si="59"/>
        <v>931.7608346383405</v>
      </c>
      <c r="AN85" s="59">
        <f ca="1">AVERAGE(OFFSET($AM$3,0,0,'Données projet'!$E$10+1,1))-AVERAGE(OFFSET($H$3,0,0,'Données projet'!$E$10+1,1))</f>
        <v>596.42822894047072</v>
      </c>
      <c r="AO85" s="59">
        <f t="shared" si="90"/>
        <v>298.31525330951047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40.371794871794869</v>
      </c>
      <c r="AR85" s="16">
        <f>IF(ISNA(VLOOKUP(A85,'Données projet'!$A$61:$I$81,5,0)),0%,VLOOKUP(A85,'Données projet'!$A$61:$I$81,5,0)*VLOOKUP('Données projet'!$B$10,Paramètres!$A$1:$I$89,7,0))</f>
        <v>0.30099999999999999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42.114798606958885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42.114798606958885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3.6</v>
      </c>
      <c r="BD85" s="12">
        <f>IF('Données projet'!$A$88&gt;35,BD84+BC85-BL84,IF(A85&lt;'Données projet'!$A$88,$BA$205^A85,IF(A85='Données projet'!$A$88,'Données projet'!$B$88,BD84+BC85-BL84)))</f>
        <v>237.20000000000002</v>
      </c>
      <c r="BE85" s="13">
        <f>BD85*VLOOKUP('Données projet'!$B$11,Paramètres!$A$1:$I$89,3,0)*VLOOKUP('Données projet'!$B$11,Paramètres!$A$1:$I$89,5,0)</f>
        <v>247.92144000000008</v>
      </c>
      <c r="BF85" s="13">
        <f t="shared" si="91"/>
        <v>60.140632467523915</v>
      </c>
      <c r="BG85" s="20">
        <f t="shared" si="61"/>
        <v>536.54144288093755</v>
      </c>
      <c r="BH85" s="59">
        <f t="shared" si="62"/>
        <v>808.04753451292459</v>
      </c>
      <c r="BI85" s="59">
        <f ca="1">AVERAGE(OFFSET($BH$3,0,0,'Données projet'!$E$11+1,1))-AVERAGE(OFFSET($H$3,0,0,'Données projet'!$E$11+1,1))</f>
        <v>446.06835300781546</v>
      </c>
      <c r="BJ85" s="59">
        <f t="shared" si="92"/>
        <v>396.46809188573138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26.590121438883958</v>
      </c>
      <c r="BQ85" s="21">
        <f>EXP(-LN(2)/25)*BQ84+(1-EXP(-LN(2)/25))/(LN(2)/25)*Calculateur!BL85*Calculateur!BN85*VLOOKUP('Données projet'!$B$11,Paramètres!$A$1:$I$89,3,0)*0.475*44/12</f>
        <v>21.203006710377085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47.793128149261044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12.250000000000007</v>
      </c>
      <c r="BY85" s="12">
        <f>IF('Données projet'!$A$114&gt;35,BY84+BX85-CG84,IF(A85&lt;'Données projet'!$A$114,$BV$205^A85,IF(A85='Données projet'!$A$114,'Données projet'!$B$114,BY84+BX85-CG84)))</f>
        <v>438.34999999999985</v>
      </c>
      <c r="BZ85" s="13">
        <f>BY85*VLOOKUP('Données projet'!$B$12,Paramètres!$A$1:$I$89,3,0)*VLOOKUP('Données projet'!$B$12,Paramètres!$A$1:$I$89,5,0)</f>
        <v>205.14779999999996</v>
      </c>
      <c r="CA85" s="13">
        <f t="shared" si="93"/>
        <v>50.873819627858346</v>
      </c>
      <c r="CB85" s="20">
        <f t="shared" si="64"/>
        <v>445.90432085185313</v>
      </c>
      <c r="CC85" s="59">
        <f t="shared" si="65"/>
        <v>717.41041248384022</v>
      </c>
      <c r="CD85" s="59">
        <f ca="1">AVERAGE(OFFSET($CC$3,0,0,'Données projet'!$E$12+1,1))-AVERAGE(OFFSET($H$3,0,0,'Données projet'!$E$12+1,1))</f>
        <v>307.52821153421951</v>
      </c>
      <c r="CE85" s="59">
        <f t="shared" si="94"/>
        <v>221.23619018904222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54.785857756795053</v>
      </c>
      <c r="CL85" s="21">
        <f>EXP(-LN(2)/25)*CL84+(1-EXP(-LN(2)/25))/(LN(2)/25)*Calculateur!CG85*Calculateur!CI85*VLOOKUP('Données projet'!$B$12,Paramètres!$A$1:$I$89,3,0)*0.475*44/12</f>
        <v>18.048628766125002</v>
      </c>
      <c r="CM85" s="21">
        <f>EXP(-LN(2)/2)*CM84+(1-EXP(-LN(2)/2))/(LN(2)/2)*CG85*CJ85*VLOOKUP('Données projet'!$B$12,Paramètres!$A$1:$I$89,3,0)*0.475*44/12</f>
        <v>0.49953087194516893</v>
      </c>
      <c r="CN85" s="22">
        <f t="shared" si="66"/>
        <v>73.334017394865228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6.5339743589743566</v>
      </c>
      <c r="CT85" s="12">
        <f>IF('Données projet'!$A$140&gt;35,CT84+CS85-DB84,IF(A85&lt;'Données projet'!$A$140,$CQ$205^A85,IF(A85='Données projet'!$A$140,'Données projet'!$B$140,CT84+CS85-DB84)))</f>
        <v>237.91923076923081</v>
      </c>
      <c r="CU85" s="17">
        <f>CT85*VLOOKUP('Données projet'!$B$13,Paramètres!$A$1:$I$89,3,0)*VLOOKUP('Données projet'!$B$13,Paramètres!$A$1:$I$89,5,0)</f>
        <v>270.94242000000008</v>
      </c>
      <c r="CV85" s="13">
        <f t="shared" si="95"/>
        <v>65.049234019748923</v>
      </c>
      <c r="CW85" s="20">
        <f t="shared" si="67"/>
        <v>585.18546408439624</v>
      </c>
      <c r="CX85" s="59">
        <f t="shared" si="68"/>
        <v>856.69155571638328</v>
      </c>
      <c r="CY85" s="59">
        <f ca="1">AVERAGE(OFFSET($CX$3,0,0,'Données projet'!$E$13+1,1))-AVERAGE(OFFSET($H$3,0,0,'Données projet'!$E$13+1,1))</f>
        <v>598.12133208901378</v>
      </c>
      <c r="CZ85" s="59">
        <f t="shared" si="96"/>
        <v>246.23353541360947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266.99999999999983</v>
      </c>
      <c r="DP85" s="17">
        <f>DO85*VLOOKUP('Données projet'!$B$14,Paramètres!$A$1:$I$89,3,0)*VLOOKUP('Données projet'!$B$14,Paramètres!$A$1:$I$89,5,0)</f>
        <v>212.42519999999985</v>
      </c>
      <c r="DQ85" s="13">
        <f t="shared" si="97"/>
        <v>52.465198231787184</v>
      </c>
      <c r="DR85" s="20">
        <f t="shared" si="70"/>
        <v>461.35077692036231</v>
      </c>
      <c r="DS85" s="59">
        <f t="shared" si="71"/>
        <v>732.8568685523494</v>
      </c>
      <c r="DT85" s="59">
        <f ca="1">AVERAGE(OFFSET($DS$3,0,0,'Données projet'!$E$14+1,1))-AVERAGE(OFFSET($H$3,0,0,'Données projet'!$E$14+1,1))</f>
        <v>323.01113210765487</v>
      </c>
      <c r="DU85" s="59">
        <f t="shared" si="98"/>
        <v>311.68541696405975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27.629999102827544</v>
      </c>
      <c r="EB85" s="21">
        <f>EXP(-LN(2)/25)*EB84+(1-EXP(-LN(2)/25))/(LN(2)/25)*Calculateur!DW85*Calculateur!DY85*VLOOKUP('Données projet'!$B$14,Paramètres!$A$1:$I$89,3,0)*0.475*44/12</f>
        <v>7.8855708358624836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35.515569938690028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337.99164391755608</v>
      </c>
      <c r="T86" s="59">
        <f t="shared" si="88"/>
        <v>421.45428231923393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7.8677884615384599</v>
      </c>
      <c r="AI86" s="13">
        <f>IF('Données projet'!$A$62&gt;35,AI85+AH86-AQ85,IF(A86&lt;'Données projet'!$A$62,$AF$205^A86,IF(A86='Données projet'!$A$62,'Données projet'!$B$62,AI85+AH86-AQ85)))</f>
        <v>269.81009615384613</v>
      </c>
      <c r="AJ86" s="13">
        <f>AI86*VLOOKUP('Données projet'!$B$10,Paramètres!$A$1:$I$89,3,0)*VLOOKUP('Données projet'!$B$10,Paramètres!$A$1:$I$89,5,0)</f>
        <v>273.58743750000002</v>
      </c>
      <c r="AK86" s="13">
        <f t="shared" si="89"/>
        <v>65.610028215011894</v>
      </c>
      <c r="AL86" s="20">
        <f t="shared" si="58"/>
        <v>590.76891945364571</v>
      </c>
      <c r="AM86" s="59">
        <f t="shared" si="59"/>
        <v>862.65366493074919</v>
      </c>
      <c r="AN86" s="59">
        <f ca="1">AVERAGE(OFFSET($AM$3,0,0,'Données projet'!$E$10+1,1))-AVERAGE(OFFSET($H$3,0,0,'Données projet'!$E$10+1,1))</f>
        <v>596.42822894047072</v>
      </c>
      <c r="AO86" s="59">
        <f t="shared" si="90"/>
        <v>298.31525330951047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41.288953093767141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41.288953093767141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3.6</v>
      </c>
      <c r="BD86" s="12">
        <f>IF('Données projet'!$A$88&gt;35,BD85+BC86-BL85,IF(A86&lt;'Données projet'!$A$88,$BA$205^A86,IF(A86='Données projet'!$A$88,'Données projet'!$B$88,BD85+BC86-BL85)))</f>
        <v>240.8</v>
      </c>
      <c r="BE86" s="13">
        <f>BD86*VLOOKUP('Données projet'!$B$11,Paramètres!$A$1:$I$89,3,0)*VLOOKUP('Données projet'!$B$11,Paramètres!$A$1:$I$89,5,0)</f>
        <v>251.68416000000002</v>
      </c>
      <c r="BF86" s="13">
        <f t="shared" si="91"/>
        <v>60.946437325817293</v>
      </c>
      <c r="BG86" s="20">
        <f t="shared" si="61"/>
        <v>544.49829034246511</v>
      </c>
      <c r="BH86" s="59">
        <f t="shared" si="62"/>
        <v>816.38303581956859</v>
      </c>
      <c r="BI86" s="59">
        <f ca="1">AVERAGE(OFFSET($BH$3,0,0,'Données projet'!$E$11+1,1))-AVERAGE(OFFSET($H$3,0,0,'Données projet'!$E$11+1,1))</f>
        <v>446.06835300781546</v>
      </c>
      <c r="BJ86" s="59">
        <f t="shared" si="92"/>
        <v>396.46809188573138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26.068705375840089</v>
      </c>
      <c r="BQ86" s="21">
        <f>EXP(-LN(2)/25)*BQ85+(1-EXP(-LN(2)/25))/(LN(2)/25)*Calculateur!BL86*Calculateur!BN86*VLOOKUP('Données projet'!$B$11,Paramètres!$A$1:$I$89,3,0)*0.475*44/12</f>
        <v>20.62320937686416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46.69191475270425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450.6</v>
      </c>
      <c r="BW86" s="12">
        <f>VLOOKUP(A86,'Données projet'!$A$113:$I$133,9,0)</f>
        <v>12.250000000000007</v>
      </c>
      <c r="BX86" s="12">
        <f t="array" ref="BX86">INDEX(BW:BW,MIN(IF(ISNUMBER(BW86:BW282),ROW(BW86:BW282),"")))</f>
        <v>12.250000000000007</v>
      </c>
      <c r="BY86" s="12">
        <f>IF('Données projet'!$A$114&gt;35,BY85+BX86-CG85,IF(A86&lt;'Données projet'!$A$114,$BV$205^A86,IF(A86='Données projet'!$A$114,'Données projet'!$B$114,BY85+BX86-CG85)))</f>
        <v>450.59999999999985</v>
      </c>
      <c r="BZ86" s="13">
        <f>BY86*VLOOKUP('Données projet'!$B$12,Paramètres!$A$1:$I$89,3,0)*VLOOKUP('Données projet'!$B$12,Paramètres!$A$1:$I$89,5,0)</f>
        <v>210.88079999999994</v>
      </c>
      <c r="CA86" s="13">
        <f t="shared" si="93"/>
        <v>52.128015747023674</v>
      </c>
      <c r="CB86" s="20">
        <f t="shared" si="64"/>
        <v>458.0736874260661</v>
      </c>
      <c r="CC86" s="59">
        <f t="shared" si="65"/>
        <v>729.95843290316952</v>
      </c>
      <c r="CD86" s="59">
        <f ca="1">AVERAGE(OFFSET($CC$3,0,0,'Données projet'!$E$12+1,1))-AVERAGE(OFFSET($H$3,0,0,'Données projet'!$E$12+1,1))</f>
        <v>307.52821153421951</v>
      </c>
      <c r="CE86" s="59">
        <f t="shared" si="94"/>
        <v>221.23619018904222</v>
      </c>
      <c r="CF86" s="15">
        <f>IF(ISNA(VLOOKUP(A86,'Données projet'!$A$113:$I$133,3,0)),0,VLOOKUP(A86,'Données projet'!$A$113:$I$133,3,0))</f>
        <v>6</v>
      </c>
      <c r="CG86" s="15">
        <f>IF(ISNA(VLOOKUP(A86,'Données projet'!$A$113:$I$133,4,0)),0,VLOOKUP(A86,'Données projet'!$A$113:$I$133,4,0))</f>
        <v>79.7</v>
      </c>
      <c r="CH86" s="16">
        <f>IF(ISNA(VLOOKUP(A86,'Données projet'!$A$113:$I$133,5,0)),0%,VLOOKUP(A86,'Données projet'!$A$113:$I$133,5,0)*VLOOKUP('Données projet'!$B$12,Paramètres!$A$1:$I$89,7,0))</f>
        <v>0.38500000000000001</v>
      </c>
      <c r="CI86" s="16">
        <f>IF(ISNA(VLOOKUP(A86,'Données projet'!$A$113:$I$133,6,0)),0%,VLOOKUP(A86,'Données projet'!$A$113:$I$133,6,0)*VLOOKUP('Données projet'!$B$12,Paramètres!$A$1:$I$89,7,0))</f>
        <v>9.3500000000000014E-2</v>
      </c>
      <c r="CJ86" s="16">
        <f>IF(ISNA(VLOOKUP(A86,'Données projet'!$A$113:$I$133,7,0)),0%,VLOOKUP(A86,'Données projet'!$A$113:$I$133,7,0))</f>
        <v>0.13</v>
      </c>
      <c r="CK86" s="21">
        <f>EXP(-LN(2)/35)*CK85+(1-EXP(-LN(2)/35))/(LN(2)/35)*CG86*CH86*VLOOKUP('Données projet'!$B$12,Paramètres!$A$1:$I$89,3,0)*0.475*44/12</f>
        <v>72.761465073671346</v>
      </c>
      <c r="CL86" s="21">
        <f>EXP(-LN(2)/25)*CL85+(1-EXP(-LN(2)/25))/(LN(2)/25)*Calculateur!CG86*Calculateur!CI86*VLOOKUP('Données projet'!$B$12,Paramètres!$A$1:$I$89,3,0)*0.475*44/12</f>
        <v>22.163282376469915</v>
      </c>
      <c r="CM86" s="21">
        <f>EXP(-LN(2)/2)*CM85+(1-EXP(-LN(2)/2))/(LN(2)/2)*CG86*CJ86*VLOOKUP('Données projet'!$B$12,Paramètres!$A$1:$I$89,3,0)*0.475*44/12</f>
        <v>5.8433572015908197</v>
      </c>
      <c r="CN86" s="22">
        <f t="shared" si="66"/>
        <v>100.76810465173209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6.5339743589743566</v>
      </c>
      <c r="CT86" s="12">
        <f>IF('Données projet'!$A$140&gt;35,CT85+CS86-DB85,IF(A86&lt;'Données projet'!$A$140,$CQ$205^A86,IF(A86='Données projet'!$A$140,'Données projet'!$B$140,CT85+CS86-DB85)))</f>
        <v>244.45320512820516</v>
      </c>
      <c r="CU86" s="17">
        <f>CT86*VLOOKUP('Données projet'!$B$13,Paramètres!$A$1:$I$89,3,0)*VLOOKUP('Données projet'!$B$13,Paramètres!$A$1:$I$89,5,0)</f>
        <v>278.38331000000005</v>
      </c>
      <c r="CV86" s="13">
        <f t="shared" si="95"/>
        <v>66.625240753037872</v>
      </c>
      <c r="CW86" s="20">
        <f t="shared" si="67"/>
        <v>600.88989256154105</v>
      </c>
      <c r="CX86" s="59">
        <f t="shared" si="68"/>
        <v>872.77463803864453</v>
      </c>
      <c r="CY86" s="59">
        <f ca="1">AVERAGE(OFFSET($CX$3,0,0,'Données projet'!$E$13+1,1))-AVERAGE(OFFSET($H$3,0,0,'Données projet'!$E$13+1,1))</f>
        <v>598.12133208901378</v>
      </c>
      <c r="CZ86" s="59">
        <f t="shared" si="96"/>
        <v>246.23353541360947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266.99999999999983</v>
      </c>
      <c r="DP86" s="17">
        <f>DO86*VLOOKUP('Données projet'!$B$14,Paramètres!$A$1:$I$89,3,0)*VLOOKUP('Données projet'!$B$14,Paramètres!$A$1:$I$89,5,0)</f>
        <v>212.42519999999985</v>
      </c>
      <c r="DQ86" s="13">
        <f t="shared" si="97"/>
        <v>52.465198231787184</v>
      </c>
      <c r="DR86" s="20">
        <f t="shared" si="70"/>
        <v>461.35077692036231</v>
      </c>
      <c r="DS86" s="59">
        <f t="shared" si="71"/>
        <v>733.23552239746573</v>
      </c>
      <c r="DT86" s="59">
        <f ca="1">AVERAGE(OFFSET($DS$3,0,0,'Données projet'!$E$14+1,1))-AVERAGE(OFFSET($H$3,0,0,'Données projet'!$E$14+1,1))</f>
        <v>323.01113210765487</v>
      </c>
      <c r="DU86" s="59">
        <f t="shared" si="98"/>
        <v>311.68541696405975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27.088191673056489</v>
      </c>
      <c r="EB86" s="21">
        <f>EXP(-LN(2)/25)*EB85+(1-EXP(-LN(2)/25))/(LN(2)/25)*Calculateur!DW86*Calculateur!DY86*VLOOKUP('Données projet'!$B$14,Paramètres!$A$1:$I$89,3,0)*0.475*44/12</f>
        <v>7.6699394866716766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34.758131159728165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337.99164391755608</v>
      </c>
      <c r="T87" s="59">
        <f t="shared" si="88"/>
        <v>421.45428231923393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7.8677884615384599</v>
      </c>
      <c r="AI87" s="13">
        <f>IF('Données projet'!$A$62&gt;35,AI86+AH87-AQ86,IF(A87&lt;'Données projet'!$A$62,$AF$205^A87,IF(A87='Données projet'!$A$62,'Données projet'!$B$62,AI86+AH87-AQ86)))</f>
        <v>277.67788461538458</v>
      </c>
      <c r="AJ87" s="13">
        <f>AI87*VLOOKUP('Données projet'!$B$10,Paramètres!$A$1:$I$89,3,0)*VLOOKUP('Données projet'!$B$10,Paramètres!$A$1:$I$89,5,0)</f>
        <v>281.56537500000002</v>
      </c>
      <c r="AK87" s="13">
        <f t="shared" si="89"/>
        <v>67.297710204400929</v>
      </c>
      <c r="AL87" s="20">
        <f t="shared" si="58"/>
        <v>607.60320673099829</v>
      </c>
      <c r="AM87" s="59">
        <f t="shared" si="59"/>
        <v>879.8600372555486</v>
      </c>
      <c r="AN87" s="59">
        <f ca="1">AVERAGE(OFFSET($AM$3,0,0,'Données projet'!$E$10+1,1))-AVERAGE(OFFSET($H$3,0,0,'Données projet'!$E$10+1,1))</f>
        <v>596.42822894047072</v>
      </c>
      <c r="AO87" s="59">
        <f t="shared" si="90"/>
        <v>298.31525330951047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40.479301907373063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40.479301907373063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3.6</v>
      </c>
      <c r="BD87" s="12">
        <f>IF('Données projet'!$A$88&gt;35,BD86+BC87-BL86,IF(A87&lt;'Données projet'!$A$88,$BA$205^A87,IF(A87='Données projet'!$A$88,'Données projet'!$B$88,BD86+BC87-BL86)))</f>
        <v>244.4</v>
      </c>
      <c r="BE87" s="13">
        <f>BD87*VLOOKUP('Données projet'!$B$11,Paramètres!$A$1:$I$89,3,0)*VLOOKUP('Données projet'!$B$11,Paramètres!$A$1:$I$89,5,0)</f>
        <v>255.44688000000005</v>
      </c>
      <c r="BF87" s="13">
        <f t="shared" si="91"/>
        <v>61.750841087245945</v>
      </c>
      <c r="BG87" s="20">
        <f t="shared" si="61"/>
        <v>552.45269756028677</v>
      </c>
      <c r="BH87" s="59">
        <f t="shared" si="62"/>
        <v>824.70952808483707</v>
      </c>
      <c r="BI87" s="59">
        <f ca="1">AVERAGE(OFFSET($BH$3,0,0,'Données projet'!$E$11+1,1))-AVERAGE(OFFSET($H$3,0,0,'Données projet'!$E$11+1,1))</f>
        <v>446.06835300781546</v>
      </c>
      <c r="BJ87" s="59">
        <f t="shared" si="92"/>
        <v>396.46809188573138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25.557513963760115</v>
      </c>
      <c r="BQ87" s="21">
        <f>EXP(-LN(2)/25)*BQ86+(1-EXP(-LN(2)/25))/(LN(2)/25)*Calculateur!BL87*Calculateur!BN87*VLOOKUP('Données projet'!$B$11,Paramètres!$A$1:$I$89,3,0)*0.475*44/12</f>
        <v>20.059266631926363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45.616780595686478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11.337499999999999</v>
      </c>
      <c r="BY87" s="12">
        <f>IF('Données projet'!$A$114&gt;35,BY86+BX87-CG86,IF(A87&lt;'Données projet'!$A$114,$BV$205^A87,IF(A87='Données projet'!$A$114,'Données projet'!$B$114,BY86+BX87-CG86)))</f>
        <v>382.23749999999984</v>
      </c>
      <c r="BZ87" s="13">
        <f>BY87*VLOOKUP('Données projet'!$B$12,Paramètres!$A$1:$I$89,3,0)*VLOOKUP('Données projet'!$B$12,Paramètres!$A$1:$I$89,5,0)</f>
        <v>178.88714999999993</v>
      </c>
      <c r="CA87" s="13">
        <f t="shared" si="93"/>
        <v>45.074508251260909</v>
      </c>
      <c r="CB87" s="20">
        <f t="shared" si="64"/>
        <v>390.06655478761263</v>
      </c>
      <c r="CC87" s="59">
        <f t="shared" si="65"/>
        <v>662.32338531216294</v>
      </c>
      <c r="CD87" s="59">
        <f ca="1">AVERAGE(OFFSET($CC$3,0,0,'Données projet'!$E$12+1,1))-AVERAGE(OFFSET($H$3,0,0,'Données projet'!$E$12+1,1))</f>
        <v>307.52821153421951</v>
      </c>
      <c r="CE87" s="59">
        <f t="shared" si="94"/>
        <v>221.23619018904222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71.334657123688174</v>
      </c>
      <c r="CL87" s="21">
        <f>EXP(-LN(2)/25)*CL86+(1-EXP(-LN(2)/25))/(LN(2)/25)*Calculateur!CG87*Calculateur!CI87*VLOOKUP('Données projet'!$B$12,Paramètres!$A$1:$I$89,3,0)*0.475*44/12</f>
        <v>21.557226254368981</v>
      </c>
      <c r="CM87" s="21">
        <f>EXP(-LN(2)/2)*CM86+(1-EXP(-LN(2)/2))/(LN(2)/2)*CG87*CJ87*VLOOKUP('Données projet'!$B$12,Paramètres!$A$1:$I$89,3,0)*0.475*44/12</f>
        <v>4.1318775021401164</v>
      </c>
      <c r="CN87" s="22">
        <f t="shared" si="66"/>
        <v>97.023760880197273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250.98717948717945</v>
      </c>
      <c r="CR87" s="12">
        <f>VLOOKUP(A87,'Données projet'!$A$139:$I$159,9,0)</f>
        <v>6.5339743589743566</v>
      </c>
      <c r="CS87" s="12">
        <f t="array" ref="CS87">INDEX(CR:CR,MIN(IF(ISNUMBER(CR87:CR283),ROW(CR87:CR283),"")))</f>
        <v>6.5339743589743566</v>
      </c>
      <c r="CT87" s="12">
        <f>IF('Données projet'!$A$140&gt;35,CT86+CS87-DB86,IF(A87&lt;'Données projet'!$A$140,$CQ$205^A87,IF(A87='Données projet'!$A$140,'Données projet'!$B$140,CT86+CS87-DB86)))</f>
        <v>250.9871794871795</v>
      </c>
      <c r="CU87" s="17">
        <f>CT87*VLOOKUP('Données projet'!$B$13,Paramètres!$A$1:$I$89,3,0)*VLOOKUP('Données projet'!$B$13,Paramètres!$A$1:$I$89,5,0)</f>
        <v>285.82420000000002</v>
      </c>
      <c r="CV87" s="13">
        <f t="shared" si="95"/>
        <v>68.196351141842058</v>
      </c>
      <c r="CW87" s="20">
        <f t="shared" si="67"/>
        <v>616.58579323870833</v>
      </c>
      <c r="CX87" s="59">
        <f t="shared" si="68"/>
        <v>888.84262376325864</v>
      </c>
      <c r="CY87" s="59">
        <f ca="1">AVERAGE(OFFSET($CX$3,0,0,'Données projet'!$E$13+1,1))-AVERAGE(OFFSET($H$3,0,0,'Données projet'!$E$13+1,1))</f>
        <v>598.12133208901378</v>
      </c>
      <c r="CZ87" s="59">
        <f t="shared" si="96"/>
        <v>246.23353541360947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47.256410256410255</v>
      </c>
      <c r="DC87" s="16">
        <f>IF(ISNA(VLOOKUP(A87,'Données projet'!$A$139:$I$159,5,0)),0%,VLOOKUP(A87,'Données projet'!$A$139:$I$159,5,0)*VLOOKUP('Données projet'!$B$13,Paramètres!$A$1:$I$89,7,0))</f>
        <v>0.30099999999999999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17.906957078794822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17.906957078794822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266.99999999999983</v>
      </c>
      <c r="DP87" s="17">
        <f>DO87*VLOOKUP('Données projet'!$B$14,Paramètres!$A$1:$I$89,3,0)*VLOOKUP('Données projet'!$B$14,Paramètres!$A$1:$I$89,5,0)</f>
        <v>212.42519999999985</v>
      </c>
      <c r="DQ87" s="13">
        <f t="shared" si="97"/>
        <v>52.465198231787184</v>
      </c>
      <c r="DR87" s="20">
        <f t="shared" si="70"/>
        <v>461.35077692036231</v>
      </c>
      <c r="DS87" s="59">
        <f t="shared" si="71"/>
        <v>733.60760744491267</v>
      </c>
      <c r="DT87" s="59">
        <f ca="1">AVERAGE(OFFSET($DS$3,0,0,'Données projet'!$E$14+1,1))-AVERAGE(OFFSET($H$3,0,0,'Données projet'!$E$14+1,1))</f>
        <v>323.01113210765487</v>
      </c>
      <c r="DU87" s="59">
        <f t="shared" si="98"/>
        <v>311.68541696405975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26.557008756513344</v>
      </c>
      <c r="EB87" s="21">
        <f>EXP(-LN(2)/25)*EB86+(1-EXP(-LN(2)/25))/(LN(2)/25)*Calculateur!DW87*Calculateur!DY87*VLOOKUP('Données projet'!$B$14,Paramètres!$A$1:$I$89,3,0)*0.475*44/12</f>
        <v>7.4602045880640517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34.017213344577399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337.99164391755608</v>
      </c>
      <c r="T88" s="59">
        <f t="shared" si="88"/>
        <v>421.45428231923393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7.8677884615384599</v>
      </c>
      <c r="AI88" s="13">
        <f>IF('Données projet'!$A$62&gt;35,AI87+AH88-AQ87,IF(A88&lt;'Données projet'!$A$62,$AF$205^A88,IF(A88='Données projet'!$A$62,'Données projet'!$B$62,AI87+AH88-AQ87)))</f>
        <v>285.54567307692304</v>
      </c>
      <c r="AJ88" s="13">
        <f>AI88*VLOOKUP('Données projet'!$B$10,Paramètres!$A$1:$I$89,3,0)*VLOOKUP('Données projet'!$B$10,Paramètres!$A$1:$I$89,5,0)</f>
        <v>289.54331249999996</v>
      </c>
      <c r="AK88" s="13">
        <f t="shared" si="89"/>
        <v>68.979834425855088</v>
      </c>
      <c r="AL88" s="20">
        <f t="shared" si="58"/>
        <v>624.42781422919745</v>
      </c>
      <c r="AM88" s="59">
        <f t="shared" si="59"/>
        <v>897.0502749574789</v>
      </c>
      <c r="AN88" s="59">
        <f ca="1">AVERAGE(OFFSET($AM$3,0,0,'Données projet'!$E$10+1,1))-AVERAGE(OFFSET($H$3,0,0,'Données projet'!$E$10+1,1))</f>
        <v>596.42822894047072</v>
      </c>
      <c r="AO88" s="59">
        <f t="shared" si="90"/>
        <v>298.31525330951047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39.685527486905713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39.685527486905713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248</v>
      </c>
      <c r="BB88" s="12">
        <f>VLOOKUP(A88,'Données projet'!$A$87:$I$107,9,0)</f>
        <v>3.6</v>
      </c>
      <c r="BC88" s="12">
        <f t="array" ref="BC88">INDEX(BB:BB,MIN(IF(ISNUMBER(BB88:BB284),ROW(BB88:BB284),"")))</f>
        <v>3.6</v>
      </c>
      <c r="BD88" s="12">
        <f>IF('Données projet'!$A$88&gt;35,BD87+BC88-BL87,IF(A88&lt;'Données projet'!$A$88,$BA$205^A88,IF(A88='Données projet'!$A$88,'Données projet'!$B$88,BD87+BC88-BL87)))</f>
        <v>248</v>
      </c>
      <c r="BE88" s="13">
        <f>BD88*VLOOKUP('Données projet'!$B$11,Paramètres!$A$1:$I$89,3,0)*VLOOKUP('Données projet'!$B$11,Paramètres!$A$1:$I$89,5,0)</f>
        <v>259.20960000000002</v>
      </c>
      <c r="BF88" s="13">
        <f t="shared" si="91"/>
        <v>62.553866774106702</v>
      </c>
      <c r="BG88" s="20">
        <f t="shared" si="61"/>
        <v>560.40470463156919</v>
      </c>
      <c r="BH88" s="59">
        <f t="shared" si="62"/>
        <v>833.02716535985064</v>
      </c>
      <c r="BI88" s="59">
        <f ca="1">AVERAGE(OFFSET($BH$3,0,0,'Données projet'!$E$11+1,1))-AVERAGE(OFFSET($H$3,0,0,'Données projet'!$E$11+1,1))</f>
        <v>446.06835300781546</v>
      </c>
      <c r="BJ88" s="59">
        <f t="shared" si="92"/>
        <v>396.46809188573138</v>
      </c>
      <c r="BK88" s="15">
        <f>IF(ISNA(VLOOKUP(A88,'Données projet'!$A$87:$I$107,3,0)),0,VLOOKUP(A88,'Données projet'!$A$87:$I$107,3,0))</f>
        <v>14</v>
      </c>
      <c r="BL88" s="15" t="str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0.25800000000000001</v>
      </c>
      <c r="BN88" s="16">
        <f>IF(ISNA(VLOOKUP(A88,'Données projet'!$A$87:$I$107,6,0)),0%,VLOOKUP(A88,'Données projet'!$A$87:$I$107,6,0)*VLOOKUP('Données projet'!$B$11,Paramètres!$A$1:$I$89,7,0))</f>
        <v>0.129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29.229787461639532</v>
      </c>
      <c r="BQ88" s="21">
        <f>EXP(-LN(2)/25)*BQ87+(1-EXP(-LN(2)/25))/(LN(2)/25)*Calculateur!BL88*Calculateur!BN88*VLOOKUP('Données projet'!$B$11,Paramètres!$A$1:$I$89,3,0)*0.475*44/12</f>
        <v>21.589249096852345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50.819036558491874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11.337499999999999</v>
      </c>
      <c r="BY88" s="12">
        <f>IF('Données projet'!$A$114&gt;35,BY87+BX88-CG87,IF(A88&lt;'Données projet'!$A$114,$BV$205^A88,IF(A88='Données projet'!$A$114,'Données projet'!$B$114,BY87+BX88-CG87)))</f>
        <v>393.57499999999982</v>
      </c>
      <c r="BZ88" s="13">
        <f>BY88*VLOOKUP('Données projet'!$B$12,Paramètres!$A$1:$I$89,3,0)*VLOOKUP('Données projet'!$B$12,Paramètres!$A$1:$I$89,5,0)</f>
        <v>184.1930999999999</v>
      </c>
      <c r="CA88" s="13">
        <f t="shared" si="93"/>
        <v>46.253819714307966</v>
      </c>
      <c r="CB88" s="20">
        <f t="shared" si="64"/>
        <v>401.36171850241954</v>
      </c>
      <c r="CC88" s="59">
        <f t="shared" si="65"/>
        <v>673.9841792307011</v>
      </c>
      <c r="CD88" s="59">
        <f ca="1">AVERAGE(OFFSET($CC$3,0,0,'Données projet'!$E$12+1,1))-AVERAGE(OFFSET($H$3,0,0,'Données projet'!$E$12+1,1))</f>
        <v>307.52821153421951</v>
      </c>
      <c r="CE88" s="59">
        <f t="shared" si="94"/>
        <v>221.23619018904222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69.93582800733725</v>
      </c>
      <c r="CL88" s="21">
        <f>EXP(-LN(2)/25)*CL87+(1-EXP(-LN(2)/25))/(LN(2)/25)*Calculateur!CG88*Calculateur!CI88*VLOOKUP('Données projet'!$B$12,Paramètres!$A$1:$I$89,3,0)*0.475*44/12</f>
        <v>20.967742768798001</v>
      </c>
      <c r="CM88" s="21">
        <f>EXP(-LN(2)/2)*CM87+(1-EXP(-LN(2)/2))/(LN(2)/2)*CG88*CJ88*VLOOKUP('Données projet'!$B$12,Paramètres!$A$1:$I$89,3,0)*0.475*44/12</f>
        <v>2.9216786007954099</v>
      </c>
      <c r="CN88" s="22">
        <f t="shared" si="66"/>
        <v>93.825249376930657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6.2512820512820522</v>
      </c>
      <c r="CT88" s="12">
        <f>IF('Données projet'!$A$140&gt;35,CT87+CS88-DB87,IF(A88&lt;'Données projet'!$A$140,$CQ$205^A88,IF(A88='Données projet'!$A$140,'Données projet'!$B$140,CT87+CS88-DB87)))</f>
        <v>209.98205128205129</v>
      </c>
      <c r="CU88" s="17">
        <f>CT88*VLOOKUP('Données projet'!$B$13,Paramètres!$A$1:$I$89,3,0)*VLOOKUP('Données projet'!$B$13,Paramètres!$A$1:$I$89,5,0)</f>
        <v>239.12755999999999</v>
      </c>
      <c r="CV88" s="13">
        <f t="shared" si="95"/>
        <v>58.251780999265982</v>
      </c>
      <c r="CW88" s="20">
        <f t="shared" si="67"/>
        <v>517.93568557372157</v>
      </c>
      <c r="CX88" s="59">
        <f t="shared" si="68"/>
        <v>790.55814630200302</v>
      </c>
      <c r="CY88" s="59">
        <f ca="1">AVERAGE(OFFSET($CX$3,0,0,'Données projet'!$E$13+1,1))-AVERAGE(OFFSET($H$3,0,0,'Données projet'!$E$13+1,1))</f>
        <v>598.12133208901378</v>
      </c>
      <c r="CZ88" s="59">
        <f t="shared" si="96"/>
        <v>246.23353541360947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17.555812572644999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17.555812572644999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266.99999999999983</v>
      </c>
      <c r="DP88" s="17">
        <f>DO88*VLOOKUP('Données projet'!$B$14,Paramètres!$A$1:$I$89,3,0)*VLOOKUP('Données projet'!$B$14,Paramètres!$A$1:$I$89,5,0)</f>
        <v>212.42519999999985</v>
      </c>
      <c r="DQ88" s="13">
        <f t="shared" si="97"/>
        <v>52.465198231787184</v>
      </c>
      <c r="DR88" s="20">
        <f t="shared" si="70"/>
        <v>461.35077692036231</v>
      </c>
      <c r="DS88" s="59">
        <f t="shared" si="71"/>
        <v>733.97323764864382</v>
      </c>
      <c r="DT88" s="59">
        <f ca="1">AVERAGE(OFFSET($DS$3,0,0,'Données projet'!$E$14+1,1))-AVERAGE(OFFSET($H$3,0,0,'Données projet'!$E$14+1,1))</f>
        <v>323.01113210765487</v>
      </c>
      <c r="DU88" s="59">
        <f t="shared" si="98"/>
        <v>311.68541696405975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26.036242012974022</v>
      </c>
      <c r="EB88" s="21">
        <f>EXP(-LN(2)/25)*EB87+(1-EXP(-LN(2)/25))/(LN(2)/25)*Calculateur!DW88*Calculateur!DY88*VLOOKUP('Données projet'!$B$14,Paramètres!$A$1:$I$89,3,0)*0.475*44/12</f>
        <v>7.2562049012883314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33.292446914262356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337.99164391755608</v>
      </c>
      <c r="T89" s="59">
        <f t="shared" si="88"/>
        <v>421.45428231923393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7.8677884615384599</v>
      </c>
      <c r="AI89" s="13">
        <f>IF('Données projet'!$A$62&gt;35,AI88+AH89-AQ88,IF(A89&lt;'Données projet'!$A$62,$AF$205^A89,IF(A89='Données projet'!$A$62,'Données projet'!$B$62,AI88+AH89-AQ88)))</f>
        <v>293.41346153846149</v>
      </c>
      <c r="AJ89" s="13">
        <f>AI89*VLOOKUP('Données projet'!$B$10,Paramètres!$A$1:$I$89,3,0)*VLOOKUP('Données projet'!$B$10,Paramètres!$A$1:$I$89,5,0)</f>
        <v>297.52124999999995</v>
      </c>
      <c r="AK89" s="13">
        <f t="shared" si="89"/>
        <v>70.656571610377782</v>
      </c>
      <c r="AL89" s="20">
        <f t="shared" si="58"/>
        <v>641.24303930474116</v>
      </c>
      <c r="AM89" s="59">
        <f t="shared" si="59"/>
        <v>914.2247873701458</v>
      </c>
      <c r="AN89" s="59">
        <f ca="1">AVERAGE(OFFSET($AM$3,0,0,'Données projet'!$E$10+1,1))-AVERAGE(OFFSET($H$3,0,0,'Données projet'!$E$10+1,1))</f>
        <v>596.42822894047072</v>
      </c>
      <c r="AO89" s="59">
        <f t="shared" si="90"/>
        <v>298.31525330951047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38.907318498669134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38.907318498669134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</v>
      </c>
      <c r="BD89" s="12">
        <f>IF('Données projet'!$A$88&gt;35,BD88+BC89-BL88,IF(A89&lt;'Données projet'!$A$88,$BA$205^A89,IF(A89='Données projet'!$A$88,'Données projet'!$B$88,BD88+BC89-BL88)))</f>
        <v>237</v>
      </c>
      <c r="BE89" s="13">
        <f>BD89*VLOOKUP('Données projet'!$B$11,Paramètres!$A$1:$I$89,3,0)*VLOOKUP('Données projet'!$B$11,Paramètres!$A$1:$I$89,5,0)</f>
        <v>247.71240000000003</v>
      </c>
      <c r="BF89" s="13">
        <f t="shared" si="91"/>
        <v>60.095823975624157</v>
      </c>
      <c r="BG89" s="20">
        <f t="shared" si="61"/>
        <v>536.099323424212</v>
      </c>
      <c r="BH89" s="59">
        <f t="shared" si="62"/>
        <v>809.08107148961676</v>
      </c>
      <c r="BI89" s="59">
        <f ca="1">AVERAGE(OFFSET($BH$3,0,0,'Données projet'!$E$11+1,1))-AVERAGE(OFFSET($H$3,0,0,'Données projet'!$E$11+1,1))</f>
        <v>446.06835300781546</v>
      </c>
      <c r="BJ89" s="59">
        <f t="shared" si="92"/>
        <v>396.46809188573138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28.656609157926724</v>
      </c>
      <c r="BQ89" s="21">
        <f>EXP(-LN(2)/25)*BQ88+(1-EXP(-LN(2)/25))/(LN(2)/25)*Calculateur!BL89*Calculateur!BN89*VLOOKUP('Données projet'!$B$11,Paramètres!$A$1:$I$89,3,0)*0.475*44/12</f>
        <v>20.998889944969651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49.655499102896371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11.337499999999999</v>
      </c>
      <c r="BY89" s="12">
        <f>IF('Données projet'!$A$114&gt;35,BY88+BX89-CG88,IF(A89&lt;'Données projet'!$A$114,$BV$205^A89,IF(A89='Données projet'!$A$114,'Données projet'!$B$114,BY88+BX89-CG88)))</f>
        <v>404.9124999999998</v>
      </c>
      <c r="BZ89" s="13">
        <f>BY89*VLOOKUP('Données projet'!$B$12,Paramètres!$A$1:$I$89,3,0)*VLOOKUP('Données projet'!$B$12,Paramètres!$A$1:$I$89,5,0)</f>
        <v>189.49904999999993</v>
      </c>
      <c r="CA89" s="13">
        <f t="shared" si="93"/>
        <v>47.429182907210233</v>
      </c>
      <c r="CB89" s="20">
        <f t="shared" si="64"/>
        <v>412.65000564672431</v>
      </c>
      <c r="CC89" s="59">
        <f t="shared" si="65"/>
        <v>685.63175371212901</v>
      </c>
      <c r="CD89" s="59">
        <f ca="1">AVERAGE(OFFSET($CC$3,0,0,'Données projet'!$E$12+1,1))-AVERAGE(OFFSET($H$3,0,0,'Données projet'!$E$12+1,1))</f>
        <v>307.52821153421951</v>
      </c>
      <c r="CE89" s="59">
        <f t="shared" si="94"/>
        <v>221.23619018904222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68.564429076756454</v>
      </c>
      <c r="CL89" s="21">
        <f>EXP(-LN(2)/25)*CL88+(1-EXP(-LN(2)/25))/(LN(2)/25)*Calculateur!CG89*Calculateur!CI89*VLOOKUP('Données projet'!$B$12,Paramètres!$A$1:$I$89,3,0)*0.475*44/12</f>
        <v>20.394378740139551</v>
      </c>
      <c r="CM89" s="21">
        <f>EXP(-LN(2)/2)*CM88+(1-EXP(-LN(2)/2))/(LN(2)/2)*CG89*CJ89*VLOOKUP('Données projet'!$B$12,Paramètres!$A$1:$I$89,3,0)*0.475*44/12</f>
        <v>2.0659387510700582</v>
      </c>
      <c r="CN89" s="22">
        <f t="shared" si="66"/>
        <v>91.024746567966076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6.2512820512820522</v>
      </c>
      <c r="CT89" s="12">
        <f>IF('Données projet'!$A$140&gt;35,CT88+CS89-DB88,IF(A89&lt;'Données projet'!$A$140,$CQ$205^A89,IF(A89='Données projet'!$A$140,'Données projet'!$B$140,CT88+CS89-DB88)))</f>
        <v>216.23333333333335</v>
      </c>
      <c r="CU89" s="17">
        <f>CT89*VLOOKUP('Données projet'!$B$13,Paramètres!$A$1:$I$89,3,0)*VLOOKUP('Données projet'!$B$13,Paramètres!$A$1:$I$89,5,0)</f>
        <v>246.24652</v>
      </c>
      <c r="CV89" s="13">
        <f t="shared" si="95"/>
        <v>59.781483321180389</v>
      </c>
      <c r="CW89" s="20">
        <f t="shared" si="67"/>
        <v>532.99877245105586</v>
      </c>
      <c r="CX89" s="59">
        <f t="shared" si="68"/>
        <v>805.9805205164605</v>
      </c>
      <c r="CY89" s="59">
        <f ca="1">AVERAGE(OFFSET($CX$3,0,0,'Données projet'!$E$13+1,1))-AVERAGE(OFFSET($H$3,0,0,'Données projet'!$E$13+1,1))</f>
        <v>598.12133208901378</v>
      </c>
      <c r="CZ89" s="59">
        <f t="shared" si="96"/>
        <v>246.23353541360947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17.211553796083773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17.211553796083773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266.99999999999983</v>
      </c>
      <c r="DP89" s="17">
        <f>DO89*VLOOKUP('Données projet'!$B$14,Paramètres!$A$1:$I$89,3,0)*VLOOKUP('Données projet'!$B$14,Paramètres!$A$1:$I$89,5,0)</f>
        <v>212.42519999999985</v>
      </c>
      <c r="DQ89" s="13">
        <f t="shared" si="97"/>
        <v>52.465198231787184</v>
      </c>
      <c r="DR89" s="20">
        <f t="shared" si="70"/>
        <v>461.35077692036231</v>
      </c>
      <c r="DS89" s="59">
        <f t="shared" si="71"/>
        <v>734.33252498576701</v>
      </c>
      <c r="DT89" s="59">
        <f ca="1">AVERAGE(OFFSET($DS$3,0,0,'Données projet'!$E$14+1,1))-AVERAGE(OFFSET($H$3,0,0,'Données projet'!$E$14+1,1))</f>
        <v>323.01113210765487</v>
      </c>
      <c r="DU89" s="59">
        <f t="shared" si="98"/>
        <v>311.68541696405975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25.525687187639157</v>
      </c>
      <c r="EB89" s="21">
        <f>EXP(-LN(2)/25)*EB88+(1-EXP(-LN(2)/25))/(LN(2)/25)*Calculateur!DW89*Calculateur!DY89*VLOOKUP('Données projet'!$B$14,Paramètres!$A$1:$I$89,3,0)*0.475*44/12</f>
        <v>7.0577835966753701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32.583470784314528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337.99164391755608</v>
      </c>
      <c r="T90" s="59">
        <f t="shared" si="88"/>
        <v>421.45428231923393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7.8677884615384599</v>
      </c>
      <c r="AI90" s="13">
        <f>IF('Données projet'!$A$62&gt;35,AI89+AH90-AQ89,IF(A90&lt;'Données projet'!$A$62,$AF$205^A90,IF(A90='Données projet'!$A$62,'Données projet'!$B$62,AI89+AH90-AQ89)))</f>
        <v>301.28124999999994</v>
      </c>
      <c r="AJ90" s="13">
        <f>AI90*VLOOKUP('Données projet'!$B$10,Paramètres!$A$1:$I$89,3,0)*VLOOKUP('Données projet'!$B$10,Paramètres!$A$1:$I$89,5,0)</f>
        <v>305.49918749999995</v>
      </c>
      <c r="AK90" s="13">
        <f t="shared" si="89"/>
        <v>72.32808281148931</v>
      </c>
      <c r="AL90" s="20">
        <f t="shared" si="58"/>
        <v>658.04916245917707</v>
      </c>
      <c r="AM90" s="59">
        <f t="shared" si="59"/>
        <v>931.3839650296519</v>
      </c>
      <c r="AN90" s="59">
        <f ca="1">AVERAGE(OFFSET($AM$3,0,0,'Données projet'!$E$10+1,1))-AVERAGE(OFFSET($H$3,0,0,'Données projet'!$E$10+1,1))</f>
        <v>596.42822894047072</v>
      </c>
      <c r="AO90" s="59">
        <f t="shared" si="90"/>
        <v>298.31525330951047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38.144369714031264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38.144369714031264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</v>
      </c>
      <c r="BD90" s="12">
        <f>IF('Données projet'!$A$88&gt;35,BD89+BC90-BL89,IF(A90&lt;'Données projet'!$A$88,$BA$205^A90,IF(A90='Données projet'!$A$88,'Données projet'!$B$88,BD89+BC90-BL89)))</f>
        <v>240</v>
      </c>
      <c r="BE90" s="13">
        <f>BD90*VLOOKUP('Données projet'!$B$11,Paramètres!$A$1:$I$89,3,0)*VLOOKUP('Données projet'!$B$11,Paramètres!$A$1:$I$89,5,0)</f>
        <v>250.84800000000001</v>
      </c>
      <c r="BF90" s="13">
        <f t="shared" si="91"/>
        <v>60.767491486783541</v>
      </c>
      <c r="BG90" s="20">
        <f t="shared" si="61"/>
        <v>542.7303143394812</v>
      </c>
      <c r="BH90" s="59">
        <f t="shared" si="62"/>
        <v>816.06511690995603</v>
      </c>
      <c r="BI90" s="59">
        <f ca="1">AVERAGE(OFFSET($BH$3,0,0,'Données projet'!$E$11+1,1))-AVERAGE(OFFSET($H$3,0,0,'Données projet'!$E$11+1,1))</f>
        <v>446.06835300781546</v>
      </c>
      <c r="BJ90" s="59">
        <f t="shared" si="92"/>
        <v>396.46809188573138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28.094670531145479</v>
      </c>
      <c r="BQ90" s="21">
        <f>EXP(-LN(2)/25)*BQ89+(1-EXP(-LN(2)/25))/(LN(2)/25)*Calculateur!BL90*Calculateur!BN90*VLOOKUP('Données projet'!$B$11,Paramètres!$A$1:$I$89,3,0)*0.475*44/12</f>
        <v>20.424674195140827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48.519344726286306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11.337499999999999</v>
      </c>
      <c r="BY90" s="12">
        <f>IF('Données projet'!$A$114&gt;35,BY89+BX90-CG89,IF(A90&lt;'Données projet'!$A$114,$BV$205^A90,IF(A90='Données projet'!$A$114,'Données projet'!$B$114,BY89+BX90-CG89)))</f>
        <v>416.24999999999977</v>
      </c>
      <c r="BZ90" s="13">
        <f>BY90*VLOOKUP('Données projet'!$B$12,Paramètres!$A$1:$I$89,3,0)*VLOOKUP('Données projet'!$B$12,Paramètres!$A$1:$I$89,5,0)</f>
        <v>194.80499999999989</v>
      </c>
      <c r="CA90" s="13">
        <f t="shared" si="93"/>
        <v>48.600721080911498</v>
      </c>
      <c r="CB90" s="20">
        <f t="shared" si="64"/>
        <v>423.93163088258734</v>
      </c>
      <c r="CC90" s="59">
        <f t="shared" si="65"/>
        <v>697.26643345306218</v>
      </c>
      <c r="CD90" s="59">
        <f ca="1">AVERAGE(OFFSET($CC$3,0,0,'Données projet'!$E$12+1,1))-AVERAGE(OFFSET($H$3,0,0,'Données projet'!$E$12+1,1))</f>
        <v>307.52821153421951</v>
      </c>
      <c r="CE90" s="59">
        <f t="shared" si="94"/>
        <v>221.23619018904222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67.219922442733605</v>
      </c>
      <c r="CL90" s="21">
        <f>EXP(-LN(2)/25)*CL89+(1-EXP(-LN(2)/25))/(LN(2)/25)*Calculateur!CG90*Calculateur!CI90*VLOOKUP('Données projet'!$B$12,Paramètres!$A$1:$I$89,3,0)*0.475*44/12</f>
        <v>19.836693380996667</v>
      </c>
      <c r="CM90" s="21">
        <f>EXP(-LN(2)/2)*CM89+(1-EXP(-LN(2)/2))/(LN(2)/2)*CG90*CJ90*VLOOKUP('Données projet'!$B$12,Paramètres!$A$1:$I$89,3,0)*0.475*44/12</f>
        <v>1.4608393003977049</v>
      </c>
      <c r="CN90" s="22">
        <f t="shared" si="66"/>
        <v>88.517455124127977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6.2512820512820522</v>
      </c>
      <c r="CT90" s="12">
        <f>IF('Données projet'!$A$140&gt;35,CT89+CS90-DB89,IF(A90&lt;'Données projet'!$A$140,$CQ$205^A90,IF(A90='Données projet'!$A$140,'Données projet'!$B$140,CT89+CS90-DB89)))</f>
        <v>222.48461538461541</v>
      </c>
      <c r="CU90" s="17">
        <f>CT90*VLOOKUP('Données projet'!$B$13,Paramètres!$A$1:$I$89,3,0)*VLOOKUP('Données projet'!$B$13,Paramètres!$A$1:$I$89,5,0)</f>
        <v>253.36548000000005</v>
      </c>
      <c r="CV90" s="13">
        <f t="shared" si="95"/>
        <v>61.306045919496825</v>
      </c>
      <c r="CW90" s="20">
        <f t="shared" si="67"/>
        <v>548.0529076431236</v>
      </c>
      <c r="CX90" s="59">
        <f t="shared" si="68"/>
        <v>821.38771021359844</v>
      </c>
      <c r="CY90" s="59">
        <f ca="1">AVERAGE(OFFSET($CX$3,0,0,'Données projet'!$E$13+1,1))-AVERAGE(OFFSET($H$3,0,0,'Données projet'!$E$13+1,1))</f>
        <v>598.12133208901378</v>
      </c>
      <c r="CZ90" s="59">
        <f t="shared" si="96"/>
        <v>246.23353541360947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16.874045724153795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16.874045724153795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266.99999999999983</v>
      </c>
      <c r="DP90" s="17">
        <f>DO90*VLOOKUP('Données projet'!$B$14,Paramètres!$A$1:$I$89,3,0)*VLOOKUP('Données projet'!$B$14,Paramètres!$A$1:$I$89,5,0)</f>
        <v>212.42519999999985</v>
      </c>
      <c r="DQ90" s="13">
        <f t="shared" si="97"/>
        <v>52.465198231787184</v>
      </c>
      <c r="DR90" s="20">
        <f t="shared" si="70"/>
        <v>461.35077692036231</v>
      </c>
      <c r="DS90" s="59">
        <f t="shared" si="71"/>
        <v>734.6855794908372</v>
      </c>
      <c r="DT90" s="59">
        <f ca="1">AVERAGE(OFFSET($DS$3,0,0,'Données projet'!$E$14+1,1))-AVERAGE(OFFSET($H$3,0,0,'Données projet'!$E$14+1,1))</f>
        <v>323.01113210765487</v>
      </c>
      <c r="DU90" s="59">
        <f t="shared" si="98"/>
        <v>311.68541696405975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25.025144031021412</v>
      </c>
      <c r="EB90" s="21">
        <f>EXP(-LN(2)/25)*EB89+(1-EXP(-LN(2)/25))/(LN(2)/25)*Calculateur!DW90*Calculateur!DY90*VLOOKUP('Données projet'!$B$14,Paramètres!$A$1:$I$89,3,0)*0.475*44/12</f>
        <v>6.8647881330715732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31.889932164092986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337.99164391755608</v>
      </c>
      <c r="T91" s="59">
        <f t="shared" si="88"/>
        <v>421.45428231923393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7.8677884615384599</v>
      </c>
      <c r="AI91" s="13">
        <f>IF('Données projet'!$A$62&gt;35,AI90+AH91-AQ90,IF(A91&lt;'Données projet'!$A$62,$AF$205^A91,IF(A91='Données projet'!$A$62,'Données projet'!$B$62,AI90+AH91-AQ90)))</f>
        <v>309.1490384615384</v>
      </c>
      <c r="AJ91" s="13">
        <f>AI91*VLOOKUP('Données projet'!$B$10,Paramètres!$A$1:$I$89,3,0)*VLOOKUP('Données projet'!$B$10,Paramètres!$A$1:$I$89,5,0)</f>
        <v>313.477125</v>
      </c>
      <c r="AK91" s="13">
        <f t="shared" si="89"/>
        <v>73.994520191975397</v>
      </c>
      <c r="AL91" s="20">
        <f t="shared" si="58"/>
        <v>674.84644870935722</v>
      </c>
      <c r="AM91" s="59">
        <f t="shared" si="59"/>
        <v>948.52818107855092</v>
      </c>
      <c r="AN91" s="59">
        <f ca="1">AVERAGE(OFFSET($AM$3,0,0,'Données projet'!$E$10+1,1))-AVERAGE(OFFSET($H$3,0,0,'Données projet'!$E$10+1,1))</f>
        <v>596.42822894047072</v>
      </c>
      <c r="AO91" s="59">
        <f t="shared" si="90"/>
        <v>298.31525330951047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37.396381889707335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37.396381889707335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</v>
      </c>
      <c r="BD91" s="12">
        <f>IF('Données projet'!$A$88&gt;35,BD90+BC91-BL90,IF(A91&lt;'Données projet'!$A$88,$BA$205^A91,IF(A91='Données projet'!$A$88,'Données projet'!$B$88,BD90+BC91-BL90)))</f>
        <v>243</v>
      </c>
      <c r="BE91" s="13">
        <f>BD91*VLOOKUP('Données projet'!$B$11,Paramètres!$A$1:$I$89,3,0)*VLOOKUP('Données projet'!$B$11,Paramètres!$A$1:$I$89,5,0)</f>
        <v>253.98360000000002</v>
      </c>
      <c r="BF91" s="13">
        <f t="shared" si="91"/>
        <v>61.438182405444294</v>
      </c>
      <c r="BG91" s="20">
        <f t="shared" si="61"/>
        <v>549.35960435614891</v>
      </c>
      <c r="BH91" s="59">
        <f t="shared" si="62"/>
        <v>823.0413367253426</v>
      </c>
      <c r="BI91" s="59">
        <f ca="1">AVERAGE(OFFSET($BH$3,0,0,'Données projet'!$E$11+1,1))-AVERAGE(OFFSET($H$3,0,0,'Données projet'!$E$11+1,1))</f>
        <v>446.06835300781546</v>
      </c>
      <c r="BJ91" s="59">
        <f t="shared" si="92"/>
        <v>396.46809188573138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27.543751178086694</v>
      </c>
      <c r="BQ91" s="21">
        <f>EXP(-LN(2)/25)*BQ90+(1-EXP(-LN(2)/25))/(LN(2)/25)*Calculateur!BL91*Calculateur!BN91*VLOOKUP('Données projet'!$B$11,Paramètres!$A$1:$I$89,3,0)*0.475*44/12</f>
        <v>19.866160405187767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47.409911583274464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11.337499999999999</v>
      </c>
      <c r="BY91" s="12">
        <f>IF('Données projet'!$A$114&gt;35,BY90+BX91-CG90,IF(A91&lt;'Données projet'!$A$114,$BV$205^A91,IF(A91='Données projet'!$A$114,'Données projet'!$B$114,BY90+BX91-CG90)))</f>
        <v>427.58749999999975</v>
      </c>
      <c r="BZ91" s="13">
        <f>BY91*VLOOKUP('Données projet'!$B$12,Paramètres!$A$1:$I$89,3,0)*VLOOKUP('Données projet'!$B$12,Paramètres!$A$1:$I$89,5,0)</f>
        <v>200.11094999999989</v>
      </c>
      <c r="CA91" s="13">
        <f t="shared" si="93"/>
        <v>49.768550390168073</v>
      </c>
      <c r="CB91" s="20">
        <f t="shared" si="64"/>
        <v>435.20679651287583</v>
      </c>
      <c r="CC91" s="59">
        <f t="shared" si="65"/>
        <v>708.88852888206952</v>
      </c>
      <c r="CD91" s="59">
        <f ca="1">AVERAGE(OFFSET($CC$3,0,0,'Données projet'!$E$12+1,1))-AVERAGE(OFFSET($H$3,0,0,'Données projet'!$E$12+1,1))</f>
        <v>307.52821153421951</v>
      </c>
      <c r="CE91" s="59">
        <f t="shared" si="94"/>
        <v>221.23619018904222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65.901780763735871</v>
      </c>
      <c r="CL91" s="21">
        <f>EXP(-LN(2)/25)*CL90+(1-EXP(-LN(2)/25))/(LN(2)/25)*Calculateur!CG91*Calculateur!CI91*VLOOKUP('Données projet'!$B$12,Paramètres!$A$1:$I$89,3,0)*0.475*44/12</f>
        <v>19.294257957326945</v>
      </c>
      <c r="CM91" s="21">
        <f>EXP(-LN(2)/2)*CM90+(1-EXP(-LN(2)/2))/(LN(2)/2)*CG91*CJ91*VLOOKUP('Données projet'!$B$12,Paramètres!$A$1:$I$89,3,0)*0.475*44/12</f>
        <v>1.0329693755350291</v>
      </c>
      <c r="CN91" s="22">
        <f t="shared" si="66"/>
        <v>86.229008096597852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6.2512820512820522</v>
      </c>
      <c r="CT91" s="12">
        <f>IF('Données projet'!$A$140&gt;35,CT90+CS91-DB90,IF(A91&lt;'Données projet'!$A$140,$CQ$205^A91,IF(A91='Données projet'!$A$140,'Données projet'!$B$140,CT90+CS91-DB90)))</f>
        <v>228.73589743589747</v>
      </c>
      <c r="CU91" s="17">
        <f>CT91*VLOOKUP('Données projet'!$B$13,Paramètres!$A$1:$I$89,3,0)*VLOOKUP('Données projet'!$B$13,Paramètres!$A$1:$I$89,5,0)</f>
        <v>260.48444000000006</v>
      </c>
      <c r="CV91" s="13">
        <f t="shared" si="95"/>
        <v>62.825629797409299</v>
      </c>
      <c r="CW91" s="20">
        <f t="shared" si="67"/>
        <v>563.09837156382127</v>
      </c>
      <c r="CX91" s="59">
        <f t="shared" si="68"/>
        <v>836.78010393301497</v>
      </c>
      <c r="CY91" s="59">
        <f ca="1">AVERAGE(OFFSET($CX$3,0,0,'Données projet'!$E$13+1,1))-AVERAGE(OFFSET($H$3,0,0,'Données projet'!$E$13+1,1))</f>
        <v>598.12133208901378</v>
      </c>
      <c r="CZ91" s="59">
        <f t="shared" si="96"/>
        <v>246.23353541360947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16.543155979654767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16.543155979654767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266.99999999999983</v>
      </c>
      <c r="DP91" s="17">
        <f>DO91*VLOOKUP('Données projet'!$B$14,Paramètres!$A$1:$I$89,3,0)*VLOOKUP('Données projet'!$B$14,Paramètres!$A$1:$I$89,5,0)</f>
        <v>212.42519999999985</v>
      </c>
      <c r="DQ91" s="13">
        <f t="shared" si="97"/>
        <v>52.465198231787184</v>
      </c>
      <c r="DR91" s="20">
        <f t="shared" si="70"/>
        <v>461.35077692036231</v>
      </c>
      <c r="DS91" s="59">
        <f t="shared" si="71"/>
        <v>735.03250928955595</v>
      </c>
      <c r="DT91" s="59">
        <f ca="1">AVERAGE(OFFSET($DS$3,0,0,'Données projet'!$E$14+1,1))-AVERAGE(OFFSET($H$3,0,0,'Données projet'!$E$14+1,1))</f>
        <v>323.01113210765487</v>
      </c>
      <c r="DU91" s="59">
        <f t="shared" si="98"/>
        <v>311.68541696405975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24.534416220403763</v>
      </c>
      <c r="EB91" s="21">
        <f>EXP(-LN(2)/25)*EB90+(1-EXP(-LN(2)/25))/(LN(2)/25)*Calculateur!DW91*Calculateur!DY91*VLOOKUP('Données projet'!$B$14,Paramètres!$A$1:$I$89,3,0)*0.475*44/12</f>
        <v>6.6770701405692128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31.211486360972977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337.99164391755608</v>
      </c>
      <c r="T92" s="59">
        <f t="shared" si="88"/>
        <v>421.45428231923393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7.8677884615384599</v>
      </c>
      <c r="AI92" s="13">
        <f>IF('Données projet'!$A$62&gt;35,AI91+AH92-AQ91,IF(A92&lt;'Données projet'!$A$62,$AF$205^A92,IF(A92='Données projet'!$A$62,'Données projet'!$B$62,AI91+AH92-AQ91)))</f>
        <v>317.01682692307685</v>
      </c>
      <c r="AJ92" s="13">
        <f>AI92*VLOOKUP('Données projet'!$B$10,Paramètres!$A$1:$I$89,3,0)*VLOOKUP('Données projet'!$B$10,Paramètres!$A$1:$I$89,5,0)</f>
        <v>321.45506249999994</v>
      </c>
      <c r="AK92" s="13">
        <f t="shared" si="89"/>
        <v>75.656027728290809</v>
      </c>
      <c r="AL92" s="20">
        <f t="shared" si="58"/>
        <v>691.63514881427307</v>
      </c>
      <c r="AM92" s="59">
        <f t="shared" si="59"/>
        <v>965.65779252579659</v>
      </c>
      <c r="AN92" s="59">
        <f ca="1">AVERAGE(OFFSET($AM$3,0,0,'Données projet'!$E$10+1,1))-AVERAGE(OFFSET($H$3,0,0,'Données projet'!$E$10+1,1))</f>
        <v>596.42822894047072</v>
      </c>
      <c r="AO92" s="59">
        <f t="shared" si="90"/>
        <v>298.31525330951047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36.663061650390873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36.663061650390873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</v>
      </c>
      <c r="BD92" s="12">
        <f>IF('Données projet'!$A$88&gt;35,BD91+BC92-BL91,IF(A92&lt;'Données projet'!$A$88,$BA$205^A92,IF(A92='Données projet'!$A$88,'Données projet'!$B$88,BD91+BC92-BL91)))</f>
        <v>246</v>
      </c>
      <c r="BE92" s="13">
        <f>BD92*VLOOKUP('Données projet'!$B$11,Paramètres!$A$1:$I$89,3,0)*VLOOKUP('Données projet'!$B$11,Paramètres!$A$1:$I$89,5,0)</f>
        <v>257.11920000000003</v>
      </c>
      <c r="BF92" s="13">
        <f t="shared" si="91"/>
        <v>62.107910182723955</v>
      </c>
      <c r="BG92" s="20">
        <f t="shared" si="61"/>
        <v>555.98721690157754</v>
      </c>
      <c r="BH92" s="59">
        <f t="shared" si="62"/>
        <v>830.00986061310118</v>
      </c>
      <c r="BI92" s="59">
        <f ca="1">AVERAGE(OFFSET($BH$3,0,0,'Données projet'!$E$11+1,1))-AVERAGE(OFFSET($H$3,0,0,'Données projet'!$E$11+1,1))</f>
        <v>446.06835300781546</v>
      </c>
      <c r="BJ92" s="59">
        <f t="shared" si="92"/>
        <v>396.46809188573138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27.003635017513769</v>
      </c>
      <c r="BQ92" s="21">
        <f>EXP(-LN(2)/25)*BQ91+(1-EXP(-LN(2)/25))/(LN(2)/25)*Calculateur!BL92*Calculateur!BN92*VLOOKUP('Données projet'!$B$11,Paramètres!$A$1:$I$89,3,0)*0.475*44/12</f>
        <v>19.322919204191937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46.326554221705706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11.337499999999999</v>
      </c>
      <c r="BY92" s="12">
        <f>IF('Données projet'!$A$114&gt;35,BY91+BX92-CG91,IF(A92&lt;'Données projet'!$A$114,$BV$205^A92,IF(A92='Données projet'!$A$114,'Données projet'!$B$114,BY91+BX92-CG91)))</f>
        <v>438.92499999999973</v>
      </c>
      <c r="BZ92" s="13">
        <f>BY92*VLOOKUP('Données projet'!$B$12,Paramètres!$A$1:$I$89,3,0)*VLOOKUP('Données projet'!$B$12,Paramètres!$A$1:$I$89,5,0)</f>
        <v>205.41689999999986</v>
      </c>
      <c r="CA92" s="13">
        <f t="shared" si="93"/>
        <v>50.932780479290813</v>
      </c>
      <c r="CB92" s="20">
        <f t="shared" si="64"/>
        <v>446.47569350143129</v>
      </c>
      <c r="CC92" s="59">
        <f t="shared" si="65"/>
        <v>720.49833721295488</v>
      </c>
      <c r="CD92" s="59">
        <f ca="1">AVERAGE(OFFSET($CC$3,0,0,'Données projet'!$E$12+1,1))-AVERAGE(OFFSET($H$3,0,0,'Données projet'!$E$12+1,1))</f>
        <v>307.52821153421951</v>
      </c>
      <c r="CE92" s="59">
        <f t="shared" si="94"/>
        <v>221.23619018904222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64.609487039076242</v>
      </c>
      <c r="CL92" s="21">
        <f>EXP(-LN(2)/25)*CL91+(1-EXP(-LN(2)/25))/(LN(2)/25)*Calculateur!CG92*Calculateur!CI92*VLOOKUP('Données projet'!$B$12,Paramètres!$A$1:$I$89,3,0)*0.475*44/12</f>
        <v>18.766655458842912</v>
      </c>
      <c r="CM92" s="21">
        <f>EXP(-LN(2)/2)*CM91+(1-EXP(-LN(2)/2))/(LN(2)/2)*CG92*CJ92*VLOOKUP('Données projet'!$B$12,Paramètres!$A$1:$I$89,3,0)*0.475*44/12</f>
        <v>0.73041965019885247</v>
      </c>
      <c r="CN92" s="22">
        <f t="shared" si="66"/>
        <v>84.106562148118002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6.2512820512820522</v>
      </c>
      <c r="CT92" s="12">
        <f>IF('Données projet'!$A$140&gt;35,CT91+CS92-DB91,IF(A92&lt;'Données projet'!$A$140,$CQ$205^A92,IF(A92='Données projet'!$A$140,'Données projet'!$B$140,CT91+CS92-DB91)))</f>
        <v>234.98717948717953</v>
      </c>
      <c r="CU92" s="17">
        <f>CT92*VLOOKUP('Données projet'!$B$13,Paramètres!$A$1:$I$89,3,0)*VLOOKUP('Données projet'!$B$13,Paramètres!$A$1:$I$89,5,0)</f>
        <v>267.60340000000008</v>
      </c>
      <c r="CV92" s="13">
        <f t="shared" si="95"/>
        <v>64.34038665689404</v>
      </c>
      <c r="CW92" s="20">
        <f t="shared" si="67"/>
        <v>578.1354284274239</v>
      </c>
      <c r="CX92" s="59">
        <f t="shared" si="68"/>
        <v>852.15807213894755</v>
      </c>
      <c r="CY92" s="59">
        <f ca="1">AVERAGE(OFFSET($CX$3,0,0,'Données projet'!$E$13+1,1))-AVERAGE(OFFSET($H$3,0,0,'Données projet'!$E$13+1,1))</f>
        <v>598.12133208901378</v>
      </c>
      <c r="CZ92" s="59">
        <f t="shared" si="96"/>
        <v>246.23353541360947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16.218754781222547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16.218754781222547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266.99999999999983</v>
      </c>
      <c r="DP92" s="17">
        <f>DO92*VLOOKUP('Données projet'!$B$14,Paramètres!$A$1:$I$89,3,0)*VLOOKUP('Données projet'!$B$14,Paramètres!$A$1:$I$89,5,0)</f>
        <v>212.42519999999985</v>
      </c>
      <c r="DQ92" s="13">
        <f t="shared" si="97"/>
        <v>52.465198231787184</v>
      </c>
      <c r="DR92" s="20">
        <f t="shared" si="70"/>
        <v>461.35077692036231</v>
      </c>
      <c r="DS92" s="59">
        <f t="shared" si="71"/>
        <v>735.37342063188589</v>
      </c>
      <c r="DT92" s="59">
        <f ca="1">AVERAGE(OFFSET($DS$3,0,0,'Données projet'!$E$14+1,1))-AVERAGE(OFFSET($H$3,0,0,'Données projet'!$E$14+1,1))</f>
        <v>323.01113210765487</v>
      </c>
      <c r="DU92" s="59">
        <f t="shared" si="98"/>
        <v>311.68541696405975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24.053311282837917</v>
      </c>
      <c r="EB92" s="21">
        <f>EXP(-LN(2)/25)*EB91+(1-EXP(-LN(2)/25))/(LN(2)/25)*Calculateur!DW92*Calculateur!DY92*VLOOKUP('Données projet'!$B$14,Paramètres!$A$1:$I$89,3,0)*0.475*44/12</f>
        <v>6.4944853064434893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30.547796589281408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337.99164391755608</v>
      </c>
      <c r="T93" s="59">
        <f t="shared" si="88"/>
        <v>421.45428231923393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324.88461538461536</v>
      </c>
      <c r="AG93" s="12">
        <f>VLOOKUP(A93,'Données projet'!$A$61:$I$81,9,0)</f>
        <v>7.8677884615384599</v>
      </c>
      <c r="AH93" s="12">
        <f t="array" ref="AH93">INDEX(AG:AG,MIN(IF(ISNUMBER(AG93:AG289),ROW(AG93:AG289),"")))</f>
        <v>7.8677884615384599</v>
      </c>
      <c r="AI93" s="13">
        <f>IF('Données projet'!$A$62&gt;35,AI92+AH93-AQ92,IF(A93&lt;'Données projet'!$A$62,$AF$205^A93,IF(A93='Données projet'!$A$62,'Données projet'!$B$62,AI92+AH93-AQ92)))</f>
        <v>324.8846153846153</v>
      </c>
      <c r="AJ93" s="13">
        <f>AI93*VLOOKUP('Données projet'!$B$10,Paramètres!$A$1:$I$89,3,0)*VLOOKUP('Données projet'!$B$10,Paramètres!$A$1:$I$89,5,0)</f>
        <v>329.43299999999994</v>
      </c>
      <c r="AK93" s="13">
        <f t="shared" si="89"/>
        <v>77.312741843066732</v>
      </c>
      <c r="AL93" s="20">
        <f t="shared" si="58"/>
        <v>708.41550037667423</v>
      </c>
      <c r="AM93" s="59">
        <f t="shared" si="59"/>
        <v>982.77314138090196</v>
      </c>
      <c r="AN93" s="59">
        <f ca="1">AVERAGE(OFFSET($AM$3,0,0,'Données projet'!$E$10+1,1))-AVERAGE(OFFSET($H$3,0,0,'Données projet'!$E$10+1,1))</f>
        <v>596.42822894047072</v>
      </c>
      <c r="AO93" s="59">
        <f t="shared" si="90"/>
        <v>298.31525330951047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47.307692307692307</v>
      </c>
      <c r="AR93" s="16">
        <f>IF(ISNA(VLOOKUP(A93,'Données projet'!$A$61:$I$81,5,0)),0%,VLOOKUP(A93,'Données projet'!$A$61:$I$81,5,0)*VLOOKUP('Données projet'!$B$10,Paramètres!$A$1:$I$89,7,0))</f>
        <v>0.30099999999999999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51.905975019651102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51.905975019651102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249</v>
      </c>
      <c r="BB93" s="12">
        <f>VLOOKUP(A93,'Données projet'!$A$87:$I$107,9,0)</f>
        <v>3</v>
      </c>
      <c r="BC93" s="12">
        <f t="array" ref="BC93">INDEX(BB:BB,MIN(IF(ISNUMBER(BB93:BB289),ROW(BB93:BB289),"")))</f>
        <v>3</v>
      </c>
      <c r="BD93" s="12">
        <f>IF('Données projet'!$A$88&gt;35,BD92+BC93-BL92,IF(A93&lt;'Données projet'!$A$88,$BA$205^A93,IF(A93='Données projet'!$A$88,'Données projet'!$B$88,BD92+BC93-BL92)))</f>
        <v>249</v>
      </c>
      <c r="BE93" s="13">
        <f>BD93*VLOOKUP('Données projet'!$B$11,Paramètres!$A$1:$I$89,3,0)*VLOOKUP('Données projet'!$B$11,Paramètres!$A$1:$I$89,5,0)</f>
        <v>260.25480000000005</v>
      </c>
      <c r="BF93" s="13">
        <f t="shared" si="91"/>
        <v>62.776687922790821</v>
      </c>
      <c r="BG93" s="20">
        <f t="shared" si="61"/>
        <v>562.61317479886077</v>
      </c>
      <c r="BH93" s="59">
        <f t="shared" si="62"/>
        <v>836.9708158030885</v>
      </c>
      <c r="BI93" s="59">
        <f ca="1">AVERAGE(OFFSET($BH$3,0,0,'Données projet'!$E$11+1,1))-AVERAGE(OFFSET($H$3,0,0,'Données projet'!$E$11+1,1))</f>
        <v>446.06835300781546</v>
      </c>
      <c r="BJ93" s="59">
        <f t="shared" si="92"/>
        <v>396.46809188573138</v>
      </c>
      <c r="BK93" s="15">
        <f>IF(ISNA(VLOOKUP(A93,'Données projet'!$A$87:$I$107,3,0)),0,VLOOKUP(A93,'Données projet'!$A$87:$I$107,3,0))</f>
        <v>15</v>
      </c>
      <c r="BL93" s="15" t="str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0.25800000000000001</v>
      </c>
      <c r="BN93" s="16">
        <f>IF(ISNA(VLOOKUP(A93,'Données projet'!$A$87:$I$107,6,0)),0%,VLOOKUP(A93,'Données projet'!$A$87:$I$107,6,0)*VLOOKUP('Données projet'!$B$11,Paramètres!$A$1:$I$89,7,0))</f>
        <v>0.129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30.051345140980899</v>
      </c>
      <c r="BQ93" s="21">
        <f>EXP(-LN(2)/25)*BQ92+(1-EXP(-LN(2)/25))/(LN(2)/25)*Calculateur!BL93*Calculateur!BN93*VLOOKUP('Données projet'!$B$11,Paramètres!$A$1:$I$89,3,0)*0.475*44/12</f>
        <v>20.576107961702572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50.627453102683475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11.337499999999999</v>
      </c>
      <c r="BY93" s="12">
        <f>IF('Données projet'!$A$114&gt;35,BY92+BX93-CG92,IF(A93&lt;'Données projet'!$A$114,$BV$205^A93,IF(A93='Données projet'!$A$114,'Données projet'!$B$114,BY92+BX93-CG92)))</f>
        <v>450.2624999999997</v>
      </c>
      <c r="BZ93" s="13">
        <f>BY93*VLOOKUP('Données projet'!$B$12,Paramètres!$A$1:$I$89,3,0)*VLOOKUP('Données projet'!$B$12,Paramètres!$A$1:$I$89,5,0)</f>
        <v>210.72284999999988</v>
      </c>
      <c r="CA93" s="13">
        <f t="shared" si="93"/>
        <v>52.093515005664983</v>
      </c>
      <c r="CB93" s="20">
        <f t="shared" si="64"/>
        <v>457.73850238486631</v>
      </c>
      <c r="CC93" s="59">
        <f t="shared" si="65"/>
        <v>732.09614338909398</v>
      </c>
      <c r="CD93" s="59">
        <f ca="1">AVERAGE(OFFSET($CC$3,0,0,'Données projet'!$E$12+1,1))-AVERAGE(OFFSET($H$3,0,0,'Données projet'!$E$12+1,1))</f>
        <v>307.52821153421951</v>
      </c>
      <c r="CE93" s="59">
        <f t="shared" si="94"/>
        <v>221.23619018904222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63.342534406135847</v>
      </c>
      <c r="CL93" s="21">
        <f>EXP(-LN(2)/25)*CL92+(1-EXP(-LN(2)/25))/(LN(2)/25)*Calculateur!CG93*Calculateur!CI93*VLOOKUP('Données projet'!$B$12,Paramètres!$A$1:$I$89,3,0)*0.475*44/12</f>
        <v>18.253480278425332</v>
      </c>
      <c r="CM93" s="21">
        <f>EXP(-LN(2)/2)*CM92+(1-EXP(-LN(2)/2))/(LN(2)/2)*CG93*CJ93*VLOOKUP('Données projet'!$B$12,Paramètres!$A$1:$I$89,3,0)*0.475*44/12</f>
        <v>0.51648468776751455</v>
      </c>
      <c r="CN93" s="22">
        <f t="shared" si="66"/>
        <v>82.112499372328699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6.2512820512820522</v>
      </c>
      <c r="CT93" s="12">
        <f>IF('Données projet'!$A$140&gt;35,CT92+CS93-DB92,IF(A93&lt;'Données projet'!$A$140,$CQ$205^A93,IF(A93='Données projet'!$A$140,'Données projet'!$B$140,CT92+CS93-DB92)))</f>
        <v>241.23846153846159</v>
      </c>
      <c r="CU93" s="17">
        <f>CT93*VLOOKUP('Données projet'!$B$13,Paramètres!$A$1:$I$89,3,0)*VLOOKUP('Données projet'!$B$13,Paramètres!$A$1:$I$89,5,0)</f>
        <v>274.72236000000004</v>
      </c>
      <c r="CV93" s="13">
        <f t="shared" si="95"/>
        <v>65.850459668997104</v>
      </c>
      <c r="CW93" s="20">
        <f t="shared" si="67"/>
        <v>593.16432759016993</v>
      </c>
      <c r="CX93" s="59">
        <f t="shared" si="68"/>
        <v>867.52196859439755</v>
      </c>
      <c r="CY93" s="59">
        <f ca="1">AVERAGE(OFFSET($CX$3,0,0,'Données projet'!$E$13+1,1))-AVERAGE(OFFSET($H$3,0,0,'Données projet'!$E$13+1,1))</f>
        <v>598.12133208901378</v>
      </c>
      <c r="CZ93" s="59">
        <f t="shared" si="96"/>
        <v>246.23353541360947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15.900714892426389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15.900714892426389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266.99999999999983</v>
      </c>
      <c r="DP93" s="17">
        <f>DO93*VLOOKUP('Données projet'!$B$14,Paramètres!$A$1:$I$89,3,0)*VLOOKUP('Données projet'!$B$14,Paramètres!$A$1:$I$89,5,0)</f>
        <v>212.42519999999985</v>
      </c>
      <c r="DQ93" s="13">
        <f t="shared" si="97"/>
        <v>52.465198231787184</v>
      </c>
      <c r="DR93" s="20">
        <f t="shared" si="70"/>
        <v>461.35077692036231</v>
      </c>
      <c r="DS93" s="59">
        <f t="shared" si="71"/>
        <v>735.70841792458998</v>
      </c>
      <c r="DT93" s="59">
        <f ca="1">AVERAGE(OFFSET($DS$3,0,0,'Données projet'!$E$14+1,1))-AVERAGE(OFFSET($H$3,0,0,'Données projet'!$E$14+1,1))</f>
        <v>323.01113210765487</v>
      </c>
      <c r="DU93" s="59">
        <f t="shared" si="98"/>
        <v>311.68541696405975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23.581640519652701</v>
      </c>
      <c r="EB93" s="21">
        <f>EXP(-LN(2)/25)*EB92+(1-EXP(-LN(2)/25))/(LN(2)/25)*Calculateur!DW93*Calculateur!DY93*VLOOKUP('Données projet'!$B$14,Paramètres!$A$1:$I$89,3,0)*0.475*44/12</f>
        <v>6.3168932642086535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29.898533783861353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337.99164391755608</v>
      </c>
      <c r="T94" s="59">
        <f t="shared" si="88"/>
        <v>421.45428231923393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7.5871794871794922</v>
      </c>
      <c r="AI94" s="13">
        <f>IF('Données projet'!$A$62&gt;35,AI93+AH94-AQ93,IF(A94&lt;'Données projet'!$A$62,$AF$205^A94,IF(A94='Données projet'!$A$62,'Données projet'!$B$62,AI93+AH94-AQ93)))</f>
        <v>285.16410256410245</v>
      </c>
      <c r="AJ94" s="13">
        <f>AI94*VLOOKUP('Données projet'!$B$10,Paramètres!$A$1:$I$89,3,0)*VLOOKUP('Données projet'!$B$10,Paramètres!$A$1:$I$89,5,0)</f>
        <v>289.15639999999991</v>
      </c>
      <c r="AK94" s="13">
        <f t="shared" si="89"/>
        <v>68.898380716192392</v>
      </c>
      <c r="AL94" s="20">
        <f t="shared" si="58"/>
        <v>623.61207641403485</v>
      </c>
      <c r="AM94" s="59">
        <f t="shared" si="59"/>
        <v>898.29890325687984</v>
      </c>
      <c r="AN94" s="59">
        <f ca="1">AVERAGE(OFFSET($AM$3,0,0,'Données projet'!$E$10+1,1))-AVERAGE(OFFSET($H$3,0,0,'Données projet'!$E$10+1,1))</f>
        <v>596.42822894047072</v>
      </c>
      <c r="AO94" s="59">
        <f t="shared" si="90"/>
        <v>298.31525330951047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50.88813050903439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50.88813050903439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</v>
      </c>
      <c r="BD94" s="12">
        <f>IF('Données projet'!$A$88&gt;35,BD93+BC94-BL93,IF(A94&lt;'Données projet'!$A$88,$BA$205^A94,IF(A94='Données projet'!$A$88,'Données projet'!$B$88,BD93+BC94-BL93)))</f>
        <v>240</v>
      </c>
      <c r="BE94" s="13">
        <f>BD94*VLOOKUP('Données projet'!$B$11,Paramètres!$A$1:$I$89,3,0)*VLOOKUP('Données projet'!$B$11,Paramètres!$A$1:$I$89,5,0)</f>
        <v>250.84800000000001</v>
      </c>
      <c r="BF94" s="13">
        <f t="shared" si="91"/>
        <v>60.767491486783541</v>
      </c>
      <c r="BG94" s="20">
        <f t="shared" si="61"/>
        <v>542.7303143394812</v>
      </c>
      <c r="BH94" s="59">
        <f t="shared" si="62"/>
        <v>817.4171411823263</v>
      </c>
      <c r="BI94" s="59">
        <f ca="1">AVERAGE(OFFSET($BH$3,0,0,'Données projet'!$E$11+1,1))-AVERAGE(OFFSET($H$3,0,0,'Données projet'!$E$11+1,1))</f>
        <v>446.06835300781546</v>
      </c>
      <c r="BJ94" s="59">
        <f t="shared" si="92"/>
        <v>396.46809188573138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29.462056592276912</v>
      </c>
      <c r="BQ94" s="21">
        <f>EXP(-LN(2)/25)*BQ93+(1-EXP(-LN(2)/25))/(LN(2)/25)*Calculateur!BL94*Calculateur!BN94*VLOOKUP('Données projet'!$B$11,Paramètres!$A$1:$I$89,3,0)*0.475*44/12</f>
        <v>20.013453207439326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49.475509799716235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>
        <f>VLOOKUP(A94,'Données projet'!$A$113:$I$133,2,0)</f>
        <v>461.6</v>
      </c>
      <c r="BW94" s="12">
        <f>VLOOKUP(A94,'Données projet'!$A$113:$I$133,9,0)</f>
        <v>11.337499999999999</v>
      </c>
      <c r="BX94" s="12">
        <f t="array" ref="BX94">INDEX(BW:BW,MIN(IF(ISNUMBER(BW94:BW290),ROW(BW94:BW290),"")))</f>
        <v>11.337499999999999</v>
      </c>
      <c r="BY94" s="12">
        <f>IF('Données projet'!$A$114&gt;35,BY93+BX94-CG93,IF(A94&lt;'Données projet'!$A$114,$BV$205^A94,IF(A94='Données projet'!$A$114,'Données projet'!$B$114,BY93+BX94-CG93)))</f>
        <v>461.59999999999968</v>
      </c>
      <c r="BZ94" s="13">
        <f>BY94*VLOOKUP('Données projet'!$B$12,Paramètres!$A$1:$I$89,3,0)*VLOOKUP('Données projet'!$B$12,Paramètres!$A$1:$I$89,5,0)</f>
        <v>216.02879999999985</v>
      </c>
      <c r="CA94" s="13">
        <f t="shared" si="93"/>
        <v>53.25085210905781</v>
      </c>
      <c r="CB94" s="20">
        <f t="shared" si="64"/>
        <v>468.99539408994207</v>
      </c>
      <c r="CC94" s="59">
        <f t="shared" si="65"/>
        <v>743.68222093278712</v>
      </c>
      <c r="CD94" s="59">
        <f ca="1">AVERAGE(OFFSET($CC$3,0,0,'Données projet'!$E$12+1,1))-AVERAGE(OFFSET($H$3,0,0,'Données projet'!$E$12+1,1))</f>
        <v>307.52821153421951</v>
      </c>
      <c r="CE94" s="59">
        <f t="shared" si="94"/>
        <v>221.23619018904222</v>
      </c>
      <c r="CF94" s="15">
        <f>IF(ISNA(VLOOKUP(A94,'Données projet'!$A$113:$I$133,3,0)),0,VLOOKUP(A94,'Données projet'!$A$113:$I$133,3,0))</f>
        <v>7</v>
      </c>
      <c r="CG94" s="15">
        <f>IF(ISNA(VLOOKUP(A94,'Données projet'!$A$113:$I$133,4,0)),0,VLOOKUP(A94,'Données projet'!$A$113:$I$133,4,0))</f>
        <v>229.7</v>
      </c>
      <c r="CH94" s="16">
        <f>IF(ISNA(VLOOKUP(A94,'Données projet'!$A$113:$I$133,5,0)),0%,VLOOKUP(A94,'Données projet'!$A$113:$I$133,5,0)*VLOOKUP('Données projet'!$B$12,Paramètres!$A$1:$I$89,7,0))</f>
        <v>0.38500000000000001</v>
      </c>
      <c r="CI94" s="16">
        <f>IF(ISNA(VLOOKUP(A94,'Données projet'!$A$113:$I$133,6,0)),0%,VLOOKUP(A94,'Données projet'!$A$113:$I$133,6,0)*VLOOKUP('Données projet'!$B$12,Paramètres!$A$1:$I$89,7,0))</f>
        <v>9.3500000000000014E-2</v>
      </c>
      <c r="CJ94" s="16">
        <f>IF(ISNA(VLOOKUP(A94,'Données projet'!$A$113:$I$133,7,0)),0%,VLOOKUP(A94,'Données projet'!$A$113:$I$133,7,0))</f>
        <v>0.13</v>
      </c>
      <c r="CK94" s="21">
        <f>EXP(-LN(2)/35)*CK93+(1-EXP(-LN(2)/35))/(LN(2)/35)*CG94*CH94*VLOOKUP('Données projet'!$B$12,Paramètres!$A$1:$I$89,3,0)*0.475*44/12</f>
        <v>117.00340805014042</v>
      </c>
      <c r="CL94" s="21">
        <f>EXP(-LN(2)/25)*CL93+(1-EXP(-LN(2)/25))/(LN(2)/25)*Calculateur!CG94*Calculateur!CI94*VLOOKUP('Données projet'!$B$12,Paramètres!$A$1:$I$89,3,0)*0.475*44/12</f>
        <v>31.035419879185579</v>
      </c>
      <c r="CM94" s="21">
        <f>EXP(-LN(2)/2)*CM93+(1-EXP(-LN(2)/2))/(LN(2)/2)*CG94*CJ94*VLOOKUP('Données projet'!$B$12,Paramètres!$A$1:$I$89,3,0)*0.475*44/12</f>
        <v>16.188097306952315</v>
      </c>
      <c r="CN94" s="22">
        <f t="shared" si="66"/>
        <v>164.2269252362783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6.2512820512820522</v>
      </c>
      <c r="CT94" s="12">
        <f>IF('Données projet'!$A$140&gt;35,CT93+CS94-DB93,IF(A94&lt;'Données projet'!$A$140,$CQ$205^A94,IF(A94='Données projet'!$A$140,'Données projet'!$B$140,CT93+CS94-DB93)))</f>
        <v>247.48974358974365</v>
      </c>
      <c r="CU94" s="17">
        <f>CT94*VLOOKUP('Données projet'!$B$13,Paramètres!$A$1:$I$89,3,0)*VLOOKUP('Données projet'!$B$13,Paramètres!$A$1:$I$89,5,0)</f>
        <v>281.84132000000005</v>
      </c>
      <c r="CV94" s="13">
        <f t="shared" si="95"/>
        <v>67.355984162032499</v>
      </c>
      <c r="CW94" s="20">
        <f t="shared" si="67"/>
        <v>608.18530474887336</v>
      </c>
      <c r="CX94" s="59">
        <f t="shared" si="68"/>
        <v>882.87213159171847</v>
      </c>
      <c r="CY94" s="59">
        <f ca="1">AVERAGE(OFFSET($CX$3,0,0,'Données projet'!$E$13+1,1))-AVERAGE(OFFSET($H$3,0,0,'Données projet'!$E$13+1,1))</f>
        <v>598.12133208901378</v>
      </c>
      <c r="CZ94" s="59">
        <f t="shared" si="96"/>
        <v>246.23353541360947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15.588911571864347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15.588911571864347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266.99999999999983</v>
      </c>
      <c r="DP94" s="17">
        <f>DO94*VLOOKUP('Données projet'!$B$14,Paramètres!$A$1:$I$89,3,0)*VLOOKUP('Données projet'!$B$14,Paramètres!$A$1:$I$89,5,0)</f>
        <v>212.42519999999985</v>
      </c>
      <c r="DQ94" s="13">
        <f t="shared" si="97"/>
        <v>52.465198231787184</v>
      </c>
      <c r="DR94" s="20">
        <f t="shared" si="70"/>
        <v>461.35077692036231</v>
      </c>
      <c r="DS94" s="59">
        <f t="shared" si="71"/>
        <v>736.03760376320736</v>
      </c>
      <c r="DT94" s="59">
        <f ca="1">AVERAGE(OFFSET($DS$3,0,0,'Données projet'!$E$14+1,1))-AVERAGE(OFFSET($H$3,0,0,'Données projet'!$E$14+1,1))</f>
        <v>323.01113210765487</v>
      </c>
      <c r="DU94" s="59">
        <f t="shared" si="98"/>
        <v>311.68541696405975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23.119218932442788</v>
      </c>
      <c r="EB94" s="21">
        <f>EXP(-LN(2)/25)*EB93+(1-EXP(-LN(2)/25))/(LN(2)/25)*Calculateur!DW94*Calculateur!DY94*VLOOKUP('Données projet'!$B$14,Paramètres!$A$1:$I$89,3,0)*0.475*44/12</f>
        <v>6.1441574857078889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29.263376418150678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337.99164391755608</v>
      </c>
      <c r="T95" s="59">
        <f t="shared" si="88"/>
        <v>421.45428231923393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7.5871794871794922</v>
      </c>
      <c r="AI95" s="13">
        <f>IF('Données projet'!$A$62&gt;35,AI94+AH95-AQ94,IF(A95&lt;'Données projet'!$A$62,$AF$205^A95,IF(A95='Données projet'!$A$62,'Données projet'!$B$62,AI94+AH95-AQ94)))</f>
        <v>292.75128205128192</v>
      </c>
      <c r="AJ95" s="13">
        <f>AI95*VLOOKUP('Données projet'!$B$10,Paramètres!$A$1:$I$89,3,0)*VLOOKUP('Données projet'!$B$10,Paramètres!$A$1:$I$89,5,0)</f>
        <v>296.84979999999985</v>
      </c>
      <c r="AK95" s="13">
        <f t="shared" si="89"/>
        <v>70.515655371384639</v>
      </c>
      <c r="AL95" s="20">
        <f t="shared" si="58"/>
        <v>639.82816810516135</v>
      </c>
      <c r="AM95" s="59">
        <f t="shared" si="59"/>
        <v>914.83847014827302</v>
      </c>
      <c r="AN95" s="59">
        <f ca="1">AVERAGE(OFFSET($AM$3,0,0,'Données projet'!$E$10+1,1))-AVERAGE(OFFSET($H$3,0,0,'Données projet'!$E$10+1,1))</f>
        <v>596.42822894047072</v>
      </c>
      <c r="AO95" s="59">
        <f t="shared" si="90"/>
        <v>298.31525330951047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49.890245308447021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49.890245308447021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</v>
      </c>
      <c r="BD95" s="12">
        <f>IF('Données projet'!$A$88&gt;35,BD94+BC95-BL94,IF(A95&lt;'Données projet'!$A$88,$BA$205^A95,IF(A95='Données projet'!$A$88,'Données projet'!$B$88,BD94+BC95-BL94)))</f>
        <v>243</v>
      </c>
      <c r="BE95" s="13">
        <f>BD95*VLOOKUP('Données projet'!$B$11,Paramètres!$A$1:$I$89,3,0)*VLOOKUP('Données projet'!$B$11,Paramètres!$A$1:$I$89,5,0)</f>
        <v>253.98360000000002</v>
      </c>
      <c r="BF95" s="13">
        <f t="shared" si="91"/>
        <v>61.438182405444294</v>
      </c>
      <c r="BG95" s="20">
        <f t="shared" si="61"/>
        <v>549.35960435614891</v>
      </c>
      <c r="BH95" s="59">
        <f t="shared" si="62"/>
        <v>824.36990639926057</v>
      </c>
      <c r="BI95" s="59">
        <f ca="1">AVERAGE(OFFSET($BH$3,0,0,'Données projet'!$E$11+1,1))-AVERAGE(OFFSET($H$3,0,0,'Données projet'!$E$11+1,1))</f>
        <v>446.06835300781546</v>
      </c>
      <c r="BJ95" s="59">
        <f t="shared" si="92"/>
        <v>396.46809188573138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28.884323632582486</v>
      </c>
      <c r="BQ95" s="21">
        <f>EXP(-LN(2)/25)*BQ94+(1-EXP(-LN(2)/25))/(LN(2)/25)*Calculateur!BL95*Calculateur!BN95*VLOOKUP('Données projet'!$B$11,Paramètres!$A$1:$I$89,3,0)*0.475*44/12</f>
        <v>19.466184277020137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48.350507909602626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7.5699999999999985</v>
      </c>
      <c r="BY95" s="12">
        <f>IF('Données projet'!$A$114&gt;35,BY94+BX95-CG94,IF(A95&lt;'Données projet'!$A$114,$BV$205^A95,IF(A95='Données projet'!$A$114,'Données projet'!$B$114,BY94+BX95-CG94)))</f>
        <v>239.46999999999969</v>
      </c>
      <c r="BZ95" s="13">
        <f>BY95*VLOOKUP('Données projet'!$B$12,Paramètres!$A$1:$I$89,3,0)*VLOOKUP('Données projet'!$B$12,Paramètres!$A$1:$I$89,5,0)</f>
        <v>112.07195999999985</v>
      </c>
      <c r="CA95" s="13">
        <f t="shared" si="93"/>
        <v>29.818623064664642</v>
      </c>
      <c r="CB95" s="20">
        <f t="shared" si="64"/>
        <v>247.126098837624</v>
      </c>
      <c r="CC95" s="59">
        <f t="shared" si="65"/>
        <v>522.13640088073566</v>
      </c>
      <c r="CD95" s="59">
        <f ca="1">AVERAGE(OFFSET($CC$3,0,0,'Données projet'!$E$12+1,1))-AVERAGE(OFFSET($H$3,0,0,'Données projet'!$E$12+1,1))</f>
        <v>307.52821153421951</v>
      </c>
      <c r="CE95" s="59">
        <f t="shared" si="94"/>
        <v>221.23619018904222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114.70904258330937</v>
      </c>
      <c r="CL95" s="21">
        <f>EXP(-LN(2)/25)*CL94+(1-EXP(-LN(2)/25))/(LN(2)/25)*Calculateur!CG95*Calculateur!CI95*VLOOKUP('Données projet'!$B$12,Paramètres!$A$1:$I$89,3,0)*0.475*44/12</f>
        <v>30.186754690507449</v>
      </c>
      <c r="CM95" s="21">
        <f>EXP(-LN(2)/2)*CM94+(1-EXP(-LN(2)/2))/(LN(2)/2)*CG95*CJ95*VLOOKUP('Données projet'!$B$12,Paramètres!$A$1:$I$89,3,0)*0.475*44/12</f>
        <v>11.446713380253671</v>
      </c>
      <c r="CN95" s="22">
        <f t="shared" si="66"/>
        <v>156.34251065407048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6.2512820512820522</v>
      </c>
      <c r="CT95" s="12">
        <f>IF('Données projet'!$A$140&gt;35,CT94+CS95-DB94,IF(A95&lt;'Données projet'!$A$140,$CQ$205^A95,IF(A95='Données projet'!$A$140,'Données projet'!$B$140,CT94+CS95-DB94)))</f>
        <v>253.74102564102571</v>
      </c>
      <c r="CU95" s="17">
        <f>CT95*VLOOKUP('Données projet'!$B$13,Paramètres!$A$1:$I$89,3,0)*VLOOKUP('Données projet'!$B$13,Paramètres!$A$1:$I$89,5,0)</f>
        <v>288.96028000000007</v>
      </c>
      <c r="CV95" s="13">
        <f t="shared" si="95"/>
        <v>68.857088238291922</v>
      </c>
      <c r="CW95" s="20">
        <f t="shared" si="67"/>
        <v>623.19858301502518</v>
      </c>
      <c r="CX95" s="59">
        <f t="shared" si="68"/>
        <v>898.20888505813696</v>
      </c>
      <c r="CY95" s="59">
        <f ca="1">AVERAGE(OFFSET($CX$3,0,0,'Données projet'!$E$13+1,1))-AVERAGE(OFFSET($H$3,0,0,'Données projet'!$E$13+1,1))</f>
        <v>598.12133208901378</v>
      </c>
      <c r="CZ95" s="59">
        <f t="shared" si="96"/>
        <v>246.23353541360947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15.28322252423728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15.28322252423728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266.99999999999983</v>
      </c>
      <c r="DP95" s="17">
        <f>DO95*VLOOKUP('Données projet'!$B$14,Paramètres!$A$1:$I$89,3,0)*VLOOKUP('Données projet'!$B$14,Paramètres!$A$1:$I$89,5,0)</f>
        <v>212.42519999999985</v>
      </c>
      <c r="DQ95" s="13">
        <f t="shared" si="97"/>
        <v>52.465198231787184</v>
      </c>
      <c r="DR95" s="20">
        <f t="shared" si="70"/>
        <v>461.35077692036231</v>
      </c>
      <c r="DS95" s="59">
        <f t="shared" si="71"/>
        <v>736.36107896347403</v>
      </c>
      <c r="DT95" s="59">
        <f ca="1">AVERAGE(OFFSET($DS$3,0,0,'Données projet'!$E$14+1,1))-AVERAGE(OFFSET($H$3,0,0,'Données projet'!$E$14+1,1))</f>
        <v>323.01113210765487</v>
      </c>
      <c r="DU95" s="59">
        <f t="shared" si="98"/>
        <v>311.68541696405975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22.665865150508743</v>
      </c>
      <c r="EB95" s="21">
        <f>EXP(-LN(2)/25)*EB94+(1-EXP(-LN(2)/25))/(LN(2)/25)*Calculateur!DW95*Calculateur!DY95*VLOOKUP('Données projet'!$B$14,Paramètres!$A$1:$I$89,3,0)*0.475*44/12</f>
        <v>5.9761451761540068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28.642010326662749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337.99164391755608</v>
      </c>
      <c r="T96" s="59">
        <f t="shared" si="88"/>
        <v>421.45428231923393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7.5871794871794922</v>
      </c>
      <c r="AI96" s="13">
        <f>IF('Données projet'!$A$62&gt;35,AI95+AH96-AQ95,IF(A96&lt;'Données projet'!$A$62,$AF$205^A96,IF(A96='Données projet'!$A$62,'Données projet'!$B$62,AI95+AH96-AQ95)))</f>
        <v>300.33846153846139</v>
      </c>
      <c r="AJ96" s="13">
        <f>AI96*VLOOKUP('Données projet'!$B$10,Paramètres!$A$1:$I$89,3,0)*VLOOKUP('Données projet'!$B$10,Paramètres!$A$1:$I$89,5,0)</f>
        <v>304.5431999999999</v>
      </c>
      <c r="AK96" s="13">
        <f t="shared" si="89"/>
        <v>72.12805794234923</v>
      </c>
      <c r="AL96" s="20">
        <f t="shared" si="58"/>
        <v>656.03577424959133</v>
      </c>
      <c r="AM96" s="59">
        <f t="shared" si="59"/>
        <v>931.36393992142735</v>
      </c>
      <c r="AN96" s="59">
        <f ca="1">AVERAGE(OFFSET($AM$3,0,0,'Données projet'!$E$10+1,1))-AVERAGE(OFFSET($H$3,0,0,'Données projet'!$E$10+1,1))</f>
        <v>596.42822894047072</v>
      </c>
      <c r="AO96" s="59">
        <f t="shared" si="90"/>
        <v>298.31525330951047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48.911928027993298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48.911928027993298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</v>
      </c>
      <c r="BD96" s="12">
        <f>IF('Données projet'!$A$88&gt;35,BD95+BC96-BL95,IF(A96&lt;'Données projet'!$A$88,$BA$205^A96,IF(A96='Données projet'!$A$88,'Données projet'!$B$88,BD95+BC96-BL95)))</f>
        <v>246</v>
      </c>
      <c r="BE96" s="13">
        <f>BD96*VLOOKUP('Données projet'!$B$11,Paramètres!$A$1:$I$89,3,0)*VLOOKUP('Données projet'!$B$11,Paramètres!$A$1:$I$89,5,0)</f>
        <v>257.11920000000003</v>
      </c>
      <c r="BF96" s="13">
        <f t="shared" si="91"/>
        <v>62.107910182723955</v>
      </c>
      <c r="BG96" s="20">
        <f t="shared" si="61"/>
        <v>555.98721690157754</v>
      </c>
      <c r="BH96" s="59">
        <f t="shared" si="62"/>
        <v>831.31538257341344</v>
      </c>
      <c r="BI96" s="59">
        <f ca="1">AVERAGE(OFFSET($BH$3,0,0,'Données projet'!$E$11+1,1))-AVERAGE(OFFSET($H$3,0,0,'Données projet'!$E$11+1,1))</f>
        <v>446.06835300781546</v>
      </c>
      <c r="BJ96" s="59">
        <f t="shared" si="92"/>
        <v>396.46809188573138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28.317919663845355</v>
      </c>
      <c r="BQ96" s="21">
        <f>EXP(-LN(2)/25)*BQ95+(1-EXP(-LN(2)/25))/(LN(2)/25)*Calculateur!BL96*Calculateur!BN96*VLOOKUP('Données projet'!$B$11,Paramètres!$A$1:$I$89,3,0)*0.475*44/12</f>
        <v>18.933880444282881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47.251800108128236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7.5699999999999985</v>
      </c>
      <c r="BY96" s="12">
        <f>IF('Données projet'!$A$114&gt;35,BY95+BX96-CG95,IF(A96&lt;'Données projet'!$A$114,$BV$205^A96,IF(A96='Données projet'!$A$114,'Données projet'!$B$114,BY95+BX96-CG95)))</f>
        <v>247.03999999999968</v>
      </c>
      <c r="BZ96" s="13">
        <f>BY96*VLOOKUP('Données projet'!$B$12,Paramètres!$A$1:$I$89,3,0)*VLOOKUP('Données projet'!$B$12,Paramètres!$A$1:$I$89,5,0)</f>
        <v>115.61471999999985</v>
      </c>
      <c r="CA96" s="13">
        <f t="shared" si="93"/>
        <v>30.64999923861259</v>
      </c>
      <c r="CB96" s="20">
        <f t="shared" si="64"/>
        <v>254.74438600725</v>
      </c>
      <c r="CC96" s="59">
        <f t="shared" si="65"/>
        <v>530.07255167908602</v>
      </c>
      <c r="CD96" s="59">
        <f ca="1">AVERAGE(OFFSET($CC$3,0,0,'Données projet'!$E$12+1,1))-AVERAGE(OFFSET($H$3,0,0,'Données projet'!$E$12+1,1))</f>
        <v>307.52821153421951</v>
      </c>
      <c r="CE96" s="59">
        <f t="shared" si="94"/>
        <v>221.23619018904222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112.45966822385812</v>
      </c>
      <c r="CL96" s="21">
        <f>EXP(-LN(2)/25)*CL95+(1-EXP(-LN(2)/25))/(LN(2)/25)*Calculateur!CG96*Calculateur!CI96*VLOOKUP('Données projet'!$B$12,Paramètres!$A$1:$I$89,3,0)*0.475*44/12</f>
        <v>29.361296296043086</v>
      </c>
      <c r="CM96" s="21">
        <f>EXP(-LN(2)/2)*CM95+(1-EXP(-LN(2)/2))/(LN(2)/2)*CG96*CJ96*VLOOKUP('Données projet'!$B$12,Paramètres!$A$1:$I$89,3,0)*0.475*44/12</f>
        <v>8.0940486534761593</v>
      </c>
      <c r="CN96" s="22">
        <f t="shared" si="66"/>
        <v>149.91501317337736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6.2512820512820522</v>
      </c>
      <c r="CT96" s="12">
        <f>IF('Données projet'!$A$140&gt;35,CT95+CS96-DB95,IF(A96&lt;'Données projet'!$A$140,$CQ$205^A96,IF(A96='Données projet'!$A$140,'Données projet'!$B$140,CT95+CS96-DB95)))</f>
        <v>259.99230769230775</v>
      </c>
      <c r="CU96" s="17">
        <f>CT96*VLOOKUP('Données projet'!$B$13,Paramètres!$A$1:$I$89,3,0)*VLOOKUP('Données projet'!$B$13,Paramètres!$A$1:$I$89,5,0)</f>
        <v>296.07924000000003</v>
      </c>
      <c r="CV96" s="13">
        <f t="shared" si="95"/>
        <v>70.353893328268541</v>
      </c>
      <c r="CW96" s="20">
        <f t="shared" si="67"/>
        <v>638.20437388006769</v>
      </c>
      <c r="CX96" s="59">
        <f t="shared" si="68"/>
        <v>913.53253955190371</v>
      </c>
      <c r="CY96" s="59">
        <f ca="1">AVERAGE(OFFSET($CX$3,0,0,'Données projet'!$E$13+1,1))-AVERAGE(OFFSET($H$3,0,0,'Données projet'!$E$13+1,1))</f>
        <v>598.12133208901378</v>
      </c>
      <c r="CZ96" s="59">
        <f t="shared" si="96"/>
        <v>246.23353541360947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14.98352785238227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14.98352785238227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266.99999999999983</v>
      </c>
      <c r="DP96" s="17">
        <f>DO96*VLOOKUP('Données projet'!$B$14,Paramètres!$A$1:$I$89,3,0)*VLOOKUP('Données projet'!$B$14,Paramètres!$A$1:$I$89,5,0)</f>
        <v>212.42519999999985</v>
      </c>
      <c r="DQ96" s="13">
        <f t="shared" si="97"/>
        <v>52.465198231787184</v>
      </c>
      <c r="DR96" s="20">
        <f t="shared" si="70"/>
        <v>461.35077692036231</v>
      </c>
      <c r="DS96" s="59">
        <f t="shared" si="71"/>
        <v>736.67894259219827</v>
      </c>
      <c r="DT96" s="59">
        <f ca="1">AVERAGE(OFFSET($DS$3,0,0,'Données projet'!$E$14+1,1))-AVERAGE(OFFSET($H$3,0,0,'Données projet'!$E$14+1,1))</f>
        <v>323.01113210765487</v>
      </c>
      <c r="DU96" s="59">
        <f t="shared" si="98"/>
        <v>311.68541696405975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22.221401359719923</v>
      </c>
      <c r="EB96" s="21">
        <f>EXP(-LN(2)/25)*EB95+(1-EXP(-LN(2)/25))/(LN(2)/25)*Calculateur!DW96*Calculateur!DY96*VLOOKUP('Données projet'!$B$14,Paramètres!$A$1:$I$89,3,0)*0.475*44/12</f>
        <v>5.8127271720402591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28.034128531760182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337.99164391755608</v>
      </c>
      <c r="T97" s="59">
        <f t="shared" si="88"/>
        <v>421.45428231923393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7.5871794871794922</v>
      </c>
      <c r="AI97" s="13">
        <f>IF('Données projet'!$A$62&gt;35,AI96+AH97-AQ96,IF(A97&lt;'Données projet'!$A$62,$AF$205^A97,IF(A97='Données projet'!$A$62,'Données projet'!$B$62,AI96+AH97-AQ96)))</f>
        <v>307.92564102564086</v>
      </c>
      <c r="AJ97" s="13">
        <f>AI97*VLOOKUP('Données projet'!$B$10,Paramètres!$A$1:$I$89,3,0)*VLOOKUP('Données projet'!$B$10,Paramètres!$A$1:$I$89,5,0)</f>
        <v>312.23659999999984</v>
      </c>
      <c r="AK97" s="13">
        <f t="shared" si="89"/>
        <v>73.735725662265509</v>
      </c>
      <c r="AL97" s="20">
        <f t="shared" si="58"/>
        <v>672.23513386177876</v>
      </c>
      <c r="AM97" s="59">
        <f t="shared" si="59"/>
        <v>947.87564893901731</v>
      </c>
      <c r="AN97" s="59">
        <f ca="1">AVERAGE(OFFSET($AM$3,0,0,'Données projet'!$E$10+1,1))-AVERAGE(OFFSET($H$3,0,0,'Données projet'!$E$10+1,1))</f>
        <v>596.42822894047072</v>
      </c>
      <c r="AO97" s="59">
        <f t="shared" si="90"/>
        <v>298.31525330951047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47.952794952694653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47.952794952694653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</v>
      </c>
      <c r="BD97" s="12">
        <f>IF('Données projet'!$A$88&gt;35,BD96+BC97-BL96,IF(A97&lt;'Données projet'!$A$88,$BA$205^A97,IF(A97='Données projet'!$A$88,'Données projet'!$B$88,BD96+BC97-BL96)))</f>
        <v>249</v>
      </c>
      <c r="BE97" s="13">
        <f>BD97*VLOOKUP('Données projet'!$B$11,Paramètres!$A$1:$I$89,3,0)*VLOOKUP('Données projet'!$B$11,Paramètres!$A$1:$I$89,5,0)</f>
        <v>260.25480000000005</v>
      </c>
      <c r="BF97" s="13">
        <f t="shared" si="91"/>
        <v>62.776687922790821</v>
      </c>
      <c r="BG97" s="20">
        <f t="shared" si="61"/>
        <v>562.61317479886077</v>
      </c>
      <c r="BH97" s="59">
        <f t="shared" si="62"/>
        <v>838.25368987609932</v>
      </c>
      <c r="BI97" s="59">
        <f ca="1">AVERAGE(OFFSET($BH$3,0,0,'Données projet'!$E$11+1,1))-AVERAGE(OFFSET($H$3,0,0,'Données projet'!$E$11+1,1))</f>
        <v>446.06835300781546</v>
      </c>
      <c r="BJ97" s="59">
        <f t="shared" si="92"/>
        <v>396.46809188573138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27.762622531462853</v>
      </c>
      <c r="BQ97" s="21">
        <f>EXP(-LN(2)/25)*BQ96+(1-EXP(-LN(2)/25))/(LN(2)/25)*Calculateur!BL97*Calculateur!BN97*VLOOKUP('Données projet'!$B$11,Paramètres!$A$1:$I$89,3,0)*0.475*44/12</f>
        <v>18.416132487844468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46.178755019307317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7.5699999999999985</v>
      </c>
      <c r="BY97" s="12">
        <f>IF('Données projet'!$A$114&gt;35,BY96+BX97-CG96,IF(A97&lt;'Données projet'!$A$114,$BV$205^A97,IF(A97='Données projet'!$A$114,'Données projet'!$B$114,BY96+BX97-CG96)))</f>
        <v>254.60999999999967</v>
      </c>
      <c r="BZ97" s="13">
        <f>BY97*VLOOKUP('Données projet'!$B$12,Paramètres!$A$1:$I$89,3,0)*VLOOKUP('Données projet'!$B$12,Paramètres!$A$1:$I$89,5,0)</f>
        <v>119.15747999999985</v>
      </c>
      <c r="CA97" s="13">
        <f t="shared" si="93"/>
        <v>31.478414833418324</v>
      </c>
      <c r="CB97" s="20">
        <f t="shared" si="64"/>
        <v>262.35751683486995</v>
      </c>
      <c r="CC97" s="59">
        <f t="shared" si="65"/>
        <v>537.99803191210844</v>
      </c>
      <c r="CD97" s="59">
        <f ca="1">AVERAGE(OFFSET($CC$3,0,0,'Données projet'!$E$12+1,1))-AVERAGE(OFFSET($H$3,0,0,'Données projet'!$E$12+1,1))</f>
        <v>307.52821153421951</v>
      </c>
      <c r="CE97" s="59">
        <f t="shared" si="94"/>
        <v>221.23619018904222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110.25440272361281</v>
      </c>
      <c r="CL97" s="21">
        <f>EXP(-LN(2)/25)*CL96+(1-EXP(-LN(2)/25))/(LN(2)/25)*Calculateur!CG97*Calculateur!CI97*VLOOKUP('Données projet'!$B$12,Paramètres!$A$1:$I$89,3,0)*0.475*44/12</f>
        <v>28.558410104784322</v>
      </c>
      <c r="CM97" s="21">
        <f>EXP(-LN(2)/2)*CM96+(1-EXP(-LN(2)/2))/(LN(2)/2)*CG97*CJ97*VLOOKUP('Données projet'!$B$12,Paramètres!$A$1:$I$89,3,0)*0.475*44/12</f>
        <v>5.7233566901268365</v>
      </c>
      <c r="CN97" s="22">
        <f t="shared" si="66"/>
        <v>144.53616951852399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266.24358974358972</v>
      </c>
      <c r="CR97" s="12">
        <f>VLOOKUP(A97,'Données projet'!$A$139:$I$159,9,0)</f>
        <v>6.2512820512820522</v>
      </c>
      <c r="CS97" s="12">
        <f t="array" ref="CS97">INDEX(CR:CR,MIN(IF(ISNUMBER(CR97:CR293),ROW(CR97:CR293),"")))</f>
        <v>6.2512820512820522</v>
      </c>
      <c r="CT97" s="12">
        <f>IF('Données projet'!$A$140&gt;35,CT96+CS97-DB96,IF(A97&lt;'Données projet'!$A$140,$CQ$205^A97,IF(A97='Données projet'!$A$140,'Données projet'!$B$140,CT96+CS97-DB96)))</f>
        <v>266.24358974358978</v>
      </c>
      <c r="CU97" s="17">
        <f>CT97*VLOOKUP('Données projet'!$B$13,Paramètres!$A$1:$I$89,3,0)*VLOOKUP('Données projet'!$B$13,Paramètres!$A$1:$I$89,5,0)</f>
        <v>303.19820000000004</v>
      </c>
      <c r="CV97" s="13">
        <f t="shared" si="95"/>
        <v>71.846514690077129</v>
      </c>
      <c r="CW97" s="20">
        <f t="shared" si="67"/>
        <v>653.20287808521778</v>
      </c>
      <c r="CX97" s="59">
        <f t="shared" si="68"/>
        <v>928.84339316245632</v>
      </c>
      <c r="CY97" s="59">
        <f ca="1">AVERAGE(OFFSET($CX$3,0,0,'Données projet'!$E$13+1,1))-AVERAGE(OFFSET($H$3,0,0,'Données projet'!$E$13+1,1))</f>
        <v>598.12133208901378</v>
      </c>
      <c r="CZ97" s="59">
        <f t="shared" si="96"/>
        <v>246.23353541360947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47.243589743589745</v>
      </c>
      <c r="DC97" s="16">
        <f>IF(ISNA(VLOOKUP(A97,'Données projet'!$A$139:$I$159,5,0)),0%,VLOOKUP(A97,'Données projet'!$A$139:$I$159,5,0)*VLOOKUP('Données projet'!$B$13,Paramètres!$A$1:$I$89,7,0))</f>
        <v>0.30099999999999999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32.591808988911566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32.591808988911566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266.99999999999983</v>
      </c>
      <c r="DP97" s="17">
        <f>DO97*VLOOKUP('Données projet'!$B$14,Paramètres!$A$1:$I$89,3,0)*VLOOKUP('Données projet'!$B$14,Paramètres!$A$1:$I$89,5,0)</f>
        <v>212.42519999999985</v>
      </c>
      <c r="DQ97" s="13">
        <f t="shared" si="97"/>
        <v>52.465198231787184</v>
      </c>
      <c r="DR97" s="20">
        <f t="shared" si="70"/>
        <v>461.35077692036231</v>
      </c>
      <c r="DS97" s="59">
        <f t="shared" si="71"/>
        <v>736.9912919976008</v>
      </c>
      <c r="DT97" s="59">
        <f ca="1">AVERAGE(OFFSET($DS$3,0,0,'Données projet'!$E$14+1,1))-AVERAGE(OFFSET($H$3,0,0,'Données projet'!$E$14+1,1))</f>
        <v>323.01113210765487</v>
      </c>
      <c r="DU97" s="59">
        <f t="shared" si="98"/>
        <v>311.68541696405975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21.785653232772326</v>
      </c>
      <c r="EB97" s="21">
        <f>EXP(-LN(2)/25)*EB96+(1-EXP(-LN(2)/25))/(LN(2)/25)*Calculateur!DW97*Calculateur!DY97*VLOOKUP('Données projet'!$B$14,Paramètres!$A$1:$I$89,3,0)*0.475*44/12</f>
        <v>5.6537778418427811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27.439431074615108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337.99164391755608</v>
      </c>
      <c r="T98" s="59">
        <f t="shared" si="88"/>
        <v>421.45428231923393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7.5871794871794922</v>
      </c>
      <c r="AI98" s="13">
        <f>IF('Données projet'!$A$62&gt;35,AI97+AH98-AQ97,IF(A98&lt;'Données projet'!$A$62,$AF$205^A98,IF(A98='Données projet'!$A$62,'Données projet'!$B$62,AI97+AH98-AQ97)))</f>
        <v>315.51282051282033</v>
      </c>
      <c r="AJ98" s="13">
        <f>AI98*VLOOKUP('Données projet'!$B$10,Paramètres!$A$1:$I$89,3,0)*VLOOKUP('Données projet'!$B$10,Paramètres!$A$1:$I$89,5,0)</f>
        <v>319.92999999999984</v>
      </c>
      <c r="AK98" s="13">
        <f t="shared" si="89"/>
        <v>75.338788616039011</v>
      </c>
      <c r="AL98" s="20">
        <f t="shared" si="58"/>
        <v>688.4264735062676</v>
      </c>
      <c r="AM98" s="59">
        <f t="shared" si="59"/>
        <v>964.37391942503359</v>
      </c>
      <c r="AN98" s="59">
        <f ca="1">AVERAGE(OFFSET($AM$3,0,0,'Données projet'!$E$10+1,1))-AVERAGE(OFFSET($H$3,0,0,'Données projet'!$E$10+1,1))</f>
        <v>596.42822894047072</v>
      </c>
      <c r="AO98" s="59">
        <f t="shared" si="90"/>
        <v>298.31525330951047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47.012469891989198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47.012469891989198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</v>
      </c>
      <c r="BB98" s="12">
        <f>VLOOKUP(A98,'Données projet'!$A$87:$I$107,9,0)</f>
        <v>3</v>
      </c>
      <c r="BC98" s="12">
        <f t="array" ref="BC98">INDEX(BB:BB,MIN(IF(ISNUMBER(BB98:BB294),ROW(BB98:BB294),"")))</f>
        <v>3</v>
      </c>
      <c r="BD98" s="12">
        <f>IF('Données projet'!$A$88&gt;35,BD97+BC98-BL97,IF(A98&lt;'Données projet'!$A$88,$BA$205^A98,IF(A98='Données projet'!$A$88,'Données projet'!$B$88,BD97+BC98-BL97)))</f>
        <v>252</v>
      </c>
      <c r="BE98" s="13">
        <f>BD98*VLOOKUP('Données projet'!$B$11,Paramètres!$A$1:$I$89,3,0)*VLOOKUP('Données projet'!$B$11,Paramètres!$A$1:$I$89,5,0)</f>
        <v>263.3904</v>
      </c>
      <c r="BF98" s="13">
        <f t="shared" si="91"/>
        <v>63.444528395882578</v>
      </c>
      <c r="BG98" s="20">
        <f t="shared" si="61"/>
        <v>569.23750028949542</v>
      </c>
      <c r="BH98" s="59">
        <f t="shared" si="62"/>
        <v>845.18494620826141</v>
      </c>
      <c r="BI98" s="59">
        <f ca="1">AVERAGE(OFFSET($BH$3,0,0,'Données projet'!$E$11+1,1))-AVERAGE(OFFSET($H$3,0,0,'Données projet'!$E$11+1,1))</f>
        <v>446.06835300781546</v>
      </c>
      <c r="BJ98" s="59">
        <f t="shared" si="92"/>
        <v>396.46809188573138</v>
      </c>
      <c r="BK98" s="15">
        <f>IF(ISNA(VLOOKUP(A98,'Données projet'!$A$87:$I$107,3,0)),0,VLOOKUP(A98,'Données projet'!$A$87:$I$107,3,0))</f>
        <v>16</v>
      </c>
      <c r="BL98" s="15" t="str">
        <f>IF(ISNA(VLOOKUP(A98,'Données projet'!$A$87:$I$107,4,0)),0,VLOOKUP(A98,'Données projet'!$A$87:$I$107,4,0))</f>
        <v>12</v>
      </c>
      <c r="BM98" s="16">
        <f>IF(ISNA(VLOOKUP(A98,'Données projet'!$A$87:$I$107,5,0)),0%,VLOOKUP(A98,'Données projet'!$A$87:$I$107,5,0)*VLOOKUP('Données projet'!$B$11,Paramètres!$A$1:$I$89,7,0))</f>
        <v>0.30099999999999999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31.391655195313042</v>
      </c>
      <c r="BQ98" s="21">
        <f>EXP(-LN(2)/25)*BQ97+(1-EXP(-LN(2)/25))/(LN(2)/25)*Calculateur!BL98*Calculateur!BN98*VLOOKUP('Données projet'!$B$11,Paramètres!$A$1:$I$89,3,0)*0.475*44/12</f>
        <v>19.100259042700326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50.491914238013365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7.5699999999999985</v>
      </c>
      <c r="BY98" s="12">
        <f>IF('Données projet'!$A$114&gt;35,BY97+BX98-CG97,IF(A98&lt;'Données projet'!$A$114,$BV$205^A98,IF(A98='Données projet'!$A$114,'Données projet'!$B$114,BY97+BX98-CG97)))</f>
        <v>262.17999999999967</v>
      </c>
      <c r="BZ98" s="13">
        <f>BY98*VLOOKUP('Données projet'!$B$12,Paramètres!$A$1:$I$89,3,0)*VLOOKUP('Données projet'!$B$12,Paramètres!$A$1:$I$89,5,0)</f>
        <v>122.70023999999984</v>
      </c>
      <c r="CA98" s="13">
        <f t="shared" si="93"/>
        <v>32.303967977635963</v>
      </c>
      <c r="CB98" s="20">
        <f t="shared" si="64"/>
        <v>269.96566222771571</v>
      </c>
      <c r="CC98" s="59">
        <f t="shared" si="65"/>
        <v>545.91310814648159</v>
      </c>
      <c r="CD98" s="59">
        <f ca="1">AVERAGE(OFFSET($CC$3,0,0,'Données projet'!$E$12+1,1))-AVERAGE(OFFSET($H$3,0,0,'Données projet'!$E$12+1,1))</f>
        <v>307.52821153421951</v>
      </c>
      <c r="CE98" s="59">
        <f t="shared" si="94"/>
        <v>221.23619018904222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108.09238113474818</v>
      </c>
      <c r="CL98" s="21">
        <f>EXP(-LN(2)/25)*CL97+(1-EXP(-LN(2)/25))/(LN(2)/25)*Calculateur!CG98*Calculateur!CI98*VLOOKUP('Données projet'!$B$12,Paramètres!$A$1:$I$89,3,0)*0.475*44/12</f>
        <v>27.777478878647479</v>
      </c>
      <c r="CM98" s="21">
        <f>EXP(-LN(2)/2)*CM97+(1-EXP(-LN(2)/2))/(LN(2)/2)*CG98*CJ98*VLOOKUP('Données projet'!$B$12,Paramètres!$A$1:$I$89,3,0)*0.475*44/12</f>
        <v>4.0470243267380805</v>
      </c>
      <c r="CN98" s="22">
        <f t="shared" si="66"/>
        <v>139.91688434013372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6.071794871794876</v>
      </c>
      <c r="CT98" s="12">
        <f>IF('Données projet'!$A$140&gt;35,CT97+CS98-DB97,IF(A98&lt;'Données projet'!$A$140,$CQ$205^A98,IF(A98='Données projet'!$A$140,'Données projet'!$B$140,CT97+CS98-DB97)))</f>
        <v>225.07179487179488</v>
      </c>
      <c r="CU98" s="17">
        <f>CT98*VLOOKUP('Données projet'!$B$13,Paramètres!$A$1:$I$89,3,0)*VLOOKUP('Données projet'!$B$13,Paramètres!$A$1:$I$89,5,0)</f>
        <v>256.31176000000005</v>
      </c>
      <c r="CV98" s="13">
        <f t="shared" si="95"/>
        <v>61.935541709000738</v>
      </c>
      <c r="CW98" s="20">
        <f t="shared" si="67"/>
        <v>554.28071714317628</v>
      </c>
      <c r="CX98" s="59">
        <f t="shared" si="68"/>
        <v>830.22816306194227</v>
      </c>
      <c r="CY98" s="59">
        <f ca="1">AVERAGE(OFFSET($CX$3,0,0,'Données projet'!$E$13+1,1))-AVERAGE(OFFSET($H$3,0,0,'Données projet'!$E$13+1,1))</f>
        <v>598.12133208901378</v>
      </c>
      <c r="CZ98" s="59">
        <f t="shared" si="96"/>
        <v>246.23353541360947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31.9527034936796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31.9527034936796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266.99999999999983</v>
      </c>
      <c r="DP98" s="17">
        <f>DO98*VLOOKUP('Données projet'!$B$14,Paramètres!$A$1:$I$89,3,0)*VLOOKUP('Données projet'!$B$14,Paramètres!$A$1:$I$89,5,0)</f>
        <v>212.42519999999985</v>
      </c>
      <c r="DQ98" s="13">
        <f t="shared" si="97"/>
        <v>52.465198231787184</v>
      </c>
      <c r="DR98" s="20">
        <f t="shared" si="70"/>
        <v>461.35077692036231</v>
      </c>
      <c r="DS98" s="59">
        <f t="shared" si="71"/>
        <v>737.29822283912824</v>
      </c>
      <c r="DT98" s="59">
        <f ca="1">AVERAGE(OFFSET($DS$3,0,0,'Données projet'!$E$14+1,1))-AVERAGE(OFFSET($H$3,0,0,'Données projet'!$E$14+1,1))</f>
        <v>323.01113210765487</v>
      </c>
      <c r="DU98" s="59">
        <f t="shared" si="98"/>
        <v>311.68541696405975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21.358449860814058</v>
      </c>
      <c r="EB98" s="21">
        <f>EXP(-LN(2)/25)*EB97+(1-EXP(-LN(2)/25))/(LN(2)/25)*Calculateur!DW98*Calculateur!DY98*VLOOKUP('Données projet'!$B$14,Paramètres!$A$1:$I$89,3,0)*0.475*44/12</f>
        <v>5.4991749894383357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26.857624850252392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337.99164391755608</v>
      </c>
      <c r="T99" s="59">
        <f t="shared" si="88"/>
        <v>421.45428231923393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7.5871794871794922</v>
      </c>
      <c r="AI99" s="13">
        <f>IF('Données projet'!$A$62&gt;35,AI98+AH99-AQ98,IF(A99&lt;'Données projet'!$A$62,$AF$205^A99,IF(A99='Données projet'!$A$62,'Données projet'!$B$62,AI98+AH99-AQ98)))</f>
        <v>323.0999999999998</v>
      </c>
      <c r="AJ99" s="13">
        <f>AI99*VLOOKUP('Données projet'!$B$10,Paramètres!$A$1:$I$89,3,0)*VLOOKUP('Données projet'!$B$10,Paramètres!$A$1:$I$89,5,0)</f>
        <v>327.62339999999983</v>
      </c>
      <c r="AK99" s="13">
        <f t="shared" si="89"/>
        <v>76.937370275454882</v>
      </c>
      <c r="AL99" s="20">
        <f t="shared" si="58"/>
        <v>704.61000822975029</v>
      </c>
      <c r="AM99" s="59">
        <f t="shared" si="59"/>
        <v>980.85906042613772</v>
      </c>
      <c r="AN99" s="59">
        <f ca="1">AVERAGE(OFFSET($AM$3,0,0,'Données projet'!$E$10+1,1))-AVERAGE(OFFSET($H$3,0,0,'Données projet'!$E$10+1,1))</f>
        <v>596.42822894047072</v>
      </c>
      <c r="AO99" s="59">
        <f t="shared" si="90"/>
        <v>298.31525330951047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46.090584032182527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46.090584032182527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243</v>
      </c>
      <c r="BE99" s="13">
        <f>BD99*VLOOKUP('Données projet'!$B$11,Paramètres!$A$1:$I$89,3,0)*VLOOKUP('Données projet'!$B$11,Paramètres!$A$1:$I$89,5,0)</f>
        <v>253.98360000000002</v>
      </c>
      <c r="BF99" s="13">
        <f t="shared" si="91"/>
        <v>61.438182405444294</v>
      </c>
      <c r="BG99" s="20">
        <f t="shared" si="61"/>
        <v>549.35960435614891</v>
      </c>
      <c r="BH99" s="59">
        <f t="shared" si="62"/>
        <v>825.60865655253633</v>
      </c>
      <c r="BI99" s="59">
        <f ca="1">AVERAGE(OFFSET($BH$3,0,0,'Données projet'!$E$11+1,1))-AVERAGE(OFFSET($H$3,0,0,'Données projet'!$E$11+1,1))</f>
        <v>446.06835300781546</v>
      </c>
      <c r="BJ99" s="59">
        <f t="shared" si="92"/>
        <v>396.46809188573138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30.776083983952013</v>
      </c>
      <c r="BQ99" s="21">
        <f>EXP(-LN(2)/25)*BQ98+(1-EXP(-LN(2)/25))/(LN(2)/25)*Calculateur!BL99*Calculateur!BN99*VLOOKUP('Données projet'!$B$11,Paramètres!$A$1:$I$89,3,0)*0.475*44/12</f>
        <v>18.577961454738716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49.354045438690733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7.5699999999999985</v>
      </c>
      <c r="BY99" s="12">
        <f>IF('Données projet'!$A$114&gt;35,BY98+BX99-CG98,IF(A99&lt;'Données projet'!$A$114,$BV$205^A99,IF(A99='Données projet'!$A$114,'Données projet'!$B$114,BY98+BX99-CG98)))</f>
        <v>269.74999999999966</v>
      </c>
      <c r="BZ99" s="13">
        <f>BY99*VLOOKUP('Données projet'!$B$12,Paramètres!$A$1:$I$89,3,0)*VLOOKUP('Données projet'!$B$12,Paramètres!$A$1:$I$89,5,0)</f>
        <v>126.24299999999984</v>
      </c>
      <c r="CA99" s="13">
        <f t="shared" si="93"/>
        <v>33.126750810981527</v>
      </c>
      <c r="CB99" s="20">
        <f t="shared" si="64"/>
        <v>277.56898266245923</v>
      </c>
      <c r="CC99" s="59">
        <f t="shared" si="65"/>
        <v>553.81803485884666</v>
      </c>
      <c r="CD99" s="59">
        <f ca="1">AVERAGE(OFFSET($CC$3,0,0,'Données projet'!$E$12+1,1))-AVERAGE(OFFSET($H$3,0,0,'Données projet'!$E$12+1,1))</f>
        <v>307.52821153421951</v>
      </c>
      <c r="CE99" s="59">
        <f t="shared" si="94"/>
        <v>221.23619018904222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105.97275547053823</v>
      </c>
      <c r="CL99" s="21">
        <f>EXP(-LN(2)/25)*CL98+(1-EXP(-LN(2)/25))/(LN(2)/25)*Calculateur!CG99*Calculateur!CI99*VLOOKUP('Données projet'!$B$12,Paramètres!$A$1:$I$89,3,0)*0.475*44/12</f>
        <v>27.017902257956735</v>
      </c>
      <c r="CM99" s="21">
        <f>EXP(-LN(2)/2)*CM98+(1-EXP(-LN(2)/2))/(LN(2)/2)*CG99*CJ99*VLOOKUP('Données projet'!$B$12,Paramètres!$A$1:$I$89,3,0)*0.475*44/12</f>
        <v>2.8616783450634191</v>
      </c>
      <c r="CN99" s="22">
        <f t="shared" si="66"/>
        <v>135.85233607355838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6.071794871794876</v>
      </c>
      <c r="CT99" s="12">
        <f>IF('Données projet'!$A$140&gt;35,CT98+CS99-DB98,IF(A99&lt;'Données projet'!$A$140,$CQ$205^A99,IF(A99='Données projet'!$A$140,'Données projet'!$B$140,CT98+CS99-DB98)))</f>
        <v>231.14358974358976</v>
      </c>
      <c r="CU99" s="17">
        <f>CT99*VLOOKUP('Données projet'!$B$13,Paramètres!$A$1:$I$89,3,0)*VLOOKUP('Données projet'!$B$13,Paramètres!$A$1:$I$89,5,0)</f>
        <v>263.22631999999999</v>
      </c>
      <c r="CV99" s="13">
        <f t="shared" si="95"/>
        <v>63.409604608520219</v>
      </c>
      <c r="CW99" s="20">
        <f t="shared" si="67"/>
        <v>568.89090202650596</v>
      </c>
      <c r="CX99" s="59">
        <f t="shared" si="68"/>
        <v>845.13995422289338</v>
      </c>
      <c r="CY99" s="59">
        <f ca="1">AVERAGE(OFFSET($CX$3,0,0,'Données projet'!$E$13+1,1))-AVERAGE(OFFSET($H$3,0,0,'Données projet'!$E$13+1,1))</f>
        <v>598.12133208901378</v>
      </c>
      <c r="CZ99" s="59">
        <f t="shared" si="96"/>
        <v>246.23353541360947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31.326130467393273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31.326130467393273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266.99999999999983</v>
      </c>
      <c r="DP99" s="17">
        <f>DO99*VLOOKUP('Données projet'!$B$14,Paramètres!$A$1:$I$89,3,0)*VLOOKUP('Données projet'!$B$14,Paramètres!$A$1:$I$89,5,0)</f>
        <v>212.42519999999985</v>
      </c>
      <c r="DQ99" s="13">
        <f t="shared" si="97"/>
        <v>52.465198231787184</v>
      </c>
      <c r="DR99" s="20">
        <f t="shared" si="70"/>
        <v>461.35077692036231</v>
      </c>
      <c r="DS99" s="59">
        <f t="shared" si="71"/>
        <v>737.59982911674979</v>
      </c>
      <c r="DT99" s="59">
        <f ca="1">AVERAGE(OFFSET($DS$3,0,0,'Données projet'!$E$14+1,1))-AVERAGE(OFFSET($H$3,0,0,'Données projet'!$E$14+1,1))</f>
        <v>323.01113210765487</v>
      </c>
      <c r="DU99" s="59">
        <f t="shared" si="98"/>
        <v>311.68541696405975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20.939623686411565</v>
      </c>
      <c r="EB99" s="21">
        <f>EXP(-LN(2)/25)*EB98+(1-EXP(-LN(2)/25))/(LN(2)/25)*Calculateur!DW99*Calculateur!DY99*VLOOKUP('Données projet'!$B$14,Paramètres!$A$1:$I$89,3,0)*0.475*44/12</f>
        <v>5.3487997601631001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26.288423446574665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337.99164391755608</v>
      </c>
      <c r="T100" s="59">
        <f t="shared" si="88"/>
        <v>421.45428231923393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7.5871794871794922</v>
      </c>
      <c r="AI100" s="13">
        <f>IF('Données projet'!$A$62&gt;35,AI99+AH100-AQ99,IF(A100&lt;'Données projet'!$A$62,$AF$205^A100,IF(A100='Données projet'!$A$62,'Données projet'!$B$62,AI99+AH100-AQ99)))</f>
        <v>330.68717948717926</v>
      </c>
      <c r="AJ100" s="13">
        <f>AI100*VLOOKUP('Données projet'!$B$10,Paramètres!$A$1:$I$89,3,0)*VLOOKUP('Données projet'!$B$10,Paramètres!$A$1:$I$89,5,0)</f>
        <v>335.31679999999977</v>
      </c>
      <c r="AK100" s="13">
        <f t="shared" si="89"/>
        <v>78.531587982648986</v>
      </c>
      <c r="AL100" s="20">
        <f t="shared" si="58"/>
        <v>720.78594240311315</v>
      </c>
      <c r="AM100" s="59">
        <f t="shared" si="59"/>
        <v>997.33136868249596</v>
      </c>
      <c r="AN100" s="59">
        <f ca="1">AVERAGE(OFFSET($AM$3,0,0,'Données projet'!$E$10+1,1))-AVERAGE(OFFSET($H$3,0,0,'Données projet'!$E$10+1,1))</f>
        <v>596.42822894047072</v>
      </c>
      <c r="AO100" s="59">
        <f t="shared" si="90"/>
        <v>298.31525330951047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45.18677579179181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45.18677579179181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246</v>
      </c>
      <c r="BE100" s="13">
        <f>BD100*VLOOKUP('Données projet'!$B$11,Paramètres!$A$1:$I$89,3,0)*VLOOKUP('Données projet'!$B$11,Paramètres!$A$1:$I$89,5,0)</f>
        <v>257.11920000000003</v>
      </c>
      <c r="BF100" s="13">
        <f t="shared" si="91"/>
        <v>62.107910182723955</v>
      </c>
      <c r="BG100" s="20">
        <f t="shared" si="61"/>
        <v>555.98721690157754</v>
      </c>
      <c r="BH100" s="59">
        <f t="shared" si="62"/>
        <v>832.53264318096035</v>
      </c>
      <c r="BI100" s="59">
        <f ca="1">AVERAGE(OFFSET($BH$3,0,0,'Données projet'!$E$11+1,1))-AVERAGE(OFFSET($H$3,0,0,'Données projet'!$E$11+1,1))</f>
        <v>446.06835300781546</v>
      </c>
      <c r="BJ100" s="59">
        <f t="shared" si="92"/>
        <v>396.46809188573138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30.172583748584408</v>
      </c>
      <c r="BQ100" s="21">
        <f>EXP(-LN(2)/25)*BQ99+(1-EXP(-LN(2)/25))/(LN(2)/25)*Calculateur!BL100*Calculateur!BN100*VLOOKUP('Données projet'!$B$11,Paramètres!$A$1:$I$89,3,0)*0.475*44/12</f>
        <v>18.069946121786355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48.24252987037076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7.5699999999999985</v>
      </c>
      <c r="BY100" s="12">
        <f>IF('Données projet'!$A$114&gt;35,BY99+BX100-CG99,IF(A100&lt;'Données projet'!$A$114,$BV$205^A100,IF(A100='Données projet'!$A$114,'Données projet'!$B$114,BY99+BX100-CG99)))</f>
        <v>277.31999999999965</v>
      </c>
      <c r="BZ100" s="13">
        <f>BY100*VLOOKUP('Données projet'!$B$12,Paramètres!$A$1:$I$89,3,0)*VLOOKUP('Données projet'!$B$12,Paramètres!$A$1:$I$89,5,0)</f>
        <v>129.78575999999984</v>
      </c>
      <c r="CA100" s="13">
        <f t="shared" si="93"/>
        <v>33.94685000751457</v>
      </c>
      <c r="CB100" s="20">
        <f t="shared" si="64"/>
        <v>285.16762909642085</v>
      </c>
      <c r="CC100" s="59">
        <f t="shared" si="65"/>
        <v>561.71305537580361</v>
      </c>
      <c r="CD100" s="59">
        <f ca="1">AVERAGE(OFFSET($CC$3,0,0,'Données projet'!$E$12+1,1))-AVERAGE(OFFSET($H$3,0,0,'Données projet'!$E$12+1,1))</f>
        <v>307.52821153421951</v>
      </c>
      <c r="CE100" s="59">
        <f t="shared" si="94"/>
        <v>221.23619018904222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103.89469437275945</v>
      </c>
      <c r="CL100" s="21">
        <f>EXP(-LN(2)/25)*CL99+(1-EXP(-LN(2)/25))/(LN(2)/25)*Calculateur!CG100*Calculateur!CI100*VLOOKUP('Données projet'!$B$12,Paramètres!$A$1:$I$89,3,0)*0.475*44/12</f>
        <v>26.279096299903177</v>
      </c>
      <c r="CM100" s="21">
        <f>EXP(-LN(2)/2)*CM99+(1-EXP(-LN(2)/2))/(LN(2)/2)*CG100*CJ100*VLOOKUP('Données projet'!$B$12,Paramètres!$A$1:$I$89,3,0)*0.475*44/12</f>
        <v>2.0235121633690407</v>
      </c>
      <c r="CN100" s="22">
        <f t="shared" si="66"/>
        <v>132.19730283603167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6.071794871794876</v>
      </c>
      <c r="CT100" s="12">
        <f>IF('Données projet'!$A$140&gt;35,CT99+CS100-DB99,IF(A100&lt;'Données projet'!$A$140,$CQ$205^A100,IF(A100='Données projet'!$A$140,'Données projet'!$B$140,CT99+CS100-DB99)))</f>
        <v>237.21538461538464</v>
      </c>
      <c r="CU100" s="17">
        <f>CT100*VLOOKUP('Données projet'!$B$13,Paramètres!$A$1:$I$89,3,0)*VLOOKUP('Données projet'!$B$13,Paramètres!$A$1:$I$89,5,0)</f>
        <v>270.14088000000004</v>
      </c>
      <c r="CV100" s="13">
        <f t="shared" si="95"/>
        <v>64.879166671652214</v>
      </c>
      <c r="CW100" s="20">
        <f t="shared" si="67"/>
        <v>583.49324795312771</v>
      </c>
      <c r="CX100" s="59">
        <f t="shared" si="68"/>
        <v>860.03867423251052</v>
      </c>
      <c r="CY100" s="59">
        <f ca="1">AVERAGE(OFFSET($CX$3,0,0,'Données projet'!$E$13+1,1))-AVERAGE(OFFSET($H$3,0,0,'Données projet'!$E$13+1,1))</f>
        <v>598.12133208901378</v>
      </c>
      <c r="CZ100" s="59">
        <f t="shared" si="96"/>
        <v>246.23353541360947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30.711844155980611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30.711844155980611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266.99999999999983</v>
      </c>
      <c r="DP100" s="17">
        <f>DO100*VLOOKUP('Données projet'!$B$14,Paramètres!$A$1:$I$89,3,0)*VLOOKUP('Données projet'!$B$14,Paramètres!$A$1:$I$89,5,0)</f>
        <v>212.42519999999985</v>
      </c>
      <c r="DQ100" s="13">
        <f t="shared" si="97"/>
        <v>52.465198231787184</v>
      </c>
      <c r="DR100" s="20">
        <f t="shared" si="70"/>
        <v>461.35077692036231</v>
      </c>
      <c r="DS100" s="59">
        <f t="shared" si="71"/>
        <v>737.89620319974506</v>
      </c>
      <c r="DT100" s="59">
        <f ca="1">AVERAGE(OFFSET($DS$3,0,0,'Données projet'!$E$14+1,1))-AVERAGE(OFFSET($H$3,0,0,'Données projet'!$E$14+1,1))</f>
        <v>323.01113210765487</v>
      </c>
      <c r="DU100" s="59">
        <f t="shared" si="98"/>
        <v>311.68541696405975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20.529010437830362</v>
      </c>
      <c r="EB100" s="21">
        <f>EXP(-LN(2)/25)*EB99+(1-EXP(-LN(2)/25))/(LN(2)/25)*Calculateur!DW100*Calculateur!DY100*VLOOKUP('Données projet'!$B$14,Paramètres!$A$1:$I$89,3,0)*0.475*44/12</f>
        <v>5.2025365494402855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25.731546987270647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337.99164391755608</v>
      </c>
      <c r="T101" s="59">
        <f t="shared" si="88"/>
        <v>421.45428231923393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7.5871794871794922</v>
      </c>
      <c r="AI101" s="13">
        <f>IF('Données projet'!$A$62&gt;35,AI100+AH101-AQ100,IF(A101&lt;'Données projet'!$A$62,$AF$205^A101,IF(A101='Données projet'!$A$62,'Données projet'!$B$62,AI100+AH101-AQ100)))</f>
        <v>338.27435897435873</v>
      </c>
      <c r="AJ101" s="13">
        <f>AI101*VLOOKUP('Données projet'!$B$10,Paramètres!$A$1:$I$89,3,0)*VLOOKUP('Données projet'!$B$10,Paramètres!$A$1:$I$89,5,0)</f>
        <v>343.01019999999977</v>
      </c>
      <c r="AK101" s="13">
        <f t="shared" si="89"/>
        <v>80.121553387957832</v>
      </c>
      <c r="AL101" s="20">
        <f t="shared" si="58"/>
        <v>736.95447048402605</v>
      </c>
      <c r="AM101" s="59">
        <f t="shared" si="59"/>
        <v>1013.7911294186574</v>
      </c>
      <c r="AN101" s="59">
        <f ca="1">AVERAGE(OFFSET($AM$3,0,0,'Données projet'!$E$10+1,1))-AVERAGE(OFFSET($H$3,0,0,'Données projet'!$E$10+1,1))</f>
        <v>596.42822894047072</v>
      </c>
      <c r="AO101" s="59">
        <f t="shared" si="90"/>
        <v>298.31525330951047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44.300690679726564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44.300690679726564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249</v>
      </c>
      <c r="BE101" s="13">
        <f>BD101*VLOOKUP('Données projet'!$B$11,Paramètres!$A$1:$I$89,3,0)*VLOOKUP('Données projet'!$B$11,Paramètres!$A$1:$I$89,5,0)</f>
        <v>260.25480000000005</v>
      </c>
      <c r="BF101" s="13">
        <f t="shared" si="91"/>
        <v>62.776687922790821</v>
      </c>
      <c r="BG101" s="20">
        <f t="shared" si="61"/>
        <v>562.61317479886077</v>
      </c>
      <c r="BH101" s="59">
        <f t="shared" si="62"/>
        <v>839.44983373349214</v>
      </c>
      <c r="BI101" s="59">
        <f ca="1">AVERAGE(OFFSET($BH$3,0,0,'Données projet'!$E$11+1,1))-AVERAGE(OFFSET($H$3,0,0,'Données projet'!$E$11+1,1))</f>
        <v>446.06835300781546</v>
      </c>
      <c r="BJ101" s="59">
        <f t="shared" si="92"/>
        <v>396.46809188573138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29.580917784733565</v>
      </c>
      <c r="BQ101" s="21">
        <f>EXP(-LN(2)/25)*BQ100+(1-EXP(-LN(2)/25))/(LN(2)/25)*Calculateur!BL101*Calculateur!BN101*VLOOKUP('Données projet'!$B$11,Paramètres!$A$1:$I$89,3,0)*0.475*44/12</f>
        <v>17.575822494828941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47.156740279562506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7.5699999999999985</v>
      </c>
      <c r="BY101" s="12">
        <f>IF('Données projet'!$A$114&gt;35,BY100+BX101-CG100,IF(A101&lt;'Données projet'!$A$114,$BV$205^A101,IF(A101='Données projet'!$A$114,'Données projet'!$B$114,BY100+BX101-CG100)))</f>
        <v>284.88999999999965</v>
      </c>
      <c r="BZ101" s="13">
        <f>BY101*VLOOKUP('Données projet'!$B$12,Paramètres!$A$1:$I$89,3,0)*VLOOKUP('Données projet'!$B$12,Paramètres!$A$1:$I$89,5,0)</f>
        <v>133.32851999999983</v>
      </c>
      <c r="CA101" s="13">
        <f t="shared" si="93"/>
        <v>34.764347240087794</v>
      </c>
      <c r="CB101" s="20">
        <f t="shared" si="64"/>
        <v>292.76174377648596</v>
      </c>
      <c r="CC101" s="59">
        <f t="shared" si="65"/>
        <v>569.59840271111739</v>
      </c>
      <c r="CD101" s="59">
        <f ca="1">AVERAGE(OFFSET($CC$3,0,0,'Données projet'!$E$12+1,1))-AVERAGE(OFFSET($H$3,0,0,'Données projet'!$E$12+1,1))</f>
        <v>307.52821153421951</v>
      </c>
      <c r="CE101" s="59">
        <f t="shared" si="94"/>
        <v>221.23619018904222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101.85738278561598</v>
      </c>
      <c r="CL101" s="21">
        <f>EXP(-LN(2)/25)*CL100+(1-EXP(-LN(2)/25))/(LN(2)/25)*Calculateur!CG101*Calculateur!CI101*VLOOKUP('Données projet'!$B$12,Paramètres!$A$1:$I$89,3,0)*0.475*44/12</f>
        <v>25.560493029624713</v>
      </c>
      <c r="CM101" s="21">
        <f>EXP(-LN(2)/2)*CM100+(1-EXP(-LN(2)/2))/(LN(2)/2)*CG101*CJ101*VLOOKUP('Données projet'!$B$12,Paramètres!$A$1:$I$89,3,0)*0.475*44/12</f>
        <v>1.4308391725317098</v>
      </c>
      <c r="CN101" s="22">
        <f t="shared" si="66"/>
        <v>128.84871498777241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6.071794871794876</v>
      </c>
      <c r="CT101" s="12">
        <f>IF('Données projet'!$A$140&gt;35,CT100+CS101-DB100,IF(A101&lt;'Données projet'!$A$140,$CQ$205^A101,IF(A101='Données projet'!$A$140,'Données projet'!$B$140,CT100+CS101-DB100)))</f>
        <v>243.28717948717951</v>
      </c>
      <c r="CU101" s="17">
        <f>CT101*VLOOKUP('Données projet'!$B$13,Paramètres!$A$1:$I$89,3,0)*VLOOKUP('Données projet'!$B$13,Paramètres!$A$1:$I$89,5,0)</f>
        <v>277.05544000000003</v>
      </c>
      <c r="CV101" s="13">
        <f t="shared" si="95"/>
        <v>66.344356349092465</v>
      </c>
      <c r="CW101" s="20">
        <f t="shared" si="67"/>
        <v>598.08797864133612</v>
      </c>
      <c r="CX101" s="59">
        <f t="shared" si="68"/>
        <v>874.92463757596749</v>
      </c>
      <c r="CY101" s="59">
        <f ca="1">AVERAGE(OFFSET($CX$3,0,0,'Données projet'!$E$13+1,1))-AVERAGE(OFFSET($H$3,0,0,'Données projet'!$E$13+1,1))</f>
        <v>598.12133208901378</v>
      </c>
      <c r="CZ101" s="59">
        <f t="shared" si="96"/>
        <v>246.23353541360947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30.109603624457097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30.109603624457097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266.99999999999983</v>
      </c>
      <c r="DP101" s="17">
        <f>DO101*VLOOKUP('Données projet'!$B$14,Paramètres!$A$1:$I$89,3,0)*VLOOKUP('Données projet'!$B$14,Paramètres!$A$1:$I$89,5,0)</f>
        <v>212.42519999999985</v>
      </c>
      <c r="DQ101" s="13">
        <f t="shared" si="97"/>
        <v>52.465198231787184</v>
      </c>
      <c r="DR101" s="20">
        <f t="shared" si="70"/>
        <v>461.35077692036231</v>
      </c>
      <c r="DS101" s="59">
        <f t="shared" si="71"/>
        <v>738.18743585499374</v>
      </c>
      <c r="DT101" s="59">
        <f ca="1">AVERAGE(OFFSET($DS$3,0,0,'Données projet'!$E$14+1,1))-AVERAGE(OFFSET($H$3,0,0,'Données projet'!$E$14+1,1))</f>
        <v>323.01113210765487</v>
      </c>
      <c r="DU101" s="59">
        <f t="shared" si="98"/>
        <v>311.68541696405975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20.126449064604483</v>
      </c>
      <c r="EB101" s="21">
        <f>EXP(-LN(2)/25)*EB100+(1-EXP(-LN(2)/25))/(LN(2)/25)*Calculateur!DW101*Calculateur!DY101*VLOOKUP('Données projet'!$B$14,Paramètres!$A$1:$I$89,3,0)*0.475*44/12</f>
        <v>5.060272913906334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25.186721978510818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337.99164391755608</v>
      </c>
      <c r="T102" s="59">
        <f t="shared" si="88"/>
        <v>421.45428231923393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7.5871794871794922</v>
      </c>
      <c r="AI102" s="13">
        <f>IF('Données projet'!$A$62&gt;35,AI101+AH102-AQ101,IF(A102&lt;'Données projet'!$A$62,$AF$205^A102,IF(A102='Données projet'!$A$62,'Données projet'!$B$62,AI101+AH102-AQ101)))</f>
        <v>345.8615384615382</v>
      </c>
      <c r="AJ102" s="13">
        <f>AI102*VLOOKUP('Données projet'!$B$10,Paramètres!$A$1:$I$89,3,0)*VLOOKUP('Données projet'!$B$10,Paramètres!$A$1:$I$89,5,0)</f>
        <v>350.70359999999977</v>
      </c>
      <c r="AK102" s="13">
        <f t="shared" si="89"/>
        <v>81.707372847378466</v>
      </c>
      <c r="AL102" s="20">
        <f t="shared" si="58"/>
        <v>753.11577770918359</v>
      </c>
      <c r="AM102" s="59">
        <f t="shared" si="59"/>
        <v>1030.2386170635937</v>
      </c>
      <c r="AN102" s="59">
        <f ca="1">AVERAGE(OFFSET($AM$3,0,0,'Données projet'!$E$10+1,1))-AVERAGE(OFFSET($H$3,0,0,'Données projet'!$E$10+1,1))</f>
        <v>596.42822894047072</v>
      </c>
      <c r="AO102" s="59">
        <f t="shared" si="90"/>
        <v>298.31525330951047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43.431981156250366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43.431981156250366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252</v>
      </c>
      <c r="BE102" s="13">
        <f>BD102*VLOOKUP('Données projet'!$B$11,Paramètres!$A$1:$I$89,3,0)*VLOOKUP('Données projet'!$B$11,Paramètres!$A$1:$I$89,5,0)</f>
        <v>263.3904</v>
      </c>
      <c r="BF102" s="13">
        <f t="shared" si="91"/>
        <v>63.444528395882578</v>
      </c>
      <c r="BG102" s="20">
        <f t="shared" si="61"/>
        <v>569.23750028949542</v>
      </c>
      <c r="BH102" s="59">
        <f t="shared" si="62"/>
        <v>846.36033964390549</v>
      </c>
      <c r="BI102" s="59">
        <f ca="1">AVERAGE(OFFSET($BH$3,0,0,'Données projet'!$E$11+1,1))-AVERAGE(OFFSET($H$3,0,0,'Données projet'!$E$11+1,1))</f>
        <v>446.06835300781546</v>
      </c>
      <c r="BJ102" s="59">
        <f t="shared" si="92"/>
        <v>396.46809188573138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29.000854029553231</v>
      </c>
      <c r="BQ102" s="21">
        <f>EXP(-LN(2)/25)*BQ101+(1-EXP(-LN(2)/25))/(LN(2)/25)*Calculateur!BL102*Calculateur!BN102*VLOOKUP('Données projet'!$B$11,Paramètres!$A$1:$I$89,3,0)*0.475*44/12</f>
        <v>17.095210704435509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46.09606473398874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7.5699999999999985</v>
      </c>
      <c r="BY102" s="12">
        <f>IF('Données projet'!$A$114&gt;35,BY101+BX102-CG101,IF(A102&lt;'Données projet'!$A$114,$BV$205^A102,IF(A102='Données projet'!$A$114,'Données projet'!$B$114,BY101+BX102-CG101)))</f>
        <v>292.45999999999964</v>
      </c>
      <c r="BZ102" s="13">
        <f>BY102*VLOOKUP('Données projet'!$B$12,Paramètres!$A$1:$I$89,3,0)*VLOOKUP('Données projet'!$B$12,Paramètres!$A$1:$I$89,5,0)</f>
        <v>136.87127999999981</v>
      </c>
      <c r="CA102" s="13">
        <f t="shared" si="93"/>
        <v>35.579319594043604</v>
      </c>
      <c r="CB102" s="20">
        <f t="shared" si="64"/>
        <v>300.35146095962563</v>
      </c>
      <c r="CC102" s="59">
        <f t="shared" si="65"/>
        <v>577.47430031403576</v>
      </c>
      <c r="CD102" s="59">
        <f ca="1">AVERAGE(OFFSET($CC$3,0,0,'Données projet'!$E$12+1,1))-AVERAGE(OFFSET($H$3,0,0,'Données projet'!$E$12+1,1))</f>
        <v>307.52821153421951</v>
      </c>
      <c r="CE102" s="59">
        <f t="shared" si="94"/>
        <v>221.23619018904222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99.860021636059031</v>
      </c>
      <c r="CL102" s="21">
        <f>EXP(-LN(2)/25)*CL101+(1-EXP(-LN(2)/25))/(LN(2)/25)*Calculateur!CG102*Calculateur!CI102*VLOOKUP('Données projet'!$B$12,Paramètres!$A$1:$I$89,3,0)*0.475*44/12</f>
        <v>24.861540003561714</v>
      </c>
      <c r="CM102" s="21">
        <f>EXP(-LN(2)/2)*CM101+(1-EXP(-LN(2)/2))/(LN(2)/2)*CG102*CJ102*VLOOKUP('Données projet'!$B$12,Paramètres!$A$1:$I$89,3,0)*0.475*44/12</f>
        <v>1.0117560816845206</v>
      </c>
      <c r="CN102" s="22">
        <f t="shared" si="66"/>
        <v>125.73331772130527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6.071794871794876</v>
      </c>
      <c r="CT102" s="12">
        <f>IF('Données projet'!$A$140&gt;35,CT101+CS102-DB101,IF(A102&lt;'Données projet'!$A$140,$CQ$205^A102,IF(A102='Données projet'!$A$140,'Données projet'!$B$140,CT101+CS102-DB101)))</f>
        <v>249.35897435897439</v>
      </c>
      <c r="CU102" s="17">
        <f>CT102*VLOOKUP('Données projet'!$B$13,Paramètres!$A$1:$I$89,3,0)*VLOOKUP('Données projet'!$B$13,Paramètres!$A$1:$I$89,5,0)</f>
        <v>283.97000000000003</v>
      </c>
      <c r="CV102" s="13">
        <f t="shared" si="95"/>
        <v>67.805295314539023</v>
      </c>
      <c r="CW102" s="20">
        <f t="shared" si="67"/>
        <v>612.67530600615544</v>
      </c>
      <c r="CX102" s="59">
        <f t="shared" si="68"/>
        <v>889.79814536056551</v>
      </c>
      <c r="CY102" s="59">
        <f ca="1">AVERAGE(OFFSET($CX$3,0,0,'Données projet'!$E$13+1,1))-AVERAGE(OFFSET($H$3,0,0,'Données projet'!$E$13+1,1))</f>
        <v>598.12133208901378</v>
      </c>
      <c r="CZ102" s="59">
        <f t="shared" si="96"/>
        <v>246.23353541360947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29.519172662426307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29.519172662426307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266.99999999999983</v>
      </c>
      <c r="DP102" s="17">
        <f>DO102*VLOOKUP('Données projet'!$B$14,Paramètres!$A$1:$I$89,3,0)*VLOOKUP('Données projet'!$B$14,Paramètres!$A$1:$I$89,5,0)</f>
        <v>212.42519999999985</v>
      </c>
      <c r="DQ102" s="13">
        <f t="shared" si="97"/>
        <v>52.465198231787184</v>
      </c>
      <c r="DR102" s="20">
        <f t="shared" si="70"/>
        <v>461.35077692036231</v>
      </c>
      <c r="DS102" s="59">
        <f t="shared" si="71"/>
        <v>738.47361627477244</v>
      </c>
      <c r="DT102" s="59">
        <f ca="1">AVERAGE(OFFSET($DS$3,0,0,'Données projet'!$E$14+1,1))-AVERAGE(OFFSET($H$3,0,0,'Données projet'!$E$14+1,1))</f>
        <v>323.01113210765487</v>
      </c>
      <c r="DU102" s="59">
        <f t="shared" si="98"/>
        <v>311.68541696405975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19.731781674369373</v>
      </c>
      <c r="EB102" s="21">
        <f>EXP(-LN(2)/25)*EB101+(1-EXP(-LN(2)/25))/(LN(2)/25)*Calculateur!DW102*Calculateur!DY102*VLOOKUP('Données projet'!$B$14,Paramètres!$A$1:$I$89,3,0)*0.475*44/12</f>
        <v>4.9218994849673781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24.653681159336749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337.99164391755608</v>
      </c>
      <c r="T103" s="59">
        <f t="shared" si="88"/>
        <v>421.45428231923393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353.44871794871796</v>
      </c>
      <c r="AG103" s="12">
        <f>VLOOKUP(A103,'Données projet'!$A$61:$I$81,9,0)</f>
        <v>7.5871794871794922</v>
      </c>
      <c r="AH103" s="12">
        <f t="array" ref="AH103">INDEX(AG:AG,MIN(IF(ISNUMBER(AG103:AG299),ROW(AG103:AG299),"")))</f>
        <v>7.5871794871794922</v>
      </c>
      <c r="AI103" s="13">
        <f>IF('Données projet'!$A$62&gt;35,AI102+AH103-AQ102,IF(A103&lt;'Données projet'!$A$62,$AF$205^A103,IF(A103='Données projet'!$A$62,'Données projet'!$B$62,AI102+AH103-AQ102)))</f>
        <v>353.44871794871767</v>
      </c>
      <c r="AJ103" s="13">
        <f>AI103*VLOOKUP('Données projet'!$B$10,Paramètres!$A$1:$I$89,3,0)*VLOOKUP('Données projet'!$B$10,Paramètres!$A$1:$I$89,5,0)</f>
        <v>358.39699999999976</v>
      </c>
      <c r="AK103" s="13">
        <f t="shared" si="89"/>
        <v>83.28914778416862</v>
      </c>
      <c r="AL103" s="20">
        <f t="shared" si="58"/>
        <v>769.27004072409318</v>
      </c>
      <c r="AM103" s="59">
        <f t="shared" si="59"/>
        <v>1046.6740959078024</v>
      </c>
      <c r="AN103" s="59">
        <f ca="1">AVERAGE(OFFSET($AM$3,0,0,'Données projet'!$E$10+1,1))-AVERAGE(OFFSET($H$3,0,0,'Données projet'!$E$10+1,1))</f>
        <v>596.42822894047072</v>
      </c>
      <c r="AO103" s="59">
        <f t="shared" si="90"/>
        <v>298.31525330951047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63.801282051282051</v>
      </c>
      <c r="AR103" s="16">
        <f>IF(ISNA(VLOOKUP(A103,'Données projet'!$A$61:$I$81,5,0)),0%,VLOOKUP(A103,'Données projet'!$A$61:$I$81,5,0)*VLOOKUP('Données projet'!$B$10,Paramètres!$A$1:$I$89,7,0))</f>
        <v>0.30099999999999999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64.107180390746066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64.107180390746066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255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255</v>
      </c>
      <c r="BE103" s="13">
        <f>BD103*VLOOKUP('Données projet'!$B$11,Paramètres!$A$1:$I$89,3,0)*VLOOKUP('Données projet'!$B$11,Paramètres!$A$1:$I$89,5,0)</f>
        <v>266.52600000000007</v>
      </c>
      <c r="BF103" s="13">
        <f t="shared" si="91"/>
        <v>64.111444050688362</v>
      </c>
      <c r="BG103" s="20">
        <f t="shared" si="61"/>
        <v>575.86021505494898</v>
      </c>
      <c r="BH103" s="59">
        <f t="shared" si="62"/>
        <v>853.26427023865813</v>
      </c>
      <c r="BI103" s="59">
        <f ca="1">AVERAGE(OFFSET($BH$3,0,0,'Données projet'!$E$11+1,1))-AVERAGE(OFFSET($H$3,0,0,'Données projet'!$E$11+1,1))</f>
        <v>446.06835300781546</v>
      </c>
      <c r="BJ103" s="59">
        <f t="shared" si="92"/>
        <v>396.46809188573138</v>
      </c>
      <c r="BK103" s="15">
        <f>IF(ISNA(VLOOKUP(A103,'Données projet'!$A$87:$I$107,3,0)),0,VLOOKUP(A103,'Données projet'!$A$87:$I$107,3,0))</f>
        <v>17</v>
      </c>
      <c r="BL103" s="15" t="str">
        <f>IF(ISNA(VLOOKUP(A103,'Données projet'!$A$87:$I$107,4,0)),0,VLOOKUP(A103,'Données projet'!$A$87:$I$107,4,0))</f>
        <v>12</v>
      </c>
      <c r="BM103" s="16">
        <f>IF(ISNA(VLOOKUP(A103,'Données projet'!$A$87:$I$107,5,0)),0%,VLOOKUP(A103,'Données projet'!$A$87:$I$107,5,0)*VLOOKUP('Données projet'!$B$11,Paramètres!$A$1:$I$89,7,0))</f>
        <v>0.30099999999999999</v>
      </c>
      <c r="BN103" s="16">
        <f>IF(ISNA(VLOOKUP(A103,'Données projet'!$A$87:$I$107,6,0)),0%,VLOOKUP(A103,'Données projet'!$A$87:$I$107,6,0)*VLOOKUP('Données projet'!$B$11,Paramètres!$A$1:$I$89,7,0))</f>
        <v>8.6000000000000007E-2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32.605605728972506</v>
      </c>
      <c r="BQ103" s="21">
        <f>EXP(-LN(2)/25)*BQ102+(1-EXP(-LN(2)/25))/(LN(2)/25)*Calculateur!BL103*Calculateur!BN103*VLOOKUP('Données projet'!$B$11,Paramètres!$A$1:$I$89,3,0)*0.475*44/12</f>
        <v>17.815457934922939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50.421063663895445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7.5699999999999985</v>
      </c>
      <c r="BY103" s="12">
        <f>IF('Données projet'!$A$114&gt;35,BY102+BX103-CG102,IF(A103&lt;'Données projet'!$A$114,$BV$205^A103,IF(A103='Données projet'!$A$114,'Données projet'!$B$114,BY102+BX103-CG102)))</f>
        <v>300.02999999999963</v>
      </c>
      <c r="BZ103" s="13">
        <f>BY103*VLOOKUP('Données projet'!$B$12,Paramètres!$A$1:$I$89,3,0)*VLOOKUP('Données projet'!$B$12,Paramètres!$A$1:$I$89,5,0)</f>
        <v>140.41403999999983</v>
      </c>
      <c r="CA103" s="13">
        <f t="shared" si="93"/>
        <v>36.391839936873481</v>
      </c>
      <c r="CB103" s="20">
        <f t="shared" si="64"/>
        <v>307.936907556721</v>
      </c>
      <c r="CC103" s="59">
        <f t="shared" si="65"/>
        <v>585.3409627404302</v>
      </c>
      <c r="CD103" s="59">
        <f ca="1">AVERAGE(OFFSET($CC$3,0,0,'Données projet'!$E$12+1,1))-AVERAGE(OFFSET($H$3,0,0,'Données projet'!$E$12+1,1))</f>
        <v>307.52821153421951</v>
      </c>
      <c r="CE103" s="59">
        <f t="shared" si="94"/>
        <v>221.23619018904222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97.90182752037488</v>
      </c>
      <c r="CL103" s="21">
        <f>EXP(-LN(2)/25)*CL102+(1-EXP(-LN(2)/25))/(LN(2)/25)*Calculateur!CG103*Calculateur!CI103*VLOOKUP('Données projet'!$B$12,Paramètres!$A$1:$I$89,3,0)*0.475*44/12</f>
        <v>24.181699884752753</v>
      </c>
      <c r="CM103" s="21">
        <f>EXP(-LN(2)/2)*CM102+(1-EXP(-LN(2)/2))/(LN(2)/2)*CG103*CJ103*VLOOKUP('Données projet'!$B$12,Paramètres!$A$1:$I$89,3,0)*0.475*44/12</f>
        <v>0.715419586265855</v>
      </c>
      <c r="CN103" s="22">
        <f t="shared" si="66"/>
        <v>122.79894699139348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6.071794871794876</v>
      </c>
      <c r="CT103" s="12">
        <f>IF('Données projet'!$A$140&gt;35,CT102+CS103-DB102,IF(A103&lt;'Données projet'!$A$140,$CQ$205^A103,IF(A103='Données projet'!$A$140,'Données projet'!$B$140,CT102+CS103-DB102)))</f>
        <v>255.43076923076927</v>
      </c>
      <c r="CU103" s="17">
        <f>CT103*VLOOKUP('Données projet'!$B$13,Paramètres!$A$1:$I$89,3,0)*VLOOKUP('Données projet'!$B$13,Paramètres!$A$1:$I$89,5,0)</f>
        <v>290.88456000000002</v>
      </c>
      <c r="CV103" s="13">
        <f t="shared" si="95"/>
        <v>69.262098978428369</v>
      </c>
      <c r="CW103" s="20">
        <f t="shared" si="67"/>
        <v>627.25543105409599</v>
      </c>
      <c r="CX103" s="59">
        <f t="shared" si="68"/>
        <v>904.65948623780514</v>
      </c>
      <c r="CY103" s="59">
        <f ca="1">AVERAGE(OFFSET($CX$3,0,0,'Données projet'!$E$13+1,1))-AVERAGE(OFFSET($H$3,0,0,'Données projet'!$E$13+1,1))</f>
        <v>598.12133208901378</v>
      </c>
      <c r="CZ103" s="59">
        <f t="shared" si="96"/>
        <v>246.23353541360947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28.940319691433611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28.940319691433611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266.99999999999983</v>
      </c>
      <c r="DP103" s="17">
        <f>DO103*VLOOKUP('Données projet'!$B$14,Paramètres!$A$1:$I$89,3,0)*VLOOKUP('Données projet'!$B$14,Paramètres!$A$1:$I$89,5,0)</f>
        <v>212.42519999999985</v>
      </c>
      <c r="DQ103" s="13">
        <f t="shared" si="97"/>
        <v>52.465198231787184</v>
      </c>
      <c r="DR103" s="20">
        <f t="shared" si="70"/>
        <v>461.35077692036231</v>
      </c>
      <c r="DS103" s="59">
        <f t="shared" si="71"/>
        <v>738.75483210407151</v>
      </c>
      <c r="DT103" s="59">
        <f ca="1">AVERAGE(OFFSET($DS$3,0,0,'Données projet'!$E$14+1,1))-AVERAGE(OFFSET($H$3,0,0,'Données projet'!$E$14+1,1))</f>
        <v>323.01113210765487</v>
      </c>
      <c r="DU103" s="59">
        <f t="shared" si="98"/>
        <v>311.68541696405975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19.344853470933433</v>
      </c>
      <c r="EB103" s="21">
        <f>EXP(-LN(2)/25)*EB102+(1-EXP(-LN(2)/25))/(LN(2)/25)*Calculateur!DW103*Calculateur!DY103*VLOOKUP('Données projet'!$B$14,Paramètres!$A$1:$I$89,3,0)*0.475*44/12</f>
        <v>4.7873098847194999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24.132163355652935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337.99164391755608</v>
      </c>
      <c r="T104" s="59">
        <f t="shared" si="88"/>
        <v>421.45428231923393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7.2711538461538394</v>
      </c>
      <c r="AI104" s="13">
        <f>IF('Données projet'!$A$62&gt;35,AI103+AH104-AQ103,IF(A104&lt;'Données projet'!$A$62,$AF$205^A104,IF(A104='Données projet'!$A$62,'Données projet'!$B$62,AI103+AH104-AQ103)))</f>
        <v>296.91858974358945</v>
      </c>
      <c r="AJ104" s="13">
        <f>AI104*VLOOKUP('Données projet'!$B$10,Paramètres!$A$1:$I$89,3,0)*VLOOKUP('Données projet'!$B$10,Paramètres!$A$1:$I$89,5,0)</f>
        <v>301.07544999999971</v>
      </c>
      <c r="AK104" s="13">
        <f t="shared" si="89"/>
        <v>71.401872128357041</v>
      </c>
      <c r="AL104" s="20">
        <f t="shared" si="58"/>
        <v>648.73133604022132</v>
      </c>
      <c r="AM104" s="59">
        <f t="shared" si="59"/>
        <v>926.41172858729578</v>
      </c>
      <c r="AN104" s="59">
        <f ca="1">AVERAGE(OFFSET($AM$3,0,0,'Données projet'!$E$10+1,1))-AVERAGE(OFFSET($H$3,0,0,'Données projet'!$E$10+1,1))</f>
        <v>596.42822894047072</v>
      </c>
      <c r="AO104" s="59">
        <f t="shared" si="90"/>
        <v>298.31525330951047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62.850077684802621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62.850077684802621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243</v>
      </c>
      <c r="BE104" s="13">
        <f>BD104*VLOOKUP('Données projet'!$B$11,Paramètres!$A$1:$I$89,3,0)*VLOOKUP('Données projet'!$B$11,Paramètres!$A$1:$I$89,5,0)</f>
        <v>253.98360000000002</v>
      </c>
      <c r="BF104" s="13">
        <f t="shared" si="91"/>
        <v>61.438182405444294</v>
      </c>
      <c r="BG104" s="20">
        <f t="shared" si="61"/>
        <v>549.35960435614891</v>
      </c>
      <c r="BH104" s="59">
        <f t="shared" si="62"/>
        <v>827.03999690322325</v>
      </c>
      <c r="BI104" s="59">
        <f ca="1">AVERAGE(OFFSET($BH$3,0,0,'Données projet'!$E$11+1,1))-AVERAGE(OFFSET($H$3,0,0,'Données projet'!$E$11+1,1))</f>
        <v>446.06835300781546</v>
      </c>
      <c r="BJ104" s="59">
        <f t="shared" si="92"/>
        <v>396.46809188573138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31.966229688083128</v>
      </c>
      <c r="BQ104" s="21">
        <f>EXP(-LN(2)/25)*BQ103+(1-EXP(-LN(2)/25))/(LN(2)/25)*Calculateur!BL104*Calculateur!BN104*VLOOKUP('Données projet'!$B$11,Paramètres!$A$1:$I$89,3,0)*0.475*44/12</f>
        <v>17.328293300818256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49.294522988901385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>
        <f>VLOOKUP(A104,'Données projet'!$A$113:$I$133,2,0)</f>
        <v>307.60000000000002</v>
      </c>
      <c r="BW104" s="12">
        <f>VLOOKUP(A104,'Données projet'!$A$113:$I$133,9,0)</f>
        <v>7.5699999999999985</v>
      </c>
      <c r="BX104" s="12">
        <f t="array" ref="BX104">INDEX(BW:BW,MIN(IF(ISNUMBER(BW104:BW300),ROW(BW104:BW300),"")))</f>
        <v>7.5699999999999985</v>
      </c>
      <c r="BY104" s="12">
        <f>IF('Données projet'!$A$114&gt;35,BY103+BX104-CG103,IF(A104&lt;'Données projet'!$A$114,$BV$205^A104,IF(A104='Données projet'!$A$114,'Données projet'!$B$114,BY103+BX104-CG103)))</f>
        <v>307.59999999999962</v>
      </c>
      <c r="BZ104" s="13">
        <f>BY104*VLOOKUP('Données projet'!$B$12,Paramètres!$A$1:$I$89,3,0)*VLOOKUP('Données projet'!$B$12,Paramètres!$A$1:$I$89,5,0)</f>
        <v>143.95679999999982</v>
      </c>
      <c r="CA104" s="13">
        <f t="shared" si="93"/>
        <v>37.201977249519672</v>
      </c>
      <c r="CB104" s="20">
        <f t="shared" si="64"/>
        <v>315.51820370957972</v>
      </c>
      <c r="CC104" s="59">
        <f t="shared" si="65"/>
        <v>593.19859625665413</v>
      </c>
      <c r="CD104" s="59">
        <f ca="1">AVERAGE(OFFSET($CC$3,0,0,'Données projet'!$E$12+1,1))-AVERAGE(OFFSET($H$3,0,0,'Données projet'!$E$12+1,1))</f>
        <v>307.52821153421951</v>
      </c>
      <c r="CE104" s="59">
        <f t="shared" si="94"/>
        <v>221.23619018904222</v>
      </c>
      <c r="CF104" s="15">
        <f>IF(ISNA(VLOOKUP(A104,'Données projet'!$A$113:$I$133,3,0)),0,VLOOKUP(A104,'Données projet'!$A$113:$I$133,3,0))</f>
        <v>8</v>
      </c>
      <c r="CG104" s="15">
        <f>IF(ISNA(VLOOKUP(A104,'Données projet'!$A$113:$I$133,4,0)),0,VLOOKUP(A104,'Données projet'!$A$113:$I$133,4,0))</f>
        <v>307.60000000000002</v>
      </c>
      <c r="CH104" s="16">
        <f>IF(ISNA(VLOOKUP(A104,'Données projet'!$A$113:$I$133,5,0)),0%,VLOOKUP(A104,'Données projet'!$A$113:$I$133,5,0)*VLOOKUP('Données projet'!$B$12,Paramètres!$A$1:$I$89,7,0))</f>
        <v>0.38500000000000001</v>
      </c>
      <c r="CI104" s="16">
        <f>IF(ISNA(VLOOKUP(A104,'Données projet'!$A$113:$I$133,6,0)),0%,VLOOKUP(A104,'Données projet'!$A$113:$I$133,6,0)*VLOOKUP('Données projet'!$B$12,Paramètres!$A$1:$I$89,7,0))</f>
        <v>9.3500000000000014E-2</v>
      </c>
      <c r="CJ104" s="16">
        <f>IF(ISNA(VLOOKUP(A104,'Données projet'!$A$113:$I$133,7,0)),0%,VLOOKUP(A104,'Données projet'!$A$113:$I$133,7,0))</f>
        <v>0.13</v>
      </c>
      <c r="CK104" s="21">
        <f>EXP(-LN(2)/35)*CK103+(1-EXP(-LN(2)/35))/(LN(2)/35)*CG104*CH104*VLOOKUP('Données projet'!$B$12,Paramètres!$A$1:$I$89,3,0)*0.475*44/12</f>
        <v>169.50470238646409</v>
      </c>
      <c r="CL104" s="21">
        <f>EXP(-LN(2)/25)*CL103+(1-EXP(-LN(2)/25))/(LN(2)/25)*Calculateur!CG104*Calculateur!CI104*VLOOKUP('Données projet'!$B$12,Paramètres!$A$1:$I$89,3,0)*0.475*44/12</f>
        <v>41.305651669727695</v>
      </c>
      <c r="CM104" s="21">
        <f>EXP(-LN(2)/2)*CM103+(1-EXP(-LN(2)/2))/(LN(2)/2)*CG104*CJ104*VLOOKUP('Données projet'!$B$12,Paramètres!$A$1:$I$89,3,0)*0.475*44/12</f>
        <v>21.694908033954796</v>
      </c>
      <c r="CN104" s="22">
        <f t="shared" si="66"/>
        <v>232.50526209014657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6.071794871794876</v>
      </c>
      <c r="CT104" s="12">
        <f>IF('Données projet'!$A$140&gt;35,CT103+CS104-DB103,IF(A104&lt;'Données projet'!$A$140,$CQ$205^A104,IF(A104='Données projet'!$A$140,'Données projet'!$B$140,CT103+CS104-DB103)))</f>
        <v>261.50256410256412</v>
      </c>
      <c r="CU104" s="17">
        <f>CT104*VLOOKUP('Données projet'!$B$13,Paramètres!$A$1:$I$89,3,0)*VLOOKUP('Données projet'!$B$13,Paramètres!$A$1:$I$89,5,0)</f>
        <v>297.79912000000002</v>
      </c>
      <c r="CV104" s="13">
        <f t="shared" si="95"/>
        <v>70.714876951448147</v>
      </c>
      <c r="CW104" s="20">
        <f t="shared" si="67"/>
        <v>641.82854469043889</v>
      </c>
      <c r="CX104" s="59">
        <f t="shared" si="68"/>
        <v>919.50893723751324</v>
      </c>
      <c r="CY104" s="59">
        <f ca="1">AVERAGE(OFFSET($CX$3,0,0,'Données projet'!$E$13+1,1))-AVERAGE(OFFSET($H$3,0,0,'Données projet'!$E$13+1,1))</f>
        <v>598.12133208901378</v>
      </c>
      <c r="CZ104" s="59">
        <f t="shared" si="96"/>
        <v>246.23353541360947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28.372817674136634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28.372817674136634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266.99999999999983</v>
      </c>
      <c r="DP104" s="17">
        <f>DO104*VLOOKUP('Données projet'!$B$14,Paramètres!$A$1:$I$89,3,0)*VLOOKUP('Données projet'!$B$14,Paramètres!$A$1:$I$89,5,0)</f>
        <v>212.42519999999985</v>
      </c>
      <c r="DQ104" s="13">
        <f t="shared" si="97"/>
        <v>52.465198231787184</v>
      </c>
      <c r="DR104" s="20">
        <f t="shared" si="70"/>
        <v>461.35077692036231</v>
      </c>
      <c r="DS104" s="59">
        <f t="shared" si="71"/>
        <v>739.03116946743671</v>
      </c>
      <c r="DT104" s="59">
        <f ca="1">AVERAGE(OFFSET($DS$3,0,0,'Données projet'!$E$14+1,1))-AVERAGE(OFFSET($H$3,0,0,'Données projet'!$E$14+1,1))</f>
        <v>323.01113210765487</v>
      </c>
      <c r="DU104" s="59">
        <f t="shared" si="98"/>
        <v>311.68541696405975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18.965512693563973</v>
      </c>
      <c r="EB104" s="21">
        <f>EXP(-LN(2)/25)*EB103+(1-EXP(-LN(2)/25))/(LN(2)/25)*Calculateur!DW104*Calculateur!DY104*VLOOKUP('Données projet'!$B$14,Paramètres!$A$1:$I$89,3,0)*0.475*44/12</f>
        <v>4.6564006441681602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23.621913337732131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337.99164391755608</v>
      </c>
      <c r="T105" s="59">
        <f t="shared" si="88"/>
        <v>421.45428231923393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7.2711538461538394</v>
      </c>
      <c r="AI105" s="13">
        <f>IF('Données projet'!$A$62&gt;35,AI104+AH105-AQ104,IF(A105&lt;'Données projet'!$A$62,$AF$205^A105,IF(A105='Données projet'!$A$62,'Données projet'!$B$62,AI104+AH105-AQ104)))</f>
        <v>304.18974358974327</v>
      </c>
      <c r="AJ105" s="13">
        <f>AI105*VLOOKUP('Données projet'!$B$10,Paramètres!$A$1:$I$89,3,0)*VLOOKUP('Données projet'!$B$10,Paramètres!$A$1:$I$89,5,0)</f>
        <v>308.44839999999971</v>
      </c>
      <c r="AK105" s="13">
        <f t="shared" si="89"/>
        <v>72.944699768355846</v>
      </c>
      <c r="AL105" s="20">
        <f t="shared" si="58"/>
        <v>664.25964876321927</v>
      </c>
      <c r="AM105" s="59">
        <f t="shared" si="59"/>
        <v>942.21158483820227</v>
      </c>
      <c r="AN105" s="59">
        <f ca="1">AVERAGE(OFFSET($AM$3,0,0,'Données projet'!$E$10+1,1))-AVERAGE(OFFSET($H$3,0,0,'Données projet'!$E$10+1,1))</f>
        <v>596.42822894047072</v>
      </c>
      <c r="AO105" s="59">
        <f t="shared" si="90"/>
        <v>298.31525330951047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61.617625996165785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61.617625996165785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243</v>
      </c>
      <c r="BE105" s="13">
        <f>BD105*VLOOKUP('Données projet'!$B$11,Paramètres!$A$1:$I$89,3,0)*VLOOKUP('Données projet'!$B$11,Paramètres!$A$1:$I$89,5,0)</f>
        <v>253.98360000000002</v>
      </c>
      <c r="BF105" s="13">
        <f t="shared" si="91"/>
        <v>61.438182405444294</v>
      </c>
      <c r="BG105" s="20">
        <f t="shared" si="61"/>
        <v>549.35960435614891</v>
      </c>
      <c r="BH105" s="59">
        <f t="shared" si="62"/>
        <v>827.31154043113179</v>
      </c>
      <c r="BI105" s="59">
        <f ca="1">AVERAGE(OFFSET($BH$3,0,0,'Données projet'!$E$11+1,1))-AVERAGE(OFFSET($H$3,0,0,'Données projet'!$E$11+1,1))</f>
        <v>446.06835300781546</v>
      </c>
      <c r="BJ105" s="59">
        <f t="shared" si="92"/>
        <v>396.46809188573138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31.339391421374714</v>
      </c>
      <c r="BQ105" s="21">
        <f>EXP(-LN(2)/25)*BQ104+(1-EXP(-LN(2)/25))/(LN(2)/25)*Calculateur!BL105*Calculateur!BN105*VLOOKUP('Données projet'!$B$11,Paramètres!$A$1:$I$89,3,0)*0.475*44/12</f>
        <v>16.85445020925204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48.19384163062675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-3.979039320256561E-13</v>
      </c>
      <c r="BZ105" s="13">
        <f>BY105*VLOOKUP('Données projet'!$B$12,Paramètres!$A$1:$I$89,3,0)*VLOOKUP('Données projet'!$B$12,Paramètres!$A$1:$I$89,5,0)</f>
        <v>-1.8621904018800707E-13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307.52821153421951</v>
      </c>
      <c r="CE105" s="59">
        <f t="shared" si="94"/>
        <v>221.23619018904222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166.18081856032529</v>
      </c>
      <c r="CL105" s="21">
        <f>EXP(-LN(2)/25)*CL104+(1-EXP(-LN(2)/25))/(LN(2)/25)*Calculateur!CG105*Calculateur!CI105*VLOOKUP('Données projet'!$B$12,Paramètres!$A$1:$I$89,3,0)*0.475*44/12</f>
        <v>40.176146452649178</v>
      </c>
      <c r="CM105" s="21">
        <f>EXP(-LN(2)/2)*CM104+(1-EXP(-LN(2)/2))/(LN(2)/2)*CG105*CJ105*VLOOKUP('Données projet'!$B$12,Paramètres!$A$1:$I$89,3,0)*0.475*44/12</f>
        <v>15.340616588027947</v>
      </c>
      <c r="CN105" s="22">
        <f t="shared" si="66"/>
        <v>221.69758160100241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6.071794871794876</v>
      </c>
      <c r="CT105" s="12">
        <f>IF('Données projet'!$A$140&gt;35,CT104+CS105-DB104,IF(A105&lt;'Données projet'!$A$140,$CQ$205^A105,IF(A105='Données projet'!$A$140,'Données projet'!$B$140,CT104+CS105-DB104)))</f>
        <v>267.57435897435897</v>
      </c>
      <c r="CU105" s="17">
        <f>CT105*VLOOKUP('Données projet'!$B$13,Paramètres!$A$1:$I$89,3,0)*VLOOKUP('Données projet'!$B$13,Paramètres!$A$1:$I$89,5,0)</f>
        <v>304.71368000000001</v>
      </c>
      <c r="CV105" s="13">
        <f t="shared" si="95"/>
        <v>72.163733463787736</v>
      </c>
      <c r="CW105" s="20">
        <f t="shared" si="67"/>
        <v>656.39482844943029</v>
      </c>
      <c r="CX105" s="59">
        <f t="shared" si="68"/>
        <v>934.34676452441317</v>
      </c>
      <c r="CY105" s="59">
        <f ca="1">AVERAGE(OFFSET($CX$3,0,0,'Données projet'!$E$13+1,1))-AVERAGE(OFFSET($H$3,0,0,'Données projet'!$E$13+1,1))</f>
        <v>598.12133208901378</v>
      </c>
      <c r="CZ105" s="59">
        <f t="shared" si="96"/>
        <v>246.23353541360947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27.8164440252568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27.8164440252568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266.99999999999983</v>
      </c>
      <c r="DP105" s="17">
        <f>DO105*VLOOKUP('Données projet'!$B$14,Paramètres!$A$1:$I$89,3,0)*VLOOKUP('Données projet'!$B$14,Paramètres!$A$1:$I$89,5,0)</f>
        <v>212.42519999999985</v>
      </c>
      <c r="DQ105" s="13">
        <f t="shared" si="97"/>
        <v>52.465198231787184</v>
      </c>
      <c r="DR105" s="20">
        <f t="shared" si="70"/>
        <v>461.35077692036231</v>
      </c>
      <c r="DS105" s="59">
        <f t="shared" si="71"/>
        <v>739.30271299534525</v>
      </c>
      <c r="DT105" s="59">
        <f ca="1">AVERAGE(OFFSET($DS$3,0,0,'Données projet'!$E$14+1,1))-AVERAGE(OFFSET($H$3,0,0,'Données projet'!$E$14+1,1))</f>
        <v>323.01113210765487</v>
      </c>
      <c r="DU105" s="59">
        <f t="shared" si="98"/>
        <v>311.68541696405975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18.593610557463698</v>
      </c>
      <c r="EB105" s="21">
        <f>EXP(-LN(2)/25)*EB104+(1-EXP(-LN(2)/25))/(LN(2)/25)*Calculateur!DW105*Calculateur!DY105*VLOOKUP('Données projet'!$B$14,Paramètres!$A$1:$I$89,3,0)*0.475*44/12</f>
        <v>4.5290711236839147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23.122681681147611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337.99164391755608</v>
      </c>
      <c r="T106" s="59">
        <f t="shared" si="88"/>
        <v>421.45428231923393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7.2711538461538394</v>
      </c>
      <c r="AI106" s="13">
        <f>IF('Données projet'!$A$62&gt;35,AI105+AH106-AQ105,IF(A106&lt;'Données projet'!$A$62,$AF$205^A106,IF(A106='Données projet'!$A$62,'Données projet'!$B$62,AI105+AH106-AQ105)))</f>
        <v>311.4608974358971</v>
      </c>
      <c r="AJ106" s="13">
        <f>AI106*VLOOKUP('Données projet'!$B$10,Paramètres!$A$1:$I$89,3,0)*VLOOKUP('Données projet'!$B$10,Paramètres!$A$1:$I$89,5,0)</f>
        <v>315.82134999999971</v>
      </c>
      <c r="AK106" s="13">
        <f t="shared" si="89"/>
        <v>74.483240256864079</v>
      </c>
      <c r="AL106" s="20">
        <f t="shared" si="58"/>
        <v>679.78049469737095</v>
      </c>
      <c r="AM106" s="59">
        <f t="shared" si="59"/>
        <v>957.99926362713359</v>
      </c>
      <c r="AN106" s="59">
        <f ca="1">AVERAGE(OFFSET($AM$3,0,0,'Données projet'!$E$10+1,1))-AVERAGE(OFFSET($H$3,0,0,'Données projet'!$E$10+1,1))</f>
        <v>596.42822894047072</v>
      </c>
      <c r="AO106" s="59">
        <f t="shared" si="90"/>
        <v>298.31525330951047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60.409341933421814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60.409341933421814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243</v>
      </c>
      <c r="BE106" s="13">
        <f>BD106*VLOOKUP('Données projet'!$B$11,Paramètres!$A$1:$I$89,3,0)*VLOOKUP('Données projet'!$B$11,Paramètres!$A$1:$I$89,5,0)</f>
        <v>253.98360000000002</v>
      </c>
      <c r="BF106" s="13">
        <f t="shared" si="91"/>
        <v>61.438182405444294</v>
      </c>
      <c r="BG106" s="20">
        <f t="shared" si="61"/>
        <v>549.35960435614891</v>
      </c>
      <c r="BH106" s="59">
        <f t="shared" si="62"/>
        <v>827.57837328591154</v>
      </c>
      <c r="BI106" s="59">
        <f ca="1">AVERAGE(OFFSET($BH$3,0,0,'Données projet'!$E$11+1,1))-AVERAGE(OFFSET($H$3,0,0,'Données projet'!$E$11+1,1))</f>
        <v>446.06835300781546</v>
      </c>
      <c r="BJ106" s="59">
        <f t="shared" si="92"/>
        <v>396.46809188573138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30.724845070742859</v>
      </c>
      <c r="BQ106" s="21">
        <f>EXP(-LN(2)/25)*BQ105+(1-EXP(-LN(2)/25))/(LN(2)/25)*Calculateur!BL106*Calculateur!BN106*VLOOKUP('Données projet'!$B$11,Paramètres!$A$1:$I$89,3,0)*0.475*44/12</f>
        <v>16.393564381943026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47.118409452685881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-3.979039320256561E-13</v>
      </c>
      <c r="BZ106" s="13">
        <f>BY106*VLOOKUP('Données projet'!$B$12,Paramètres!$A$1:$I$89,3,0)*VLOOKUP('Données projet'!$B$12,Paramètres!$A$1:$I$89,5,0)</f>
        <v>-1.8621904018800707E-13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307.52821153421951</v>
      </c>
      <c r="CE106" s="59">
        <f t="shared" si="94"/>
        <v>221.23619018904222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162.92211406864814</v>
      </c>
      <c r="CL106" s="21">
        <f>EXP(-LN(2)/25)*CL105+(1-EXP(-LN(2)/25))/(LN(2)/25)*Calculateur!CG106*Calculateur!CI106*VLOOKUP('Données projet'!$B$12,Paramètres!$A$1:$I$89,3,0)*0.475*44/12</f>
        <v>39.077527615129767</v>
      </c>
      <c r="CM106" s="21">
        <f>EXP(-LN(2)/2)*CM105+(1-EXP(-LN(2)/2))/(LN(2)/2)*CG106*CJ106*VLOOKUP('Données projet'!$B$12,Paramètres!$A$1:$I$89,3,0)*0.475*44/12</f>
        <v>10.8474540169774</v>
      </c>
      <c r="CN106" s="22">
        <f t="shared" si="66"/>
        <v>212.84709570075529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6.071794871794876</v>
      </c>
      <c r="CT106" s="12">
        <f>IF('Données projet'!$A$140&gt;35,CT105+CS106-DB105,IF(A106&lt;'Données projet'!$A$140,$CQ$205^A106,IF(A106='Données projet'!$A$140,'Données projet'!$B$140,CT105+CS106-DB105)))</f>
        <v>273.64615384615382</v>
      </c>
      <c r="CU106" s="17">
        <f>CT106*VLOOKUP('Données projet'!$B$13,Paramètres!$A$1:$I$89,3,0)*VLOOKUP('Données projet'!$B$13,Paramètres!$A$1:$I$89,5,0)</f>
        <v>311.62823999999995</v>
      </c>
      <c r="CV106" s="13">
        <f t="shared" si="95"/>
        <v>73.608767745261773</v>
      </c>
      <c r="CW106" s="20">
        <f t="shared" si="67"/>
        <v>670.95445515633082</v>
      </c>
      <c r="CX106" s="59">
        <f t="shared" si="68"/>
        <v>949.17322408609357</v>
      </c>
      <c r="CY106" s="59">
        <f ca="1">AVERAGE(OFFSET($CX$3,0,0,'Données projet'!$E$13+1,1))-AVERAGE(OFFSET($H$3,0,0,'Données projet'!$E$13+1,1))</f>
        <v>598.12133208901378</v>
      </c>
      <c r="CZ106" s="59">
        <f t="shared" si="96"/>
        <v>246.23353541360947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27.270980524277082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27.270980524277082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266.99999999999983</v>
      </c>
      <c r="DP106" s="17">
        <f>DO106*VLOOKUP('Données projet'!$B$14,Paramètres!$A$1:$I$89,3,0)*VLOOKUP('Données projet'!$B$14,Paramètres!$A$1:$I$89,5,0)</f>
        <v>212.42519999999985</v>
      </c>
      <c r="DQ106" s="13">
        <f t="shared" si="97"/>
        <v>52.465198231787184</v>
      </c>
      <c r="DR106" s="20">
        <f t="shared" si="70"/>
        <v>461.35077692036231</v>
      </c>
      <c r="DS106" s="59">
        <f t="shared" si="71"/>
        <v>739.569545850125</v>
      </c>
      <c r="DT106" s="59">
        <f ca="1">AVERAGE(OFFSET($DS$3,0,0,'Données projet'!$E$14+1,1))-AVERAGE(OFFSET($H$3,0,0,'Données projet'!$E$14+1,1))</f>
        <v>323.01113210765487</v>
      </c>
      <c r="DU106" s="59">
        <f t="shared" si="98"/>
        <v>311.68541696405975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18.229001195414448</v>
      </c>
      <c r="EB106" s="21">
        <f>EXP(-LN(2)/25)*EB105+(1-EXP(-LN(2)/25))/(LN(2)/25)*Calculateur!DW106*Calculateur!DY106*VLOOKUP('Données projet'!$B$14,Paramètres!$A$1:$I$89,3,0)*0.475*44/12</f>
        <v>4.4052234356332791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22.634224631047726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337.99164391755608</v>
      </c>
      <c r="T107" s="59">
        <f t="shared" si="88"/>
        <v>421.45428231923393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7.2711538461538394</v>
      </c>
      <c r="AI107" s="13">
        <f>IF('Données projet'!$A$62&gt;35,AI106+AH107-AQ106,IF(A107&lt;'Données projet'!$A$62,$AF$205^A107,IF(A107='Données projet'!$A$62,'Données projet'!$B$62,AI106+AH107-AQ106)))</f>
        <v>318.73205128205092</v>
      </c>
      <c r="AJ107" s="13">
        <f>AI107*VLOOKUP('Données projet'!$B$10,Paramètres!$A$1:$I$89,3,0)*VLOOKUP('Données projet'!$B$10,Paramètres!$A$1:$I$89,5,0)</f>
        <v>323.19429999999966</v>
      </c>
      <c r="AK107" s="13">
        <f t="shared" si="89"/>
        <v>76.017605197498824</v>
      </c>
      <c r="AL107" s="20">
        <f t="shared" si="58"/>
        <v>695.29406821897646</v>
      </c>
      <c r="AM107" s="59">
        <f t="shared" si="59"/>
        <v>973.77504105003732</v>
      </c>
      <c r="AN107" s="59">
        <f ca="1">AVERAGE(OFFSET($AM$3,0,0,'Données projet'!$E$10+1,1))-AVERAGE(OFFSET($H$3,0,0,'Données projet'!$E$10+1,1))</f>
        <v>596.42822894047072</v>
      </c>
      <c r="AO107" s="59">
        <f t="shared" si="90"/>
        <v>298.31525330951047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59.224751584167748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59.224751584167748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243</v>
      </c>
      <c r="BE107" s="13">
        <f>BD107*VLOOKUP('Données projet'!$B$11,Paramètres!$A$1:$I$89,3,0)*VLOOKUP('Données projet'!$B$11,Paramètres!$A$1:$I$89,5,0)</f>
        <v>253.98360000000002</v>
      </c>
      <c r="BF107" s="13">
        <f t="shared" si="91"/>
        <v>61.438182405444294</v>
      </c>
      <c r="BG107" s="20">
        <f t="shared" si="61"/>
        <v>549.35960435614891</v>
      </c>
      <c r="BH107" s="59">
        <f t="shared" si="62"/>
        <v>827.84057718720987</v>
      </c>
      <c r="BI107" s="59">
        <f ca="1">AVERAGE(OFFSET($BH$3,0,0,'Données projet'!$E$11+1,1))-AVERAGE(OFFSET($H$3,0,0,'Données projet'!$E$11+1,1))</f>
        <v>446.06835300781546</v>
      </c>
      <c r="BJ107" s="59">
        <f t="shared" si="92"/>
        <v>396.46809188573138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30.122349599210633</v>
      </c>
      <c r="BQ107" s="21">
        <f>EXP(-LN(2)/25)*BQ106+(1-EXP(-LN(2)/25))/(LN(2)/25)*Calculateur!BL107*Calculateur!BN107*VLOOKUP('Données projet'!$B$11,Paramètres!$A$1:$I$89,3,0)*0.475*44/12</f>
        <v>15.945281501818711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46.067631101029342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-3.979039320256561E-13</v>
      </c>
      <c r="BZ107" s="13">
        <f>BY107*VLOOKUP('Données projet'!$B$12,Paramètres!$A$1:$I$89,3,0)*VLOOKUP('Données projet'!$B$12,Paramètres!$A$1:$I$89,5,0)</f>
        <v>-1.8621904018800707E-13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307.52821153421951</v>
      </c>
      <c r="CE107" s="59">
        <f t="shared" si="94"/>
        <v>221.23619018904222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159.72731078443931</v>
      </c>
      <c r="CL107" s="21">
        <f>EXP(-LN(2)/25)*CL106+(1-EXP(-LN(2)/25))/(LN(2)/25)*Calculateur!CG107*Calculateur!CI107*VLOOKUP('Données projet'!$B$12,Paramètres!$A$1:$I$89,3,0)*0.475*44/12</f>
        <v>38.008950567496179</v>
      </c>
      <c r="CM107" s="21">
        <f>EXP(-LN(2)/2)*CM106+(1-EXP(-LN(2)/2))/(LN(2)/2)*CG107*CJ107*VLOOKUP('Données projet'!$B$12,Paramètres!$A$1:$I$89,3,0)*0.475*44/12</f>
        <v>7.6703082940139744</v>
      </c>
      <c r="CN107" s="22">
        <f t="shared" si="66"/>
        <v>205.40656964594947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279.71794871794873</v>
      </c>
      <c r="CR107" s="12">
        <f>VLOOKUP(A107,'Données projet'!$A$139:$I$159,9,0)</f>
        <v>6.071794871794876</v>
      </c>
      <c r="CS107" s="12">
        <f t="array" ref="CS107">INDEX(CR:CR,MIN(IF(ISNUMBER(CR107:CR303),ROW(CR107:CR303),"")))</f>
        <v>6.071794871794876</v>
      </c>
      <c r="CT107" s="12">
        <f>IF('Données projet'!$A$140&gt;35,CT106+CS107-DB106,IF(A107&lt;'Données projet'!$A$140,$CQ$205^A107,IF(A107='Données projet'!$A$140,'Données projet'!$B$140,CT106+CS107-DB106)))</f>
        <v>279.71794871794867</v>
      </c>
      <c r="CU107" s="17">
        <f>CT107*VLOOKUP('Données projet'!$B$13,Paramètres!$A$1:$I$89,3,0)*VLOOKUP('Données projet'!$B$13,Paramètres!$A$1:$I$89,5,0)</f>
        <v>318.54279999999994</v>
      </c>
      <c r="CV107" s="13">
        <f t="shared" si="95"/>
        <v>75.050074370744738</v>
      </c>
      <c r="CW107" s="20">
        <f t="shared" si="67"/>
        <v>685.50758952904687</v>
      </c>
      <c r="CX107" s="59">
        <f t="shared" si="68"/>
        <v>963.98856236010784</v>
      </c>
      <c r="CY107" s="59">
        <f ca="1">AVERAGE(OFFSET($CX$3,0,0,'Données projet'!$E$13+1,1))-AVERAGE(OFFSET($H$3,0,0,'Données projet'!$E$13+1,1))</f>
        <v>598.12133208901378</v>
      </c>
      <c r="CZ107" s="59">
        <f t="shared" si="96"/>
        <v>246.23353541360947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45.987179487179482</v>
      </c>
      <c r="DC107" s="16">
        <f>IF(ISNA(VLOOKUP(A107,'Données projet'!$A$139:$I$159,5,0)),0%,VLOOKUP(A107,'Données projet'!$A$139:$I$159,5,0)*VLOOKUP('Données projet'!$B$13,Paramètres!$A$1:$I$89,7,0))</f>
        <v>0.30099999999999999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44.162218395786851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44.162218395786851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266.99999999999983</v>
      </c>
      <c r="DP107" s="17">
        <f>DO107*VLOOKUP('Données projet'!$B$14,Paramètres!$A$1:$I$89,3,0)*VLOOKUP('Données projet'!$B$14,Paramètres!$A$1:$I$89,5,0)</f>
        <v>212.42519999999985</v>
      </c>
      <c r="DQ107" s="13">
        <f t="shared" si="97"/>
        <v>52.465198231787184</v>
      </c>
      <c r="DR107" s="20">
        <f t="shared" si="70"/>
        <v>461.35077692036231</v>
      </c>
      <c r="DS107" s="59">
        <f t="shared" si="71"/>
        <v>739.83174975142322</v>
      </c>
      <c r="DT107" s="59">
        <f ca="1">AVERAGE(OFFSET($DS$3,0,0,'Données projet'!$E$14+1,1))-AVERAGE(OFFSET($H$3,0,0,'Données projet'!$E$14+1,1))</f>
        <v>323.01113210765487</v>
      </c>
      <c r="DU107" s="59">
        <f t="shared" si="98"/>
        <v>311.68541696405975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17.87154160056523</v>
      </c>
      <c r="EB107" s="21">
        <f>EXP(-LN(2)/25)*EB106+(1-EXP(-LN(2)/25))/(LN(2)/25)*Calculateur!DW107*Calculateur!DY107*VLOOKUP('Données projet'!$B$14,Paramètres!$A$1:$I$89,3,0)*0.475*44/12</f>
        <v>4.2847623691252545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22.156303969690484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337.99164391755608</v>
      </c>
      <c r="T108" s="59">
        <f t="shared" si="88"/>
        <v>421.45428231923393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7.2711538461538394</v>
      </c>
      <c r="AI108" s="13">
        <f>IF('Données projet'!$A$62&gt;35,AI107+AH108-AQ107,IF(A108&lt;'Données projet'!$A$62,$AF$205^A108,IF(A108='Données projet'!$A$62,'Données projet'!$B$62,AI107+AH108-AQ107)))</f>
        <v>326.00320512820474</v>
      </c>
      <c r="AJ108" s="13">
        <f>AI108*VLOOKUP('Données projet'!$B$10,Paramètres!$A$1:$I$89,3,0)*VLOOKUP('Données projet'!$B$10,Paramètres!$A$1:$I$89,5,0)</f>
        <v>330.5672499999996</v>
      </c>
      <c r="AK108" s="13">
        <f t="shared" si="89"/>
        <v>77.547900811297424</v>
      </c>
      <c r="AL108" s="20">
        <f t="shared" si="58"/>
        <v>710.80055432967572</v>
      </c>
      <c r="AM108" s="59">
        <f t="shared" si="59"/>
        <v>989.53918241054748</v>
      </c>
      <c r="AN108" s="59">
        <f ca="1">AVERAGE(OFFSET($AM$3,0,0,'Données projet'!$E$10+1,1))-AVERAGE(OFFSET($H$3,0,0,'Données projet'!$E$10+1,1))</f>
        <v>596.42822894047072</v>
      </c>
      <c r="AO108" s="59">
        <f t="shared" si="90"/>
        <v>298.31525330951047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58.063390329133782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58.063390329133782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243</v>
      </c>
      <c r="BE108" s="13">
        <f>BD108*VLOOKUP('Données projet'!$B$11,Paramètres!$A$1:$I$89,3,0)*VLOOKUP('Données projet'!$B$11,Paramètres!$A$1:$I$89,5,0)</f>
        <v>253.98360000000002</v>
      </c>
      <c r="BF108" s="13">
        <f t="shared" si="91"/>
        <v>61.438182405444294</v>
      </c>
      <c r="BG108" s="20">
        <f t="shared" si="61"/>
        <v>549.35960435614891</v>
      </c>
      <c r="BH108" s="59">
        <f t="shared" si="62"/>
        <v>828.09823243702067</v>
      </c>
      <c r="BI108" s="59">
        <f ca="1">AVERAGE(OFFSET($BH$3,0,0,'Données projet'!$E$11+1,1))-AVERAGE(OFFSET($H$3,0,0,'Données projet'!$E$11+1,1))</f>
        <v>446.06835300781546</v>
      </c>
      <c r="BJ108" s="59">
        <f t="shared" si="92"/>
        <v>396.46809188573138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29.531668696389204</v>
      </c>
      <c r="BQ108" s="21">
        <f>EXP(-LN(2)/25)*BQ107+(1-EXP(-LN(2)/25))/(LN(2)/25)*Calculateur!BL108*Calculateur!BN108*VLOOKUP('Données projet'!$B$11,Paramètres!$A$1:$I$89,3,0)*0.475*44/12</f>
        <v>15.509256940625567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45.040925637014773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-3.979039320256561E-13</v>
      </c>
      <c r="BZ108" s="13">
        <f>BY108*VLOOKUP('Données projet'!$B$12,Paramètres!$A$1:$I$89,3,0)*VLOOKUP('Données projet'!$B$12,Paramètres!$A$1:$I$89,5,0)</f>
        <v>-1.8621904018800707E-13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307.52821153421951</v>
      </c>
      <c r="CE108" s="59">
        <f t="shared" si="94"/>
        <v>221.23619018904222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156.59515564399621</v>
      </c>
      <c r="CL108" s="21">
        <f>EXP(-LN(2)/25)*CL107+(1-EXP(-LN(2)/25))/(LN(2)/25)*Calculateur!CG108*Calculateur!CI108*VLOOKUP('Données projet'!$B$12,Paramètres!$A$1:$I$89,3,0)*0.475*44/12</f>
        <v>36.969593815424155</v>
      </c>
      <c r="CM108" s="21">
        <f>EXP(-LN(2)/2)*CM107+(1-EXP(-LN(2)/2))/(LN(2)/2)*CG108*CJ108*VLOOKUP('Données projet'!$B$12,Paramètres!$A$1:$I$89,3,0)*0.475*44/12</f>
        <v>5.4237270084887008</v>
      </c>
      <c r="CN108" s="22">
        <f t="shared" si="66"/>
        <v>198.98847646790907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5.9865384615384558</v>
      </c>
      <c r="CT108" s="12">
        <f>IF('Données projet'!$A$140&gt;35,CT107+CS108-DB107,IF(A108&lt;'Données projet'!$A$140,$CQ$205^A108,IF(A108='Données projet'!$A$140,'Données projet'!$B$140,CT107+CS108-DB107)))</f>
        <v>239.71730769230763</v>
      </c>
      <c r="CU108" s="17">
        <f>CT108*VLOOKUP('Données projet'!$B$13,Paramètres!$A$1:$I$89,3,0)*VLOOKUP('Données projet'!$B$13,Paramètres!$A$1:$I$89,5,0)</f>
        <v>272.99006999999995</v>
      </c>
      <c r="CV108" s="13">
        <f t="shared" si="95"/>
        <v>65.483430285950917</v>
      </c>
      <c r="CW108" s="20">
        <f t="shared" si="67"/>
        <v>589.50801299803118</v>
      </c>
      <c r="CX108" s="59">
        <f t="shared" si="68"/>
        <v>868.24664107890294</v>
      </c>
      <c r="CY108" s="59">
        <f ca="1">AVERAGE(OFFSET($CX$3,0,0,'Données projet'!$E$13+1,1))-AVERAGE(OFFSET($H$3,0,0,'Données projet'!$E$13+1,1))</f>
        <v>598.12133208901378</v>
      </c>
      <c r="CZ108" s="59">
        <f t="shared" si="96"/>
        <v>246.23353541360947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43.296224229338954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43.296224229338954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266.99999999999983</v>
      </c>
      <c r="DP108" s="17">
        <f>DO108*VLOOKUP('Données projet'!$B$14,Paramètres!$A$1:$I$89,3,0)*VLOOKUP('Données projet'!$B$14,Paramètres!$A$1:$I$89,5,0)</f>
        <v>212.42519999999985</v>
      </c>
      <c r="DQ108" s="13">
        <f t="shared" si="97"/>
        <v>52.465198231787184</v>
      </c>
      <c r="DR108" s="20">
        <f t="shared" si="70"/>
        <v>461.35077692036231</v>
      </c>
      <c r="DS108" s="59">
        <f t="shared" si="71"/>
        <v>740.08940500123413</v>
      </c>
      <c r="DT108" s="59">
        <f ca="1">AVERAGE(OFFSET($DS$3,0,0,'Données projet'!$E$14+1,1))-AVERAGE(OFFSET($H$3,0,0,'Données projet'!$E$14+1,1))</f>
        <v>323.01113210765487</v>
      </c>
      <c r="DU108" s="59">
        <f t="shared" si="98"/>
        <v>311.68541696405975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17.521091570342183</v>
      </c>
      <c r="EB108" s="21">
        <f>EXP(-LN(2)/25)*EB107+(1-EXP(-LN(2)/25))/(LN(2)/25)*Calculateur!DW108*Calculateur!DY108*VLOOKUP('Données projet'!$B$14,Paramètres!$A$1:$I$89,3,0)*0.475*44/12</f>
        <v>4.1675953168156648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21.688686887157846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337.99164391755608</v>
      </c>
      <c r="T109" s="59">
        <f t="shared" si="88"/>
        <v>421.45428231923393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7.2711538461538394</v>
      </c>
      <c r="AI109" s="13">
        <f>IF('Données projet'!$A$62&gt;35,AI108+AH109-AQ108,IF(A109&lt;'Données projet'!$A$62,$AF$205^A109,IF(A109='Données projet'!$A$62,'Données projet'!$B$62,AI108+AH109-AQ108)))</f>
        <v>333.27435897435856</v>
      </c>
      <c r="AJ109" s="13">
        <f>AI109*VLOOKUP('Données projet'!$B$10,Paramètres!$A$1:$I$89,3,0)*VLOOKUP('Données projet'!$B$10,Paramètres!$A$1:$I$89,5,0)</f>
        <v>337.94019999999961</v>
      </c>
      <c r="AK109" s="13">
        <f t="shared" si="89"/>
        <v>79.074228310489147</v>
      </c>
      <c r="AL109" s="20">
        <f t="shared" si="58"/>
        <v>726.30012930743453</v>
      </c>
      <c r="AM109" s="59">
        <f t="shared" si="59"/>
        <v>1005.2919428955636</v>
      </c>
      <c r="AN109" s="59">
        <f ca="1">AVERAGE(OFFSET($AM$3,0,0,'Données projet'!$E$10+1,1))-AVERAGE(OFFSET($H$3,0,0,'Données projet'!$E$10+1,1))</f>
        <v>596.42822894047072</v>
      </c>
      <c r="AO109" s="59">
        <f t="shared" si="90"/>
        <v>298.31525330951047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56.924802659950615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56.924802659950615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243</v>
      </c>
      <c r="BE109" s="13">
        <f>BD109*VLOOKUP('Données projet'!$B$11,Paramètres!$A$1:$I$89,3,0)*VLOOKUP('Données projet'!$B$11,Paramètres!$A$1:$I$89,5,0)</f>
        <v>253.98360000000002</v>
      </c>
      <c r="BF109" s="13">
        <f t="shared" si="91"/>
        <v>61.438182405444294</v>
      </c>
      <c r="BG109" s="20">
        <f t="shared" si="61"/>
        <v>549.35960435614891</v>
      </c>
      <c r="BH109" s="59">
        <f t="shared" si="62"/>
        <v>828.35141794427796</v>
      </c>
      <c r="BI109" s="59">
        <f ca="1">AVERAGE(OFFSET($BH$3,0,0,'Données projet'!$E$11+1,1))-AVERAGE(OFFSET($H$3,0,0,'Données projet'!$E$11+1,1))</f>
        <v>446.06835300781546</v>
      </c>
      <c r="BJ109" s="59">
        <f t="shared" si="92"/>
        <v>396.46809188573138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28.952570685792328</v>
      </c>
      <c r="BQ109" s="21">
        <f>EXP(-LN(2)/25)*BQ108+(1-EXP(-LN(2)/25))/(LN(2)/25)*Calculateur!BL109*Calculateur!BN109*VLOOKUP('Données projet'!$B$11,Paramètres!$A$1:$I$89,3,0)*0.475*44/12</f>
        <v>15.085155493987786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44.037726179780115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-3.979039320256561E-13</v>
      </c>
      <c r="BZ109" s="13">
        <f>BY109*VLOOKUP('Données projet'!$B$12,Paramètres!$A$1:$I$89,3,0)*VLOOKUP('Données projet'!$B$12,Paramètres!$A$1:$I$89,5,0)</f>
        <v>-1.8621904018800707E-13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307.52821153421951</v>
      </c>
      <c r="CE109" s="59">
        <f t="shared" si="94"/>
        <v>221.23619018904222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153.52442015543119</v>
      </c>
      <c r="CL109" s="21">
        <f>EXP(-LN(2)/25)*CL108+(1-EXP(-LN(2)/25))/(LN(2)/25)*Calculateur!CG109*Calculateur!CI109*VLOOKUP('Données projet'!$B$12,Paramètres!$A$1:$I$89,3,0)*0.475*44/12</f>
        <v>35.958658328394939</v>
      </c>
      <c r="CM109" s="21">
        <f>EXP(-LN(2)/2)*CM108+(1-EXP(-LN(2)/2))/(LN(2)/2)*CG109*CJ109*VLOOKUP('Données projet'!$B$12,Paramètres!$A$1:$I$89,3,0)*0.475*44/12</f>
        <v>3.8351541470069881</v>
      </c>
      <c r="CN109" s="22">
        <f t="shared" si="66"/>
        <v>193.31823263083311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5.9865384615384558</v>
      </c>
      <c r="CT109" s="12">
        <f>IF('Données projet'!$A$140&gt;35,CT108+CS109-DB108,IF(A109&lt;'Données projet'!$A$140,$CQ$205^A109,IF(A109='Données projet'!$A$140,'Données projet'!$B$140,CT108+CS109-DB108)))</f>
        <v>245.70384615384609</v>
      </c>
      <c r="CU109" s="17">
        <f>CT109*VLOOKUP('Données projet'!$B$13,Paramètres!$A$1:$I$89,3,0)*VLOOKUP('Données projet'!$B$13,Paramètres!$A$1:$I$89,5,0)</f>
        <v>279.8075399999999</v>
      </c>
      <c r="CV109" s="13">
        <f t="shared" si="95"/>
        <v>66.926334923058022</v>
      </c>
      <c r="CW109" s="20">
        <f t="shared" si="67"/>
        <v>603.89483215765915</v>
      </c>
      <c r="CX109" s="59">
        <f t="shared" si="68"/>
        <v>882.8866457457882</v>
      </c>
      <c r="CY109" s="59">
        <f ca="1">AVERAGE(OFFSET($CX$3,0,0,'Données projet'!$E$13+1,1))-AVERAGE(OFFSET($H$3,0,0,'Données projet'!$E$13+1,1))</f>
        <v>598.12133208901378</v>
      </c>
      <c r="CZ109" s="59">
        <f t="shared" si="96"/>
        <v>246.23353541360947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42.447211680290813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42.447211680290813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266.99999999999983</v>
      </c>
      <c r="DP109" s="17">
        <f>DO109*VLOOKUP('Données projet'!$B$14,Paramètres!$A$1:$I$89,3,0)*VLOOKUP('Données projet'!$B$14,Paramètres!$A$1:$I$89,5,0)</f>
        <v>212.42519999999985</v>
      </c>
      <c r="DQ109" s="13">
        <f t="shared" si="97"/>
        <v>52.465198231787184</v>
      </c>
      <c r="DR109" s="20">
        <f t="shared" si="70"/>
        <v>461.35077692036231</v>
      </c>
      <c r="DS109" s="59">
        <f t="shared" si="71"/>
        <v>740.34259050849141</v>
      </c>
      <c r="DT109" s="59">
        <f ca="1">AVERAGE(OFFSET($DS$3,0,0,'Données projet'!$E$14+1,1))-AVERAGE(OFFSET($H$3,0,0,'Données projet'!$E$14+1,1))</f>
        <v>323.01113210765487</v>
      </c>
      <c r="DU109" s="59">
        <f t="shared" si="98"/>
        <v>311.68541696405975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17.177513651458394</v>
      </c>
      <c r="EB109" s="21">
        <f>EXP(-LN(2)/25)*EB108+(1-EXP(-LN(2)/25))/(LN(2)/25)*Calculateur!DW109*Calculateur!DY109*VLOOKUP('Données projet'!$B$14,Paramètres!$A$1:$I$89,3,0)*0.475*44/12</f>
        <v>4.0536322037130281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21.231145855171423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337.99164391755608</v>
      </c>
      <c r="T110" s="59">
        <f t="shared" si="88"/>
        <v>421.45428231923393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7.2711538461538394</v>
      </c>
      <c r="AI110" s="13">
        <f>IF('Données projet'!$A$62&gt;35,AI109+AH110-AQ109,IF(A110&lt;'Données projet'!$A$62,$AF$205^A110,IF(A110='Données projet'!$A$62,'Données projet'!$B$62,AI109+AH110-AQ109)))</f>
        <v>340.54551282051239</v>
      </c>
      <c r="AJ110" s="13">
        <f>AI110*VLOOKUP('Données projet'!$B$10,Paramètres!$A$1:$I$89,3,0)*VLOOKUP('Données projet'!$B$10,Paramètres!$A$1:$I$89,5,0)</f>
        <v>345.31314999999961</v>
      </c>
      <c r="AK110" s="13">
        <f t="shared" si="89"/>
        <v>80.596684238727846</v>
      </c>
      <c r="AL110" s="20">
        <f t="shared" si="58"/>
        <v>741.792961299117</v>
      </c>
      <c r="AM110" s="59">
        <f t="shared" si="59"/>
        <v>1021.0335681919906</v>
      </c>
      <c r="AN110" s="59">
        <f ca="1">AVERAGE(OFFSET($AM$3,0,0,'Données projet'!$E$10+1,1))-AVERAGE(OFFSET($H$3,0,0,'Données projet'!$E$10+1,1))</f>
        <v>596.42822894047072</v>
      </c>
      <c r="AO110" s="59">
        <f t="shared" si="90"/>
        <v>298.31525330951047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55.80854200049022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55.80854200049022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243</v>
      </c>
      <c r="BE110" s="13">
        <f>BD110*VLOOKUP('Données projet'!$B$11,Paramètres!$A$1:$I$89,3,0)*VLOOKUP('Données projet'!$B$11,Paramètres!$A$1:$I$89,5,0)</f>
        <v>253.98360000000002</v>
      </c>
      <c r="BF110" s="13">
        <f t="shared" si="91"/>
        <v>61.438182405444294</v>
      </c>
      <c r="BG110" s="20">
        <f t="shared" si="61"/>
        <v>549.35960435614891</v>
      </c>
      <c r="BH110" s="59">
        <f t="shared" si="62"/>
        <v>828.60021124902255</v>
      </c>
      <c r="BI110" s="59">
        <f ca="1">AVERAGE(OFFSET($BH$3,0,0,'Données projet'!$E$11+1,1))-AVERAGE(OFFSET($H$3,0,0,'Données projet'!$E$11+1,1))</f>
        <v>446.06835300781546</v>
      </c>
      <c r="BJ110" s="59">
        <f t="shared" si="92"/>
        <v>396.46809188573138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28.384828433968345</v>
      </c>
      <c r="BQ110" s="21">
        <f>EXP(-LN(2)/25)*BQ109+(1-EXP(-LN(2)/25))/(LN(2)/25)*Calculateur!BL110*Calculateur!BN110*VLOOKUP('Données projet'!$B$11,Paramètres!$A$1:$I$89,3,0)*0.475*44/12</f>
        <v>14.672651123710841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43.057479557679187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-3.979039320256561E-13</v>
      </c>
      <c r="BZ110" s="13">
        <f>BY110*VLOOKUP('Données projet'!$B$12,Paramètres!$A$1:$I$89,3,0)*VLOOKUP('Données projet'!$B$12,Paramètres!$A$1:$I$89,5,0)</f>
        <v>-1.8621904018800707E-13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307.52821153421951</v>
      </c>
      <c r="CE110" s="59">
        <f t="shared" si="94"/>
        <v>221.23619018904222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150.51389991683322</v>
      </c>
      <c r="CL110" s="21">
        <f>EXP(-LN(2)/25)*CL109+(1-EXP(-LN(2)/25))/(LN(2)/25)*Calculateur!CG110*Calculateur!CI110*VLOOKUP('Données projet'!$B$12,Paramètres!$A$1:$I$89,3,0)*0.475*44/12</f>
        <v>34.975366925421326</v>
      </c>
      <c r="CM110" s="21">
        <f>EXP(-LN(2)/2)*CM109+(1-EXP(-LN(2)/2))/(LN(2)/2)*CG110*CJ110*VLOOKUP('Données projet'!$B$12,Paramètres!$A$1:$I$89,3,0)*0.475*44/12</f>
        <v>2.7118635042443509</v>
      </c>
      <c r="CN110" s="22">
        <f t="shared" si="66"/>
        <v>188.2011303464989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5.9865384615384558</v>
      </c>
      <c r="CT110" s="12">
        <f>IF('Données projet'!$A$140&gt;35,CT109+CS110-DB109,IF(A110&lt;'Données projet'!$A$140,$CQ$205^A110,IF(A110='Données projet'!$A$140,'Données projet'!$B$140,CT109+CS110-DB109)))</f>
        <v>251.69038461538454</v>
      </c>
      <c r="CU110" s="17">
        <f>CT110*VLOOKUP('Données projet'!$B$13,Paramètres!$A$1:$I$89,3,0)*VLOOKUP('Données projet'!$B$13,Paramètres!$A$1:$I$89,5,0)</f>
        <v>286.62500999999992</v>
      </c>
      <c r="CV110" s="13">
        <f t="shared" si="95"/>
        <v>68.365152752987314</v>
      </c>
      <c r="CW110" s="20">
        <f t="shared" si="67"/>
        <v>618.27453346145262</v>
      </c>
      <c r="CX110" s="59">
        <f t="shared" si="68"/>
        <v>897.51514035432626</v>
      </c>
      <c r="CY110" s="59">
        <f ca="1">AVERAGE(OFFSET($CX$3,0,0,'Données projet'!$E$13+1,1))-AVERAGE(OFFSET($H$3,0,0,'Données projet'!$E$13+1,1))</f>
        <v>598.12133208901378</v>
      </c>
      <c r="CZ110" s="59">
        <f t="shared" si="96"/>
        <v>246.23353541360947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41.614847749482983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41.614847749482983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266.99999999999983</v>
      </c>
      <c r="DP110" s="17">
        <f>DO110*VLOOKUP('Données projet'!$B$14,Paramètres!$A$1:$I$89,3,0)*VLOOKUP('Données projet'!$B$14,Paramètres!$A$1:$I$89,5,0)</f>
        <v>212.42519999999985</v>
      </c>
      <c r="DQ110" s="13">
        <f t="shared" si="97"/>
        <v>52.465198231787184</v>
      </c>
      <c r="DR110" s="20">
        <f t="shared" si="70"/>
        <v>461.35077692036231</v>
      </c>
      <c r="DS110" s="59">
        <f t="shared" si="71"/>
        <v>740.59138381323601</v>
      </c>
      <c r="DT110" s="59">
        <f ca="1">AVERAGE(OFFSET($DS$3,0,0,'Données projet'!$E$14+1,1))-AVERAGE(OFFSET($H$3,0,0,'Données projet'!$E$14+1,1))</f>
        <v>323.01113210765487</v>
      </c>
      <c r="DU110" s="59">
        <f t="shared" si="98"/>
        <v>311.68541696405975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16.840673086002081</v>
      </c>
      <c r="EB110" s="21">
        <f>EXP(-LN(2)/25)*EB109+(1-EXP(-LN(2)/25))/(LN(2)/25)*Calculateur!DW110*Calculateur!DY110*VLOOKUP('Données projet'!$B$14,Paramètres!$A$1:$I$89,3,0)*0.475*44/12</f>
        <v>3.9427854179312423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20.783458503933325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337.99164391755608</v>
      </c>
      <c r="T111" s="59">
        <f t="shared" si="88"/>
        <v>421.45428231923393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7.2711538461538394</v>
      </c>
      <c r="AI111" s="13">
        <f>IF('Données projet'!$A$62&gt;35,AI110+AH111-AQ110,IF(A111&lt;'Données projet'!$A$62,$AF$205^A111,IF(A111='Données projet'!$A$62,'Données projet'!$B$62,AI110+AH111-AQ110)))</f>
        <v>347.81666666666621</v>
      </c>
      <c r="AJ111" s="13">
        <f>AI111*VLOOKUP('Données projet'!$B$10,Paramètres!$A$1:$I$89,3,0)*VLOOKUP('Données projet'!$B$10,Paramètres!$A$1:$I$89,5,0)</f>
        <v>352.68609999999956</v>
      </c>
      <c r="AK111" s="13">
        <f t="shared" si="89"/>
        <v>82.115360781446753</v>
      </c>
      <c r="AL111" s="20">
        <f t="shared" si="58"/>
        <v>757.2792108610189</v>
      </c>
      <c r="AM111" s="59">
        <f t="shared" si="59"/>
        <v>1036.7642950510183</v>
      </c>
      <c r="AN111" s="59">
        <f ca="1">AVERAGE(OFFSET($AM$3,0,0,'Données projet'!$E$10+1,1))-AVERAGE(OFFSET($H$3,0,0,'Données projet'!$E$10+1,1))</f>
        <v>596.42822894047072</v>
      </c>
      <c r="AO111" s="59">
        <f t="shared" si="90"/>
        <v>298.31525330951047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54.714170531710074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54.714170531710074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243</v>
      </c>
      <c r="BE111" s="13">
        <f>BD111*VLOOKUP('Données projet'!$B$11,Paramètres!$A$1:$I$89,3,0)*VLOOKUP('Données projet'!$B$11,Paramètres!$A$1:$I$89,5,0)</f>
        <v>253.98360000000002</v>
      </c>
      <c r="BF111" s="13">
        <f t="shared" si="91"/>
        <v>61.438182405444294</v>
      </c>
      <c r="BG111" s="20">
        <f t="shared" si="61"/>
        <v>549.35960435614891</v>
      </c>
      <c r="BH111" s="59">
        <f t="shared" si="62"/>
        <v>828.84468854614829</v>
      </c>
      <c r="BI111" s="59">
        <f ca="1">AVERAGE(OFFSET($BH$3,0,0,'Données projet'!$E$11+1,1))-AVERAGE(OFFSET($H$3,0,0,'Données projet'!$E$11+1,1))</f>
        <v>446.06835300781546</v>
      </c>
      <c r="BJ111" s="59">
        <f t="shared" si="92"/>
        <v>396.46809188573138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27.828219261414048</v>
      </c>
      <c r="BQ111" s="21">
        <f>EXP(-LN(2)/25)*BQ110+(1-EXP(-LN(2)/25))/(LN(2)/25)*Calculateur!BL111*Calculateur!BN111*VLOOKUP('Données projet'!$B$11,Paramètres!$A$1:$I$89,3,0)*0.475*44/12</f>
        <v>14.271426707131781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42.099645968545829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-3.979039320256561E-13</v>
      </c>
      <c r="BZ111" s="13">
        <f>BY111*VLOOKUP('Données projet'!$B$12,Paramètres!$A$1:$I$89,3,0)*VLOOKUP('Données projet'!$B$12,Paramètres!$A$1:$I$89,5,0)</f>
        <v>-1.8621904018800707E-13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307.52821153421951</v>
      </c>
      <c r="CE111" s="59">
        <f t="shared" si="94"/>
        <v>221.23619018904222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147.56241414387813</v>
      </c>
      <c r="CL111" s="21">
        <f>EXP(-LN(2)/25)*CL110+(1-EXP(-LN(2)/25))/(LN(2)/25)*Calculateur!CG111*Calculateur!CI111*VLOOKUP('Données projet'!$B$12,Paramètres!$A$1:$I$89,3,0)*0.475*44/12</f>
        <v>34.018963677571072</v>
      </c>
      <c r="CM111" s="21">
        <f>EXP(-LN(2)/2)*CM110+(1-EXP(-LN(2)/2))/(LN(2)/2)*CG111*CJ111*VLOOKUP('Données projet'!$B$12,Paramètres!$A$1:$I$89,3,0)*0.475*44/12</f>
        <v>1.9175770735034943</v>
      </c>
      <c r="CN111" s="22">
        <f t="shared" si="66"/>
        <v>183.49895489495267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5.9865384615384558</v>
      </c>
      <c r="CT111" s="12">
        <f>IF('Données projet'!$A$140&gt;35,CT110+CS111-DB110,IF(A111&lt;'Données projet'!$A$140,$CQ$205^A111,IF(A111='Données projet'!$A$140,'Données projet'!$B$140,CT110+CS111-DB110)))</f>
        <v>257.676923076923</v>
      </c>
      <c r="CU111" s="17">
        <f>CT111*VLOOKUP('Données projet'!$B$13,Paramètres!$A$1:$I$89,3,0)*VLOOKUP('Données projet'!$B$13,Paramètres!$A$1:$I$89,5,0)</f>
        <v>293.44247999999993</v>
      </c>
      <c r="CV111" s="13">
        <f t="shared" si="95"/>
        <v>69.799992167150464</v>
      </c>
      <c r="CW111" s="20">
        <f t="shared" si="67"/>
        <v>632.6473056911201</v>
      </c>
      <c r="CX111" s="59">
        <f t="shared" si="68"/>
        <v>912.13238988111948</v>
      </c>
      <c r="CY111" s="59">
        <f ca="1">AVERAGE(OFFSET($CX$3,0,0,'Données projet'!$E$13+1,1))-AVERAGE(OFFSET($H$3,0,0,'Données projet'!$E$13+1,1))</f>
        <v>598.12133208901378</v>
      </c>
      <c r="CZ111" s="59">
        <f t="shared" si="96"/>
        <v>246.23353541360947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40.798805967666432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40.798805967666432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266.99999999999983</v>
      </c>
      <c r="DP111" s="17">
        <f>DO111*VLOOKUP('Données projet'!$B$14,Paramètres!$A$1:$I$89,3,0)*VLOOKUP('Données projet'!$B$14,Paramètres!$A$1:$I$89,5,0)</f>
        <v>212.42519999999985</v>
      </c>
      <c r="DQ111" s="13">
        <f t="shared" si="97"/>
        <v>52.465198231787184</v>
      </c>
      <c r="DR111" s="20">
        <f t="shared" si="70"/>
        <v>461.35077692036231</v>
      </c>
      <c r="DS111" s="59">
        <f t="shared" si="71"/>
        <v>740.83586111036163</v>
      </c>
      <c r="DT111" s="59">
        <f ca="1">AVERAGE(OFFSET($DS$3,0,0,'Données projet'!$E$14+1,1))-AVERAGE(OFFSET($H$3,0,0,'Données projet'!$E$14+1,1))</f>
        <v>323.01113210765487</v>
      </c>
      <c r="DU111" s="59">
        <f t="shared" si="98"/>
        <v>311.68541696405975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16.510437758581908</v>
      </c>
      <c r="EB111" s="21">
        <f>EXP(-LN(2)/25)*EB110+(1-EXP(-LN(2)/25))/(LN(2)/25)*Calculateur!DW111*Calculateur!DY111*VLOOKUP('Données projet'!$B$14,Paramètres!$A$1:$I$89,3,0)*0.475*44/12</f>
        <v>3.8349697433358387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20.345407501917748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337.99164391755608</v>
      </c>
      <c r="T112" s="59">
        <f t="shared" si="88"/>
        <v>421.45428231923393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7.2711538461538394</v>
      </c>
      <c r="AI112" s="13">
        <f>IF('Données projet'!$A$62&gt;35,AI111+AH112-AQ111,IF(A112&lt;'Données projet'!$A$62,$AF$205^A112,IF(A112='Données projet'!$A$62,'Données projet'!$B$62,AI111+AH112-AQ111)))</f>
        <v>355.08782051282003</v>
      </c>
      <c r="AJ112" s="13">
        <f>AI112*VLOOKUP('Données projet'!$B$10,Paramètres!$A$1:$I$89,3,0)*VLOOKUP('Données projet'!$B$10,Paramètres!$A$1:$I$89,5,0)</f>
        <v>360.05904999999956</v>
      </c>
      <c r="AK112" s="13">
        <f t="shared" si="89"/>
        <v>83.630346049528583</v>
      </c>
      <c r="AL112" s="20">
        <f t="shared" si="58"/>
        <v>772.75903145292807</v>
      </c>
      <c r="AM112" s="59">
        <f t="shared" si="59"/>
        <v>1052.4843518055172</v>
      </c>
      <c r="AN112" s="59">
        <f ca="1">AVERAGE(OFFSET($AM$3,0,0,'Données projet'!$E$10+1,1))-AVERAGE(OFFSET($H$3,0,0,'Données projet'!$E$10+1,1))</f>
        <v>596.42822894047072</v>
      </c>
      <c r="AO112" s="59">
        <f t="shared" si="90"/>
        <v>298.31525330951047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53.641259019932015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53.641259019932015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243</v>
      </c>
      <c r="BE112" s="13">
        <f>BD112*VLOOKUP('Données projet'!$B$11,Paramètres!$A$1:$I$89,3,0)*VLOOKUP('Données projet'!$B$11,Paramètres!$A$1:$I$89,5,0)</f>
        <v>253.98360000000002</v>
      </c>
      <c r="BF112" s="13">
        <f t="shared" si="91"/>
        <v>61.438182405444294</v>
      </c>
      <c r="BG112" s="20">
        <f t="shared" si="61"/>
        <v>549.35960435614891</v>
      </c>
      <c r="BH112" s="59">
        <f t="shared" si="62"/>
        <v>829.08492470873819</v>
      </c>
      <c r="BI112" s="59">
        <f ca="1">AVERAGE(OFFSET($BH$3,0,0,'Données projet'!$E$11+1,1))-AVERAGE(OFFSET($H$3,0,0,'Données projet'!$E$11+1,1))</f>
        <v>446.06835300781546</v>
      </c>
      <c r="BJ112" s="59">
        <f t="shared" si="92"/>
        <v>396.46809188573138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27.282524855235472</v>
      </c>
      <c r="BQ112" s="21">
        <f>EXP(-LN(2)/25)*BQ111+(1-EXP(-LN(2)/25))/(LN(2)/25)*Calculateur!BL112*Calculateur!BN112*VLOOKUP('Données projet'!$B$11,Paramètres!$A$1:$I$89,3,0)*0.475*44/12</f>
        <v>13.88117379332355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41.16369864855902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-3.979039320256561E-13</v>
      </c>
      <c r="BZ112" s="13">
        <f>BY112*VLOOKUP('Données projet'!$B$12,Paramètres!$A$1:$I$89,3,0)*VLOOKUP('Données projet'!$B$12,Paramètres!$A$1:$I$89,5,0)</f>
        <v>-1.8621904018800707E-13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307.52821153421951</v>
      </c>
      <c r="CE112" s="59">
        <f t="shared" si="94"/>
        <v>221.23619018904222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144.66880520670213</v>
      </c>
      <c r="CL112" s="21">
        <f>EXP(-LN(2)/25)*CL111+(1-EXP(-LN(2)/25))/(LN(2)/25)*Calculateur!CG112*Calculateur!CI112*VLOOKUP('Données projet'!$B$12,Paramètres!$A$1:$I$89,3,0)*0.475*44/12</f>
        <v>33.088713326828341</v>
      </c>
      <c r="CM112" s="21">
        <f>EXP(-LN(2)/2)*CM111+(1-EXP(-LN(2)/2))/(LN(2)/2)*CG112*CJ112*VLOOKUP('Données projet'!$B$12,Paramètres!$A$1:$I$89,3,0)*0.475*44/12</f>
        <v>1.3559317521221756</v>
      </c>
      <c r="CN112" s="22">
        <f t="shared" si="66"/>
        <v>179.11345028565265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5.9865384615384558</v>
      </c>
      <c r="CT112" s="12">
        <f>IF('Données projet'!$A$140&gt;35,CT111+CS112-DB111,IF(A112&lt;'Données projet'!$A$140,$CQ$205^A112,IF(A112='Données projet'!$A$140,'Données projet'!$B$140,CT111+CS112-DB111)))</f>
        <v>263.66346153846143</v>
      </c>
      <c r="CU112" s="17">
        <f>CT112*VLOOKUP('Données projet'!$B$13,Paramètres!$A$1:$I$89,3,0)*VLOOKUP('Données projet'!$B$13,Paramètres!$A$1:$I$89,5,0)</f>
        <v>300.25994999999989</v>
      </c>
      <c r="CV112" s="13">
        <f t="shared" si="95"/>
        <v>71.230956233138997</v>
      </c>
      <c r="CW112" s="20">
        <f t="shared" si="67"/>
        <v>647.01332835605024</v>
      </c>
      <c r="CX112" s="59">
        <f t="shared" si="68"/>
        <v>926.73864870863952</v>
      </c>
      <c r="CY112" s="59">
        <f ca="1">AVERAGE(OFFSET($CX$3,0,0,'Données projet'!$E$13+1,1))-AVERAGE(OFFSET($H$3,0,0,'Données projet'!$E$13+1,1))</f>
        <v>598.12133208901378</v>
      </c>
      <c r="CZ112" s="59">
        <f t="shared" si="96"/>
        <v>246.23353541360947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39.998766267454961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39.998766267454961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266.99999999999983</v>
      </c>
      <c r="DP112" s="17">
        <f>DO112*VLOOKUP('Données projet'!$B$14,Paramètres!$A$1:$I$89,3,0)*VLOOKUP('Données projet'!$B$14,Paramètres!$A$1:$I$89,5,0)</f>
        <v>212.42519999999985</v>
      </c>
      <c r="DQ112" s="13">
        <f t="shared" si="97"/>
        <v>52.465198231787184</v>
      </c>
      <c r="DR112" s="20">
        <f t="shared" si="70"/>
        <v>461.35077692036231</v>
      </c>
      <c r="DS112" s="59">
        <f t="shared" si="71"/>
        <v>741.07609727295153</v>
      </c>
      <c r="DT112" s="59">
        <f ca="1">AVERAGE(OFFSET($DS$3,0,0,'Données projet'!$E$14+1,1))-AVERAGE(OFFSET($H$3,0,0,'Données projet'!$E$14+1,1))</f>
        <v>323.01113210765487</v>
      </c>
      <c r="DU112" s="59">
        <f t="shared" si="98"/>
        <v>311.68541696405975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16.186678144508782</v>
      </c>
      <c r="EB112" s="21">
        <f>EXP(-LN(2)/25)*EB111+(1-EXP(-LN(2)/25))/(LN(2)/25)*Calculateur!DW112*Calculateur!DY112*VLOOKUP('Données projet'!$B$14,Paramètres!$A$1:$I$89,3,0)*0.475*44/12</f>
        <v>3.7301022940320263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19.916780438540808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337.99164391755608</v>
      </c>
      <c r="T113" s="59">
        <f t="shared" si="88"/>
        <v>421.45428231923393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362.35897435897431</v>
      </c>
      <c r="AG113" s="12">
        <f>VLOOKUP(A113,'Données projet'!$A$61:$I$81,9,0)</f>
        <v>7.2711538461538394</v>
      </c>
      <c r="AH113" s="12">
        <f t="array" ref="AH113">INDEX(AG:AG,MIN(IF(ISNUMBER(AG113:AG309),ROW(AG113:AG309),"")))</f>
        <v>7.2711538461538394</v>
      </c>
      <c r="AI113" s="13">
        <f>IF('Données projet'!$A$62&gt;35,AI112+AH113-AQ112,IF(A113&lt;'Données projet'!$A$62,$AF$205^A113,IF(A113='Données projet'!$A$62,'Données projet'!$B$62,AI112+AH113-AQ112)))</f>
        <v>362.35897435897385</v>
      </c>
      <c r="AJ113" s="13">
        <f>AI113*VLOOKUP('Données projet'!$B$10,Paramètres!$A$1:$I$89,3,0)*VLOOKUP('Données projet'!$B$10,Paramètres!$A$1:$I$89,5,0)</f>
        <v>367.4319999999995</v>
      </c>
      <c r="AK113" s="13">
        <f t="shared" si="89"/>
        <v>85.141724339085258</v>
      </c>
      <c r="AL113" s="20">
        <f t="shared" si="58"/>
        <v>788.23256989057256</v>
      </c>
      <c r="AM113" s="59">
        <f t="shared" si="59"/>
        <v>1068.1939588454184</v>
      </c>
      <c r="AN113" s="59">
        <f ca="1">AVERAGE(OFFSET($AM$3,0,0,'Données projet'!$E$10+1,1))-AVERAGE(OFFSET($H$3,0,0,'Données projet'!$E$10+1,1))</f>
        <v>596.42822894047072</v>
      </c>
      <c r="AO113" s="59">
        <f t="shared" si="90"/>
        <v>298.31525330951047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50.051282051282051</v>
      </c>
      <c r="AR113" s="16">
        <f>IF(ISNA(VLOOKUP(A113,'Données projet'!$A$61:$I$81,5,0)),0%,VLOOKUP(A113,'Données projet'!$A$61:$I$81,5,0)*VLOOKUP('Données projet'!$B$10,Paramètres!$A$1:$I$89,7,0))</f>
        <v>0.30099999999999999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69.476941291807464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69.476941291807464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243</v>
      </c>
      <c r="BE113" s="13">
        <f>BD113*VLOOKUP('Données projet'!$B$11,Paramètres!$A$1:$I$89,3,0)*VLOOKUP('Données projet'!$B$11,Paramètres!$A$1:$I$89,5,0)</f>
        <v>253.98360000000002</v>
      </c>
      <c r="BF113" s="13">
        <f t="shared" si="91"/>
        <v>61.438182405444294</v>
      </c>
      <c r="BG113" s="20">
        <f t="shared" si="61"/>
        <v>549.35960435614891</v>
      </c>
      <c r="BH113" s="59">
        <f t="shared" si="62"/>
        <v>829.32099331099471</v>
      </c>
      <c r="BI113" s="59">
        <f ca="1">AVERAGE(OFFSET($BH$3,0,0,'Données projet'!$E$11+1,1))-AVERAGE(OFFSET($H$3,0,0,'Données projet'!$E$11+1,1))</f>
        <v>446.06835300781546</v>
      </c>
      <c r="BJ113" s="59">
        <f t="shared" si="92"/>
        <v>396.46809188573138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26.747531183521335</v>
      </c>
      <c r="BQ113" s="21">
        <f>EXP(-LN(2)/25)*BQ112+(1-EXP(-LN(2)/25))/(LN(2)/25)*Calculateur!BL113*Calculateur!BN113*VLOOKUP('Données projet'!$B$11,Paramètres!$A$1:$I$89,3,0)*0.475*44/12</f>
        <v>13.501592365965912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40.249123549487251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-3.979039320256561E-13</v>
      </c>
      <c r="BZ113" s="13">
        <f>BY113*VLOOKUP('Données projet'!$B$12,Paramètres!$A$1:$I$89,3,0)*VLOOKUP('Données projet'!$B$12,Paramètres!$A$1:$I$89,5,0)</f>
        <v>-1.8621904018800707E-13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307.52821153421951</v>
      </c>
      <c r="CE113" s="59">
        <f t="shared" si="94"/>
        <v>221.23619018904222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141.83193817585698</v>
      </c>
      <c r="CL113" s="21">
        <f>EXP(-LN(2)/25)*CL112+(1-EXP(-LN(2)/25))/(LN(2)/25)*Calculateur!CG113*Calculateur!CI113*VLOOKUP('Données projet'!$B$12,Paramètres!$A$1:$I$89,3,0)*0.475*44/12</f>
        <v>32.18390072084641</v>
      </c>
      <c r="CM113" s="21">
        <f>EXP(-LN(2)/2)*CM112+(1-EXP(-LN(2)/2))/(LN(2)/2)*CG113*CJ113*VLOOKUP('Données projet'!$B$12,Paramètres!$A$1:$I$89,3,0)*0.475*44/12</f>
        <v>0.95878853675174736</v>
      </c>
      <c r="CN113" s="22">
        <f t="shared" si="66"/>
        <v>174.97462743345511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5.9865384615384558</v>
      </c>
      <c r="CT113" s="12">
        <f>IF('Données projet'!$A$140&gt;35,CT112+CS113-DB112,IF(A113&lt;'Données projet'!$A$140,$CQ$205^A113,IF(A113='Données projet'!$A$140,'Données projet'!$B$140,CT112+CS113-DB112)))</f>
        <v>269.64999999999986</v>
      </c>
      <c r="CU113" s="17">
        <f>CT113*VLOOKUP('Données projet'!$B$13,Paramètres!$A$1:$I$89,3,0)*VLOOKUP('Données projet'!$B$13,Paramètres!$A$1:$I$89,5,0)</f>
        <v>307.07741999999985</v>
      </c>
      <c r="CV113" s="13">
        <f t="shared" si="95"/>
        <v>72.658143071063066</v>
      </c>
      <c r="CW113" s="20">
        <f t="shared" si="67"/>
        <v>661.37277234876785</v>
      </c>
      <c r="CX113" s="59">
        <f t="shared" si="68"/>
        <v>941.33416130361366</v>
      </c>
      <c r="CY113" s="59">
        <f ca="1">AVERAGE(OFFSET($CX$3,0,0,'Données projet'!$E$13+1,1))-AVERAGE(OFFSET($H$3,0,0,'Données projet'!$E$13+1,1))</f>
        <v>598.12133208901378</v>
      </c>
      <c r="CZ113" s="59">
        <f t="shared" si="96"/>
        <v>246.23353541360947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39.214414857788604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39.214414857788604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266.99999999999983</v>
      </c>
      <c r="DP113" s="17">
        <f>DO113*VLOOKUP('Données projet'!$B$14,Paramètres!$A$1:$I$89,3,0)*VLOOKUP('Données projet'!$B$14,Paramètres!$A$1:$I$89,5,0)</f>
        <v>212.42519999999985</v>
      </c>
      <c r="DQ113" s="13">
        <f t="shared" si="97"/>
        <v>52.465198231787184</v>
      </c>
      <c r="DR113" s="20">
        <f t="shared" si="70"/>
        <v>461.35077692036231</v>
      </c>
      <c r="DS113" s="59">
        <f t="shared" si="71"/>
        <v>741.31216587520817</v>
      </c>
      <c r="DT113" s="59">
        <f ca="1">AVERAGE(OFFSET($DS$3,0,0,'Données projet'!$E$14+1,1))-AVERAGE(OFFSET($H$3,0,0,'Données projet'!$E$14+1,1))</f>
        <v>323.01113210765487</v>
      </c>
      <c r="DU113" s="59">
        <f t="shared" si="98"/>
        <v>311.68541696405975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15.869267258993766</v>
      </c>
      <c r="EB113" s="21">
        <f>EXP(-LN(2)/25)*EB112+(1-EXP(-LN(2)/25))/(LN(2)/25)*Calculateur!DW113*Calculateur!DY113*VLOOKUP('Données projet'!$B$14,Paramètres!$A$1:$I$89,3,0)*0.475*44/12</f>
        <v>3.6281024506441661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19.497369709637933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337.99164391755608</v>
      </c>
      <c r="T114" s="59">
        <f t="shared" si="88"/>
        <v>421.45428231923393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7.1749999999999998</v>
      </c>
      <c r="AI114" s="13">
        <f>IF('Données projet'!$A$62&gt;35,AI113+AH114-AQ113,IF(A114&lt;'Données projet'!$A$62,$AF$205^A114,IF(A114='Données projet'!$A$62,'Données projet'!$B$62,AI113+AH114-AQ113)))</f>
        <v>319.48269230769182</v>
      </c>
      <c r="AJ114" s="13">
        <f>AI114*VLOOKUP('Données projet'!$B$10,Paramètres!$A$1:$I$89,3,0)*VLOOKUP('Données projet'!$B$10,Paramètres!$A$1:$I$89,5,0)</f>
        <v>323.95544999999953</v>
      </c>
      <c r="AK114" s="13">
        <f t="shared" si="89"/>
        <v>76.175772595812916</v>
      </c>
      <c r="AL114" s="20">
        <f t="shared" si="58"/>
        <v>696.89521268770659</v>
      </c>
      <c r="AM114" s="59">
        <f t="shared" si="59"/>
        <v>977.0885749823301</v>
      </c>
      <c r="AN114" s="59">
        <f ca="1">AVERAGE(OFFSET($AM$3,0,0,'Données projet'!$E$10+1,1))-AVERAGE(OFFSET($H$3,0,0,'Données projet'!$E$10+1,1))</f>
        <v>596.42822894047072</v>
      </c>
      <c r="AO114" s="59">
        <f t="shared" si="90"/>
        <v>298.31525330951047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68.114540849824948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68.114540849824948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243</v>
      </c>
      <c r="BE114" s="13">
        <f>BD114*VLOOKUP('Données projet'!$B$11,Paramètres!$A$1:$I$89,3,0)*VLOOKUP('Données projet'!$B$11,Paramètres!$A$1:$I$89,5,0)</f>
        <v>253.98360000000002</v>
      </c>
      <c r="BF114" s="13">
        <f t="shared" si="91"/>
        <v>61.438182405444294</v>
      </c>
      <c r="BG114" s="20">
        <f t="shared" si="61"/>
        <v>549.35960435614891</v>
      </c>
      <c r="BH114" s="59">
        <f t="shared" si="62"/>
        <v>829.55296665077253</v>
      </c>
      <c r="BI114" s="59">
        <f ca="1">AVERAGE(OFFSET($BH$3,0,0,'Données projet'!$E$11+1,1))-AVERAGE(OFFSET($H$3,0,0,'Données projet'!$E$11+1,1))</f>
        <v>446.06835300781546</v>
      </c>
      <c r="BJ114" s="59">
        <f t="shared" si="92"/>
        <v>396.46809188573138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26.223028411395592</v>
      </c>
      <c r="BQ114" s="21">
        <f>EXP(-LN(2)/25)*BQ113+(1-EXP(-LN(2)/25))/(LN(2)/25)*Calculateur!BL114*Calculateur!BN114*VLOOKUP('Données projet'!$B$11,Paramètres!$A$1:$I$89,3,0)*0.475*44/12</f>
        <v>13.132390612700689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39.355419024096278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-3.979039320256561E-13</v>
      </c>
      <c r="BZ114" s="13">
        <f>BY114*VLOOKUP('Données projet'!$B$12,Paramètres!$A$1:$I$89,3,0)*VLOOKUP('Données projet'!$B$12,Paramètres!$A$1:$I$89,5,0)</f>
        <v>-1.8621904018800707E-13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307.52821153421951</v>
      </c>
      <c r="CE114" s="59">
        <f t="shared" si="94"/>
        <v>221.23619018904222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139.05070037716865</v>
      </c>
      <c r="CL114" s="21">
        <f>EXP(-LN(2)/25)*CL113+(1-EXP(-LN(2)/25))/(LN(2)/25)*Calculateur!CG114*Calculateur!CI114*VLOOKUP('Données projet'!$B$12,Paramètres!$A$1:$I$89,3,0)*0.475*44/12</f>
        <v>31.303830263157082</v>
      </c>
      <c r="CM114" s="21">
        <f>EXP(-LN(2)/2)*CM113+(1-EXP(-LN(2)/2))/(LN(2)/2)*CG114*CJ114*VLOOKUP('Données projet'!$B$12,Paramètres!$A$1:$I$89,3,0)*0.475*44/12</f>
        <v>0.67796587606108794</v>
      </c>
      <c r="CN114" s="22">
        <f t="shared" si="66"/>
        <v>171.0324965163868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5.9865384615384558</v>
      </c>
      <c r="CT114" s="12">
        <f>IF('Données projet'!$A$140&gt;35,CT113+CS114-DB113,IF(A114&lt;'Données projet'!$A$140,$CQ$205^A114,IF(A114='Données projet'!$A$140,'Données projet'!$B$140,CT113+CS114-DB113)))</f>
        <v>275.63653846153829</v>
      </c>
      <c r="CU114" s="17">
        <f>CT114*VLOOKUP('Données projet'!$B$13,Paramètres!$A$1:$I$89,3,0)*VLOOKUP('Données projet'!$B$13,Paramètres!$A$1:$I$89,5,0)</f>
        <v>313.89488999999986</v>
      </c>
      <c r="CV114" s="13">
        <f t="shared" si="95"/>
        <v>74.081646195526631</v>
      </c>
      <c r="CW114" s="20">
        <f t="shared" si="67"/>
        <v>675.72580054054197</v>
      </c>
      <c r="CX114" s="59">
        <f t="shared" si="68"/>
        <v>955.91916283516548</v>
      </c>
      <c r="CY114" s="59">
        <f ca="1">AVERAGE(OFFSET($CX$3,0,0,'Données projet'!$E$13+1,1))-AVERAGE(OFFSET($H$3,0,0,'Données projet'!$E$13+1,1))</f>
        <v>598.12133208901378</v>
      </c>
      <c r="CZ114" s="59">
        <f t="shared" si="96"/>
        <v>246.23353541360947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38.445444100858687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38.445444100858687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266.99999999999983</v>
      </c>
      <c r="DP114" s="17">
        <f>DO114*VLOOKUP('Données projet'!$B$14,Paramètres!$A$1:$I$89,3,0)*VLOOKUP('Données projet'!$B$14,Paramètres!$A$1:$I$89,5,0)</f>
        <v>212.42519999999985</v>
      </c>
      <c r="DQ114" s="13">
        <f t="shared" si="97"/>
        <v>52.465198231787184</v>
      </c>
      <c r="DR114" s="20">
        <f t="shared" si="70"/>
        <v>461.35077692036231</v>
      </c>
      <c r="DS114" s="59">
        <f t="shared" si="71"/>
        <v>741.54413921498588</v>
      </c>
      <c r="DT114" s="59">
        <f ca="1">AVERAGE(OFFSET($DS$3,0,0,'Données projet'!$E$14+1,1))-AVERAGE(OFFSET($H$3,0,0,'Données projet'!$E$14+1,1))</f>
        <v>323.01113210765487</v>
      </c>
      <c r="DU114" s="59">
        <f t="shared" si="98"/>
        <v>311.68541696405975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15.558080607342175</v>
      </c>
      <c r="EB114" s="21">
        <f>EXP(-LN(2)/25)*EB113+(1-EXP(-LN(2)/25))/(LN(2)/25)*Calculateur!DW114*Calculateur!DY114*VLOOKUP('Données projet'!$B$14,Paramètres!$A$1:$I$89,3,0)*0.475*44/12</f>
        <v>3.5288917983376855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19.086972405679859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337.99164391755608</v>
      </c>
      <c r="T115" s="59">
        <f t="shared" si="88"/>
        <v>421.45428231923393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7.1749999999999998</v>
      </c>
      <c r="AI115" s="13">
        <f>IF('Données projet'!$A$62&gt;35,AI114+AH115-AQ114,IF(A115&lt;'Données projet'!$A$62,$AF$205^A115,IF(A115='Données projet'!$A$62,'Données projet'!$B$62,AI114+AH115-AQ114)))</f>
        <v>326.65769230769183</v>
      </c>
      <c r="AJ115" s="13">
        <f>AI115*VLOOKUP('Données projet'!$B$10,Paramètres!$A$1:$I$89,3,0)*VLOOKUP('Données projet'!$B$10,Paramètres!$A$1:$I$89,5,0)</f>
        <v>331.23089999999956</v>
      </c>
      <c r="AK115" s="13">
        <f t="shared" si="89"/>
        <v>77.685448823303446</v>
      </c>
      <c r="AL115" s="20">
        <f t="shared" si="58"/>
        <v>712.19597420058608</v>
      </c>
      <c r="AM115" s="59">
        <f t="shared" si="59"/>
        <v>992.61728561615701</v>
      </c>
      <c r="AN115" s="59">
        <f ca="1">AVERAGE(OFFSET($AM$3,0,0,'Données projet'!$E$10+1,1))-AVERAGE(OFFSET($H$3,0,0,'Données projet'!$E$10+1,1))</f>
        <v>596.42822894047072</v>
      </c>
      <c r="AO115" s="59">
        <f t="shared" si="90"/>
        <v>298.31525330951047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66.778856249527493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66.778856249527493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243</v>
      </c>
      <c r="BE115" s="13">
        <f>BD115*VLOOKUP('Données projet'!$B$11,Paramètres!$A$1:$I$89,3,0)*VLOOKUP('Données projet'!$B$11,Paramètres!$A$1:$I$89,5,0)</f>
        <v>253.98360000000002</v>
      </c>
      <c r="BF115" s="13">
        <f t="shared" si="91"/>
        <v>61.438182405444294</v>
      </c>
      <c r="BG115" s="20">
        <f t="shared" si="61"/>
        <v>549.35960435614891</v>
      </c>
      <c r="BH115" s="59">
        <f t="shared" si="62"/>
        <v>829.78091577171972</v>
      </c>
      <c r="BI115" s="59">
        <f ca="1">AVERAGE(OFFSET($BH$3,0,0,'Données projet'!$E$11+1,1))-AVERAGE(OFFSET($H$3,0,0,'Données projet'!$E$11+1,1))</f>
        <v>446.06835300781546</v>
      </c>
      <c r="BJ115" s="59">
        <f t="shared" si="92"/>
        <v>396.46809188573138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25.708810818716135</v>
      </c>
      <c r="BQ115" s="21">
        <f>EXP(-LN(2)/25)*BQ114+(1-EXP(-LN(2)/25))/(LN(2)/25)*Calculateur!BL115*Calculateur!BN115*VLOOKUP('Données projet'!$B$11,Paramètres!$A$1:$I$89,3,0)*0.475*44/12</f>
        <v>12.773284700793981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38.482095519510118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-3.979039320256561E-13</v>
      </c>
      <c r="BZ115" s="13">
        <f>BY115*VLOOKUP('Données projet'!$B$12,Paramètres!$A$1:$I$89,3,0)*VLOOKUP('Données projet'!$B$12,Paramètres!$A$1:$I$89,5,0)</f>
        <v>-1.8621904018800707E-13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307.52821153421951</v>
      </c>
      <c r="CE115" s="59">
        <f t="shared" si="94"/>
        <v>221.23619018904222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136.32400095532506</v>
      </c>
      <c r="CL115" s="21">
        <f>EXP(-LN(2)/25)*CL114+(1-EXP(-LN(2)/25))/(LN(2)/25)*Calculateur!CG115*Calculateur!CI115*VLOOKUP('Données projet'!$B$12,Paramètres!$A$1:$I$89,3,0)*0.475*44/12</f>
        <v>30.447825378414162</v>
      </c>
      <c r="CM115" s="21">
        <f>EXP(-LN(2)/2)*CM114+(1-EXP(-LN(2)/2))/(LN(2)/2)*CG115*CJ115*VLOOKUP('Données projet'!$B$12,Paramètres!$A$1:$I$89,3,0)*0.475*44/12</f>
        <v>0.47939426837587373</v>
      </c>
      <c r="CN115" s="22">
        <f t="shared" si="66"/>
        <v>167.2512206021151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5.9865384615384558</v>
      </c>
      <c r="CT115" s="12">
        <f>IF('Données projet'!$A$140&gt;35,CT114+CS115-DB114,IF(A115&lt;'Données projet'!$A$140,$CQ$205^A115,IF(A115='Données projet'!$A$140,'Données projet'!$B$140,CT114+CS115-DB114)))</f>
        <v>281.62307692307672</v>
      </c>
      <c r="CU115" s="17">
        <f>CT115*VLOOKUP('Données projet'!$B$13,Paramètres!$A$1:$I$89,3,0)*VLOOKUP('Données projet'!$B$13,Paramètres!$A$1:$I$89,5,0)</f>
        <v>320.71235999999976</v>
      </c>
      <c r="CV115" s="13">
        <f t="shared" si="95"/>
        <v>75.501554827055514</v>
      </c>
      <c r="CW115" s="20">
        <f t="shared" si="67"/>
        <v>690.07256832378789</v>
      </c>
      <c r="CX115" s="59">
        <f t="shared" si="68"/>
        <v>970.49387973935882</v>
      </c>
      <c r="CY115" s="59">
        <f ca="1">AVERAGE(OFFSET($CX$3,0,0,'Données projet'!$E$13+1,1))-AVERAGE(OFFSET($H$3,0,0,'Données projet'!$E$13+1,1))</f>
        <v>598.12133208901378</v>
      </c>
      <c r="CZ115" s="59">
        <f t="shared" si="96"/>
        <v>246.23353541360947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37.691552391446315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37.691552391446315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266.99999999999983</v>
      </c>
      <c r="DP115" s="17">
        <f>DO115*VLOOKUP('Données projet'!$B$14,Paramètres!$A$1:$I$89,3,0)*VLOOKUP('Données projet'!$B$14,Paramètres!$A$1:$I$89,5,0)</f>
        <v>212.42519999999985</v>
      </c>
      <c r="DQ115" s="13">
        <f t="shared" si="97"/>
        <v>52.465198231787184</v>
      </c>
      <c r="DR115" s="20">
        <f t="shared" si="70"/>
        <v>461.35077692036231</v>
      </c>
      <c r="DS115" s="59">
        <f t="shared" si="71"/>
        <v>741.77208833593318</v>
      </c>
      <c r="DT115" s="59">
        <f ca="1">AVERAGE(OFFSET($DS$3,0,0,'Données projet'!$E$14+1,1))-AVERAGE(OFFSET($H$3,0,0,'Données projet'!$E$14+1,1))</f>
        <v>323.01113210765487</v>
      </c>
      <c r="DU115" s="59">
        <f t="shared" si="98"/>
        <v>311.68541696405975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15.252996136124356</v>
      </c>
      <c r="EB115" s="21">
        <f>EXP(-LN(2)/25)*EB114+(1-EXP(-LN(2)/25))/(LN(2)/25)*Calculateur!DW115*Calculateur!DY115*VLOOKUP('Données projet'!$B$14,Paramètres!$A$1:$I$89,3,0)*0.475*44/12</f>
        <v>3.432394066535787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18.685390202660145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337.99164391755608</v>
      </c>
      <c r="T116" s="59">
        <f t="shared" si="88"/>
        <v>421.45428231923393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7.1749999999999998</v>
      </c>
      <c r="AI116" s="13">
        <f>IF('Données projet'!$A$62&gt;35,AI115+AH116-AQ115,IF(A116&lt;'Données projet'!$A$62,$AF$205^A116,IF(A116='Données projet'!$A$62,'Données projet'!$B$62,AI115+AH116-AQ115)))</f>
        <v>333.83269230769184</v>
      </c>
      <c r="AJ116" s="13">
        <f>AI116*VLOOKUP('Données projet'!$B$10,Paramètres!$A$1:$I$89,3,0)*VLOOKUP('Données projet'!$B$10,Paramètres!$A$1:$I$89,5,0)</f>
        <v>338.50634999999954</v>
      </c>
      <c r="AK116" s="13">
        <f t="shared" si="89"/>
        <v>79.191269844165632</v>
      </c>
      <c r="AL116" s="20">
        <f t="shared" si="58"/>
        <v>727.49002122858758</v>
      </c>
      <c r="AM116" s="59">
        <f t="shared" si="59"/>
        <v>1008.1353273574753</v>
      </c>
      <c r="AN116" s="59">
        <f ca="1">AVERAGE(OFFSET($AM$3,0,0,'Données projet'!$E$10+1,1))-AVERAGE(OFFSET($H$3,0,0,'Données projet'!$E$10+1,1))</f>
        <v>596.42822894047072</v>
      </c>
      <c r="AO116" s="59">
        <f t="shared" si="90"/>
        <v>298.31525330951047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65.469363609554705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65.469363609554705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243</v>
      </c>
      <c r="BE116" s="13">
        <f>BD116*VLOOKUP('Données projet'!$B$11,Paramètres!$A$1:$I$89,3,0)*VLOOKUP('Données projet'!$B$11,Paramètres!$A$1:$I$89,5,0)</f>
        <v>253.98360000000002</v>
      </c>
      <c r="BF116" s="13">
        <f t="shared" si="91"/>
        <v>61.438182405444294</v>
      </c>
      <c r="BG116" s="20">
        <f t="shared" si="61"/>
        <v>549.35960435614891</v>
      </c>
      <c r="BH116" s="59">
        <f t="shared" si="62"/>
        <v>830.00491048503659</v>
      </c>
      <c r="BI116" s="59">
        <f ca="1">AVERAGE(OFFSET($BH$3,0,0,'Données projet'!$E$11+1,1))-AVERAGE(OFFSET($H$3,0,0,'Données projet'!$E$11+1,1))</f>
        <v>446.06835300781546</v>
      </c>
      <c r="BJ116" s="59">
        <f t="shared" si="92"/>
        <v>396.46809188573138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25.204676719387358</v>
      </c>
      <c r="BQ116" s="21">
        <f>EXP(-LN(2)/25)*BQ115+(1-EXP(-LN(2)/25))/(LN(2)/25)*Calculateur!BL116*Calculateur!BN116*VLOOKUP('Données projet'!$B$11,Paramètres!$A$1:$I$89,3,0)*0.475*44/12</f>
        <v>12.42399855893292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37.62867527832028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-3.979039320256561E-13</v>
      </c>
      <c r="BZ116" s="13">
        <f>BY116*VLOOKUP('Données projet'!$B$12,Paramètres!$A$1:$I$89,3,0)*VLOOKUP('Données projet'!$B$12,Paramètres!$A$1:$I$89,5,0)</f>
        <v>-1.8621904018800707E-13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307.52821153421951</v>
      </c>
      <c r="CE116" s="59">
        <f t="shared" si="94"/>
        <v>221.23619018904222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133.6507704460214</v>
      </c>
      <c r="CL116" s="21">
        <f>EXP(-LN(2)/25)*CL115+(1-EXP(-LN(2)/25))/(LN(2)/25)*Calculateur!CG116*Calculateur!CI116*VLOOKUP('Données projet'!$B$12,Paramètres!$A$1:$I$89,3,0)*0.475*44/12</f>
        <v>29.615227992259879</v>
      </c>
      <c r="CM116" s="21">
        <f>EXP(-LN(2)/2)*CM115+(1-EXP(-LN(2)/2))/(LN(2)/2)*CG116*CJ116*VLOOKUP('Données projet'!$B$12,Paramètres!$A$1:$I$89,3,0)*0.475*44/12</f>
        <v>0.33898293803054402</v>
      </c>
      <c r="CN116" s="22">
        <f t="shared" si="66"/>
        <v>163.60498137631183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5.9865384615384558</v>
      </c>
      <c r="CT116" s="12">
        <f>IF('Données projet'!$A$140&gt;35,CT115+CS116-DB115,IF(A116&lt;'Données projet'!$A$140,$CQ$205^A116,IF(A116='Données projet'!$A$140,'Données projet'!$B$140,CT115+CS116-DB115)))</f>
        <v>287.60961538461515</v>
      </c>
      <c r="CU116" s="17">
        <f>CT116*VLOOKUP('Données projet'!$B$13,Paramètres!$A$1:$I$89,3,0)*VLOOKUP('Données projet'!$B$13,Paramètres!$A$1:$I$89,5,0)</f>
        <v>327.52982999999978</v>
      </c>
      <c r="CV116" s="13">
        <f t="shared" si="95"/>
        <v>76.917954176298053</v>
      </c>
      <c r="CW116" s="20">
        <f t="shared" si="67"/>
        <v>704.41322410705209</v>
      </c>
      <c r="CX116" s="59">
        <f t="shared" si="68"/>
        <v>985.05853023593977</v>
      </c>
      <c r="CY116" s="59">
        <f ca="1">AVERAGE(OFFSET($CX$3,0,0,'Données projet'!$E$13+1,1))-AVERAGE(OFFSET($H$3,0,0,'Données projet'!$E$13+1,1))</f>
        <v>598.12133208901378</v>
      </c>
      <c r="CZ116" s="59">
        <f t="shared" si="96"/>
        <v>246.23353541360947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36.952444038626979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36.952444038626979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266.99999999999983</v>
      </c>
      <c r="DP116" s="17">
        <f>DO116*VLOOKUP('Données projet'!$B$14,Paramètres!$A$1:$I$89,3,0)*VLOOKUP('Données projet'!$B$14,Paramètres!$A$1:$I$89,5,0)</f>
        <v>212.42519999999985</v>
      </c>
      <c r="DQ116" s="13">
        <f t="shared" si="97"/>
        <v>52.465198231787184</v>
      </c>
      <c r="DR116" s="20">
        <f t="shared" si="70"/>
        <v>461.35077692036231</v>
      </c>
      <c r="DS116" s="59">
        <f t="shared" si="71"/>
        <v>741.99608304924993</v>
      </c>
      <c r="DT116" s="59">
        <f ca="1">AVERAGE(OFFSET($DS$3,0,0,'Données projet'!$E$14+1,1))-AVERAGE(OFFSET($H$3,0,0,'Données projet'!$E$14+1,1))</f>
        <v>323.01113210765487</v>
      </c>
      <c r="DU116" s="59">
        <f t="shared" si="98"/>
        <v>311.68541696405975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14.953894185303964</v>
      </c>
      <c r="EB116" s="21">
        <f>EXP(-LN(2)/25)*EB115+(1-EXP(-LN(2)/25))/(LN(2)/25)*Calculateur!DW116*Calculateur!DY116*VLOOKUP('Données projet'!$B$14,Paramètres!$A$1:$I$89,3,0)*0.475*44/12</f>
        <v>3.3385350702846068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18.292429255588573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337.99164391755608</v>
      </c>
      <c r="T117" s="59">
        <f t="shared" si="88"/>
        <v>421.45428231923393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7.1749999999999998</v>
      </c>
      <c r="AI117" s="13">
        <f>IF('Données projet'!$A$62&gt;35,AI116+AH117-AQ116,IF(A117&lt;'Données projet'!$A$62,$AF$205^A117,IF(A117='Données projet'!$A$62,'Données projet'!$B$62,AI116+AH117-AQ116)))</f>
        <v>341.00769230769185</v>
      </c>
      <c r="AJ117" s="13">
        <f>AI117*VLOOKUP('Données projet'!$B$10,Paramètres!$A$1:$I$89,3,0)*VLOOKUP('Données projet'!$B$10,Paramètres!$A$1:$I$89,5,0)</f>
        <v>345.78179999999958</v>
      </c>
      <c r="AK117" s="13">
        <f t="shared" si="89"/>
        <v>80.693328061155796</v>
      </c>
      <c r="AL117" s="20">
        <f t="shared" si="58"/>
        <v>742.77751470651219</v>
      </c>
      <c r="AM117" s="59">
        <f t="shared" si="59"/>
        <v>1023.6429297412176</v>
      </c>
      <c r="AN117" s="59">
        <f ca="1">AVERAGE(OFFSET($AM$3,0,0,'Données projet'!$E$10+1,1))-AVERAGE(OFFSET($H$3,0,0,'Données projet'!$E$10+1,1))</f>
        <v>596.42822894047072</v>
      </c>
      <c r="AO117" s="59">
        <f t="shared" si="90"/>
        <v>298.31525330951047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64.185549321540151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64.185549321540151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243</v>
      </c>
      <c r="BE117" s="13">
        <f>BD117*VLOOKUP('Données projet'!$B$11,Paramètres!$A$1:$I$89,3,0)*VLOOKUP('Données projet'!$B$11,Paramètres!$A$1:$I$89,5,0)</f>
        <v>253.98360000000002</v>
      </c>
      <c r="BF117" s="13">
        <f t="shared" si="91"/>
        <v>61.438182405444294</v>
      </c>
      <c r="BG117" s="20">
        <f t="shared" si="61"/>
        <v>549.35960435614891</v>
      </c>
      <c r="BH117" s="59">
        <f t="shared" si="62"/>
        <v>830.22501939085441</v>
      </c>
      <c r="BI117" s="59">
        <f ca="1">AVERAGE(OFFSET($BH$3,0,0,'Données projet'!$E$11+1,1))-AVERAGE(OFFSET($H$3,0,0,'Données projet'!$E$11+1,1))</f>
        <v>446.06835300781546</v>
      </c>
      <c r="BJ117" s="59">
        <f t="shared" si="92"/>
        <v>396.46809188573138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24.710428382254978</v>
      </c>
      <c r="BQ117" s="21">
        <f>EXP(-LN(2)/25)*BQ116+(1-EXP(-LN(2)/25))/(LN(2)/25)*Calculateur!BL117*Calculateur!BN117*VLOOKUP('Données projet'!$B$11,Paramètres!$A$1:$I$89,3,0)*0.475*44/12</f>
        <v>12.08426366498921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36.79469204724419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-3.979039320256561E-13</v>
      </c>
      <c r="BZ117" s="13">
        <f>BY117*VLOOKUP('Données projet'!$B$12,Paramètres!$A$1:$I$89,3,0)*VLOOKUP('Données projet'!$B$12,Paramètres!$A$1:$I$89,5,0)</f>
        <v>-1.8621904018800707E-13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307.52821153421951</v>
      </c>
      <c r="CE117" s="59">
        <f t="shared" si="94"/>
        <v>221.23619018904222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131.02996035649556</v>
      </c>
      <c r="CL117" s="21">
        <f>EXP(-LN(2)/25)*CL116+(1-EXP(-LN(2)/25))/(LN(2)/25)*Calculateur!CG117*Calculateur!CI117*VLOOKUP('Données projet'!$B$12,Paramètres!$A$1:$I$89,3,0)*0.475*44/12</f>
        <v>28.80539802541438</v>
      </c>
      <c r="CM117" s="21">
        <f>EXP(-LN(2)/2)*CM116+(1-EXP(-LN(2)/2))/(LN(2)/2)*CG117*CJ117*VLOOKUP('Données projet'!$B$12,Paramètres!$A$1:$I$89,3,0)*0.475*44/12</f>
        <v>0.23969713418793689</v>
      </c>
      <c r="CN117" s="22">
        <f t="shared" si="66"/>
        <v>160.07505551609788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293.59615384615381</v>
      </c>
      <c r="CR117" s="12">
        <f>VLOOKUP(A117,'Données projet'!$A$139:$I$159,9,0)</f>
        <v>5.9865384615384558</v>
      </c>
      <c r="CS117" s="12">
        <f t="array" ref="CS117">INDEX(CR:CR,MIN(IF(ISNUMBER(CR117:CR313),ROW(CR117:CR313),"")))</f>
        <v>5.9865384615384558</v>
      </c>
      <c r="CT117" s="12">
        <f>IF('Données projet'!$A$140&gt;35,CT116+CS117-DB116,IF(A117&lt;'Données projet'!$A$140,$CQ$205^A117,IF(A117='Données projet'!$A$140,'Données projet'!$B$140,CT116+CS117-DB116)))</f>
        <v>293.59615384615358</v>
      </c>
      <c r="CU117" s="17">
        <f>CT117*VLOOKUP('Données projet'!$B$13,Paramètres!$A$1:$I$89,3,0)*VLOOKUP('Données projet'!$B$13,Paramètres!$A$1:$I$89,5,0)</f>
        <v>334.34729999999968</v>
      </c>
      <c r="CV117" s="13">
        <f t="shared" si="95"/>
        <v>78.330925703894792</v>
      </c>
      <c r="CW117" s="20">
        <f t="shared" si="67"/>
        <v>718.74790976761608</v>
      </c>
      <c r="CX117" s="59">
        <f t="shared" si="68"/>
        <v>999.61332480232159</v>
      </c>
      <c r="CY117" s="59">
        <f ca="1">AVERAGE(OFFSET($CX$3,0,0,'Données projet'!$E$13+1,1))-AVERAGE(OFFSET($H$3,0,0,'Données projet'!$E$13+1,1))</f>
        <v>598.12133208901378</v>
      </c>
      <c r="CZ117" s="59">
        <f t="shared" si="96"/>
        <v>246.23353541360947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42.78846153846154</v>
      </c>
      <c r="DC117" s="16">
        <f>IF(ISNA(VLOOKUP(A117,'Données projet'!$A$139:$I$159,5,0)),0%,VLOOKUP(A117,'Données projet'!$A$139:$I$159,5,0)*VLOOKUP('Données projet'!$B$13,Paramètres!$A$1:$I$89,7,0))</f>
        <v>0.30099999999999999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52.441738333321091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52.441738333321091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266.99999999999983</v>
      </c>
      <c r="DP117" s="17">
        <f>DO117*VLOOKUP('Données projet'!$B$14,Paramètres!$A$1:$I$89,3,0)*VLOOKUP('Données projet'!$B$14,Paramètres!$A$1:$I$89,5,0)</f>
        <v>212.42519999999985</v>
      </c>
      <c r="DQ117" s="13">
        <f t="shared" si="97"/>
        <v>52.465198231787184</v>
      </c>
      <c r="DR117" s="20">
        <f t="shared" si="70"/>
        <v>461.35077692036231</v>
      </c>
      <c r="DS117" s="59">
        <f t="shared" si="71"/>
        <v>742.21619195506776</v>
      </c>
      <c r="DT117" s="59">
        <f ca="1">AVERAGE(OFFSET($DS$3,0,0,'Données projet'!$E$14+1,1))-AVERAGE(OFFSET($H$3,0,0,'Données projet'!$E$14+1,1))</f>
        <v>323.01113210765487</v>
      </c>
      <c r="DU117" s="59">
        <f t="shared" si="98"/>
        <v>311.68541696405975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14.660657441304984</v>
      </c>
      <c r="EB117" s="21">
        <f>EXP(-LN(2)/25)*EB116+(1-EXP(-LN(2)/25))/(LN(2)/25)*Calculateur!DW117*Calculateur!DY117*VLOOKUP('Données projet'!$B$14,Paramètres!$A$1:$I$89,3,0)*0.475*44/12</f>
        <v>3.2472426532217451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17.907900094526731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337.99164391755608</v>
      </c>
      <c r="T118" s="59">
        <f t="shared" si="88"/>
        <v>421.45428231923393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7.1749999999999998</v>
      </c>
      <c r="AI118" s="13">
        <f>IF('Données projet'!$A$62&gt;35,AI117+AH118-AQ117,IF(A118&lt;'Données projet'!$A$62,$AF$205^A118,IF(A118='Données projet'!$A$62,'Données projet'!$B$62,AI117+AH118-AQ117)))</f>
        <v>348.18269230769187</v>
      </c>
      <c r="AJ118" s="13">
        <f>AI118*VLOOKUP('Données projet'!$B$10,Paramètres!$A$1:$I$89,3,0)*VLOOKUP('Données projet'!$B$10,Paramètres!$A$1:$I$89,5,0)</f>
        <v>353.05724999999956</v>
      </c>
      <c r="AK118" s="13">
        <f t="shared" si="89"/>
        <v>82.191711766433102</v>
      </c>
      <c r="AL118" s="20">
        <f t="shared" si="58"/>
        <v>758.05860840987009</v>
      </c>
      <c r="AM118" s="59">
        <f t="shared" si="59"/>
        <v>1039.1403139529673</v>
      </c>
      <c r="AN118" s="59">
        <f ca="1">AVERAGE(OFFSET($AM$3,0,0,'Données projet'!$E$10+1,1))-AVERAGE(OFFSET($H$3,0,0,'Données projet'!$E$10+1,1))</f>
        <v>596.42822894047072</v>
      </c>
      <c r="AO118" s="59">
        <f t="shared" si="90"/>
        <v>298.31525330951047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62.92690984866416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62.92690984866416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243</v>
      </c>
      <c r="BE118" s="13">
        <f>BD118*VLOOKUP('Données projet'!$B$11,Paramètres!$A$1:$I$89,3,0)*VLOOKUP('Données projet'!$B$11,Paramètres!$A$1:$I$89,5,0)</f>
        <v>253.98360000000002</v>
      </c>
      <c r="BF118" s="13">
        <f t="shared" si="91"/>
        <v>61.438182405444294</v>
      </c>
      <c r="BG118" s="20">
        <f t="shared" si="61"/>
        <v>549.35960435614891</v>
      </c>
      <c r="BH118" s="59">
        <f t="shared" si="62"/>
        <v>830.44130989924611</v>
      </c>
      <c r="BI118" s="59">
        <f ca="1">AVERAGE(OFFSET($BH$3,0,0,'Données projet'!$E$11+1,1))-AVERAGE(OFFSET($H$3,0,0,'Données projet'!$E$11+1,1))</f>
        <v>446.06835300781546</v>
      </c>
      <c r="BJ118" s="59">
        <f t="shared" si="92"/>
        <v>396.46809188573138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24.225871953552048</v>
      </c>
      <c r="BQ118" s="21">
        <f>EXP(-LN(2)/25)*BQ117+(1-EXP(-LN(2)/25))/(LN(2)/25)*Calculateur!BL118*Calculateur!BN118*VLOOKUP('Données projet'!$B$11,Paramètres!$A$1:$I$89,3,0)*0.475*44/12</f>
        <v>11.753818839586273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35.979690793138317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-3.979039320256561E-13</v>
      </c>
      <c r="BZ118" s="13">
        <f>BY118*VLOOKUP('Données projet'!$B$12,Paramètres!$A$1:$I$89,3,0)*VLOOKUP('Données projet'!$B$12,Paramètres!$A$1:$I$89,5,0)</f>
        <v>-1.8621904018800707E-13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307.52821153421951</v>
      </c>
      <c r="CE118" s="59">
        <f t="shared" si="94"/>
        <v>221.23619018904222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128.46054275428901</v>
      </c>
      <c r="CL118" s="21">
        <f>EXP(-LN(2)/25)*CL117+(1-EXP(-LN(2)/25))/(LN(2)/25)*Calculateur!CG118*Calculateur!CI118*VLOOKUP('Données projet'!$B$12,Paramètres!$A$1:$I$89,3,0)*0.475*44/12</f>
        <v>28.017712901599378</v>
      </c>
      <c r="CM118" s="21">
        <f>EXP(-LN(2)/2)*CM117+(1-EXP(-LN(2)/2))/(LN(2)/2)*CG118*CJ118*VLOOKUP('Données projet'!$B$12,Paramètres!$A$1:$I$89,3,0)*0.475*44/12</f>
        <v>0.16949146901527201</v>
      </c>
      <c r="CN118" s="22">
        <f t="shared" si="66"/>
        <v>156.64774712490365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6.0153846153846189</v>
      </c>
      <c r="CT118" s="12">
        <f>IF('Données projet'!$A$140&gt;35,CT117+CS118-DB117,IF(A118&lt;'Données projet'!$A$140,$CQ$205^A118,IF(A118='Données projet'!$A$140,'Données projet'!$B$140,CT117+CS118-DB117)))</f>
        <v>256.82307692307666</v>
      </c>
      <c r="CU118" s="17">
        <f>CT118*VLOOKUP('Données projet'!$B$13,Paramètres!$A$1:$I$89,3,0)*VLOOKUP('Données projet'!$B$13,Paramètres!$A$1:$I$89,5,0)</f>
        <v>292.47011999999972</v>
      </c>
      <c r="CV118" s="13">
        <f t="shared" si="95"/>
        <v>69.595583629095671</v>
      </c>
      <c r="CW118" s="20">
        <f t="shared" si="67"/>
        <v>630.59776715400778</v>
      </c>
      <c r="CX118" s="59">
        <f t="shared" si="68"/>
        <v>911.67947269710498</v>
      </c>
      <c r="CY118" s="59">
        <f ca="1">AVERAGE(OFFSET($CX$3,0,0,'Données projet'!$E$13+1,1))-AVERAGE(OFFSET($H$3,0,0,'Données projet'!$E$13+1,1))</f>
        <v>598.12133208901378</v>
      </c>
      <c r="CZ118" s="59">
        <f t="shared" si="96"/>
        <v>246.23353541360947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51.413387830906665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51.413387830906665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266.99999999999983</v>
      </c>
      <c r="DP118" s="17">
        <f>DO118*VLOOKUP('Données projet'!$B$14,Paramètres!$A$1:$I$89,3,0)*VLOOKUP('Données projet'!$B$14,Paramètres!$A$1:$I$89,5,0)</f>
        <v>212.42519999999985</v>
      </c>
      <c r="DQ118" s="13">
        <f t="shared" si="97"/>
        <v>52.465198231787184</v>
      </c>
      <c r="DR118" s="20">
        <f t="shared" si="70"/>
        <v>461.35077692036231</v>
      </c>
      <c r="DS118" s="59">
        <f t="shared" si="71"/>
        <v>742.43248246345956</v>
      </c>
      <c r="DT118" s="59">
        <f ca="1">AVERAGE(OFFSET($DS$3,0,0,'Données projet'!$E$14+1,1))-AVERAGE(OFFSET($H$3,0,0,'Données projet'!$E$14+1,1))</f>
        <v>323.01113210765487</v>
      </c>
      <c r="DU118" s="59">
        <f t="shared" si="98"/>
        <v>311.68541696405975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14.373170890999072</v>
      </c>
      <c r="EB118" s="21">
        <f>EXP(-LN(2)/25)*EB117+(1-EXP(-LN(2)/25))/(LN(2)/25)*Calculateur!DW118*Calculateur!DY118*VLOOKUP('Données projet'!$B$14,Paramètres!$A$1:$I$89,3,0)*0.475*44/12</f>
        <v>3.1584466321043272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17.531617523103399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337.99164391755608</v>
      </c>
      <c r="T119" s="59">
        <f t="shared" si="88"/>
        <v>421.45428231923393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7.1749999999999998</v>
      </c>
      <c r="AI119" s="13">
        <f>IF('Données projet'!$A$62&gt;35,AI118+AH119-AQ118,IF(A119&lt;'Données projet'!$A$62,$AF$205^A119,IF(A119='Données projet'!$A$62,'Données projet'!$B$62,AI118+AH119-AQ118)))</f>
        <v>355.35769230769188</v>
      </c>
      <c r="AJ119" s="13">
        <f>AI119*VLOOKUP('Données projet'!$B$10,Paramètres!$A$1:$I$89,3,0)*VLOOKUP('Données projet'!$B$10,Paramètres!$A$1:$I$89,5,0)</f>
        <v>360.33269999999959</v>
      </c>
      <c r="AK119" s="13">
        <f t="shared" si="89"/>
        <v>83.68650540529886</v>
      </c>
      <c r="AL119" s="20">
        <f t="shared" si="58"/>
        <v>773.3334494142282</v>
      </c>
      <c r="AM119" s="59">
        <f t="shared" si="59"/>
        <v>1054.6276933089498</v>
      </c>
      <c r="AN119" s="59">
        <f ca="1">AVERAGE(OFFSET($AM$3,0,0,'Données projet'!$E$10+1,1))-AVERAGE(OFFSET($H$3,0,0,'Données projet'!$E$10+1,1))</f>
        <v>596.42822894047072</v>
      </c>
      <c r="AO119" s="59">
        <f t="shared" si="90"/>
        <v>298.31525330951047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61.692951528156989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61.692951528156989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243</v>
      </c>
      <c r="BE119" s="13">
        <f>BD119*VLOOKUP('Données projet'!$B$11,Paramètres!$A$1:$I$89,3,0)*VLOOKUP('Données projet'!$B$11,Paramètres!$A$1:$I$89,5,0)</f>
        <v>253.98360000000002</v>
      </c>
      <c r="BF119" s="13">
        <f t="shared" si="91"/>
        <v>61.438182405444294</v>
      </c>
      <c r="BG119" s="20">
        <f t="shared" si="61"/>
        <v>549.35960435614891</v>
      </c>
      <c r="BH119" s="59">
        <f t="shared" si="62"/>
        <v>830.6538482508704</v>
      </c>
      <c r="BI119" s="59">
        <f ca="1">AVERAGE(OFFSET($BH$3,0,0,'Données projet'!$E$11+1,1))-AVERAGE(OFFSET($H$3,0,0,'Données projet'!$E$11+1,1))</f>
        <v>446.06835300781546</v>
      </c>
      <c r="BJ119" s="59">
        <f t="shared" si="92"/>
        <v>396.46809188573138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23.750817380865744</v>
      </c>
      <c r="BQ119" s="21">
        <f>EXP(-LN(2)/25)*BQ118+(1-EXP(-LN(2)/25))/(LN(2)/25)*Calculateur!BL119*Calculateur!BN119*VLOOKUP('Données projet'!$B$11,Paramètres!$A$1:$I$89,3,0)*0.475*44/12</f>
        <v>11.432410045311318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35.183227426177062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-3.979039320256561E-13</v>
      </c>
      <c r="BZ119" s="13">
        <f>BY119*VLOOKUP('Données projet'!$B$12,Paramètres!$A$1:$I$89,3,0)*VLOOKUP('Données projet'!$B$12,Paramètres!$A$1:$I$89,5,0)</f>
        <v>-1.8621904018800707E-13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307.52821153421951</v>
      </c>
      <c r="CE119" s="59">
        <f t="shared" si="94"/>
        <v>221.23619018904222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125.94150986407175</v>
      </c>
      <c r="CL119" s="21">
        <f>EXP(-LN(2)/25)*CL118+(1-EXP(-LN(2)/25))/(LN(2)/25)*Calculateur!CG119*Calculateur!CI119*VLOOKUP('Données projet'!$B$12,Paramètres!$A$1:$I$89,3,0)*0.475*44/12</f>
        <v>27.251567068917655</v>
      </c>
      <c r="CM119" s="21">
        <f>EXP(-LN(2)/2)*CM118+(1-EXP(-LN(2)/2))/(LN(2)/2)*CG119*CJ119*VLOOKUP('Données projet'!$B$12,Paramètres!$A$1:$I$89,3,0)*0.475*44/12</f>
        <v>0.11984856709396845</v>
      </c>
      <c r="CN119" s="22">
        <f t="shared" si="66"/>
        <v>153.3129255000834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6.0153846153846189</v>
      </c>
      <c r="CT119" s="12">
        <f>IF('Données projet'!$A$140&gt;35,CT118+CS119-DB118,IF(A119&lt;'Données projet'!$A$140,$CQ$205^A119,IF(A119='Données projet'!$A$140,'Données projet'!$B$140,CT118+CS119-DB118)))</f>
        <v>262.83846153846127</v>
      </c>
      <c r="CU119" s="17">
        <f>CT119*VLOOKUP('Données projet'!$B$13,Paramètres!$A$1:$I$89,3,0)*VLOOKUP('Données projet'!$B$13,Paramètres!$A$1:$I$89,5,0)</f>
        <v>299.32043999999968</v>
      </c>
      <c r="CV119" s="13">
        <f t="shared" si="95"/>
        <v>71.033982800239357</v>
      </c>
      <c r="CW119" s="20">
        <f t="shared" si="67"/>
        <v>645.03395304374965</v>
      </c>
      <c r="CX119" s="59">
        <f t="shared" si="68"/>
        <v>926.32819693847114</v>
      </c>
      <c r="CY119" s="59">
        <f ca="1">AVERAGE(OFFSET($CX$3,0,0,'Données projet'!$E$13+1,1))-AVERAGE(OFFSET($H$3,0,0,'Données projet'!$E$13+1,1))</f>
        <v>598.12133208901378</v>
      </c>
      <c r="CZ119" s="59">
        <f t="shared" si="96"/>
        <v>246.23353541360947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50.405202654612708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50.405202654612708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266.99999999999983</v>
      </c>
      <c r="DP119" s="17">
        <f>DO119*VLOOKUP('Données projet'!$B$14,Paramètres!$A$1:$I$89,3,0)*VLOOKUP('Données projet'!$B$14,Paramètres!$A$1:$I$89,5,0)</f>
        <v>212.42519999999985</v>
      </c>
      <c r="DQ119" s="13">
        <f t="shared" si="97"/>
        <v>52.465198231787184</v>
      </c>
      <c r="DR119" s="20">
        <f t="shared" si="70"/>
        <v>461.35077692036231</v>
      </c>
      <c r="DS119" s="59">
        <f t="shared" si="71"/>
        <v>742.64502081508385</v>
      </c>
      <c r="DT119" s="59">
        <f ca="1">AVERAGE(OFFSET($DS$3,0,0,'Données projet'!$E$14+1,1))-AVERAGE(OFFSET($H$3,0,0,'Données projet'!$E$14+1,1))</f>
        <v>323.01113210765487</v>
      </c>
      <c r="DU119" s="59">
        <f t="shared" si="98"/>
        <v>311.68541696405975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14.091321776595176</v>
      </c>
      <c r="EB119" s="21">
        <f>EXP(-LN(2)/25)*EB118+(1-EXP(-LN(2)/25))/(LN(2)/25)*Calculateur!DW119*Calculateur!DY119*VLOOKUP('Données projet'!$B$14,Paramètres!$A$1:$I$89,3,0)*0.475*44/12</f>
        <v>3.0720787428539449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17.163400519449119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337.99164391755608</v>
      </c>
      <c r="T120" s="59">
        <f t="shared" si="88"/>
        <v>421.45428231923393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7.1749999999999998</v>
      </c>
      <c r="AI120" s="13">
        <f>IF('Données projet'!$A$62&gt;35,AI119+AH120-AQ119,IF(A120&lt;'Données projet'!$A$62,$AF$205^A120,IF(A120='Données projet'!$A$62,'Données projet'!$B$62,AI119+AH120-AQ119)))</f>
        <v>362.53269230769189</v>
      </c>
      <c r="AJ120" s="13">
        <f>AI120*VLOOKUP('Données projet'!$B$10,Paramètres!$A$1:$I$89,3,0)*VLOOKUP('Données projet'!$B$10,Paramètres!$A$1:$I$89,5,0)</f>
        <v>367.60814999999957</v>
      </c>
      <c r="AK120" s="13">
        <f t="shared" si="89"/>
        <v>85.177789818034285</v>
      </c>
      <c r="AL120" s="20">
        <f t="shared" si="58"/>
        <v>788.60217851640891</v>
      </c>
      <c r="AM120" s="59">
        <f t="shared" si="59"/>
        <v>1070.1052736975184</v>
      </c>
      <c r="AN120" s="59">
        <f ca="1">AVERAGE(OFFSET($AM$3,0,0,'Données projet'!$E$10+1,1))-AVERAGE(OFFSET($H$3,0,0,'Données projet'!$E$10+1,1))</f>
        <v>596.42822894047072</v>
      </c>
      <c r="AO120" s="59">
        <f t="shared" si="90"/>
        <v>298.31525330951047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60.48319037767471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60.48319037767471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243</v>
      </c>
      <c r="BE120" s="13">
        <f>BD120*VLOOKUP('Données projet'!$B$11,Paramètres!$A$1:$I$89,3,0)*VLOOKUP('Données projet'!$B$11,Paramètres!$A$1:$I$89,5,0)</f>
        <v>253.98360000000002</v>
      </c>
      <c r="BF120" s="13">
        <f t="shared" si="91"/>
        <v>61.438182405444294</v>
      </c>
      <c r="BG120" s="20">
        <f t="shared" si="61"/>
        <v>549.35960435614891</v>
      </c>
      <c r="BH120" s="59">
        <f t="shared" si="62"/>
        <v>830.86269953725855</v>
      </c>
      <c r="BI120" s="59">
        <f ca="1">AVERAGE(OFFSET($BH$3,0,0,'Données projet'!$E$11+1,1))-AVERAGE(OFFSET($H$3,0,0,'Données projet'!$E$11+1,1))</f>
        <v>446.06835300781546</v>
      </c>
      <c r="BJ120" s="59">
        <f t="shared" si="92"/>
        <v>396.46809188573138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23.285078338595138</v>
      </c>
      <c r="BQ120" s="21">
        <f>EXP(-LN(2)/25)*BQ119+(1-EXP(-LN(2)/25))/(LN(2)/25)*Calculateur!BL120*Calculateur!BN120*VLOOKUP('Données projet'!$B$11,Paramètres!$A$1:$I$89,3,0)*0.475*44/12</f>
        <v>11.119790191417964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34.404868530013104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-3.979039320256561E-13</v>
      </c>
      <c r="BZ120" s="13">
        <f>BY120*VLOOKUP('Données projet'!$B$12,Paramètres!$A$1:$I$89,3,0)*VLOOKUP('Données projet'!$B$12,Paramètres!$A$1:$I$89,5,0)</f>
        <v>-1.8621904018800707E-13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307.52821153421951</v>
      </c>
      <c r="CE120" s="59">
        <f t="shared" si="94"/>
        <v>221.23619018904222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123.47187367237329</v>
      </c>
      <c r="CL120" s="21">
        <f>EXP(-LN(2)/25)*CL119+(1-EXP(-LN(2)/25))/(LN(2)/25)*Calculateur!CG120*Calculateur!CI120*VLOOKUP('Données projet'!$B$12,Paramètres!$A$1:$I$89,3,0)*0.475*44/12</f>
        <v>26.506371534320476</v>
      </c>
      <c r="CM120" s="21">
        <f>EXP(-LN(2)/2)*CM119+(1-EXP(-LN(2)/2))/(LN(2)/2)*CG120*CJ120*VLOOKUP('Données projet'!$B$12,Paramètres!$A$1:$I$89,3,0)*0.475*44/12</f>
        <v>8.4745734507636006E-2</v>
      </c>
      <c r="CN120" s="22">
        <f t="shared" si="66"/>
        <v>150.06299094120141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6.0153846153846189</v>
      </c>
      <c r="CT120" s="12">
        <f>IF('Données projet'!$A$140&gt;35,CT119+CS120-DB119,IF(A120&lt;'Données projet'!$A$140,$CQ$205^A120,IF(A120='Données projet'!$A$140,'Données projet'!$B$140,CT119+CS120-DB119)))</f>
        <v>268.85384615384589</v>
      </c>
      <c r="CU120" s="17">
        <f>CT120*VLOOKUP('Données projet'!$B$13,Paramètres!$A$1:$I$89,3,0)*VLOOKUP('Données projet'!$B$13,Paramètres!$A$1:$I$89,5,0)</f>
        <v>306.17075999999975</v>
      </c>
      <c r="CV120" s="13">
        <f t="shared" si="95"/>
        <v>72.468554881886121</v>
      </c>
      <c r="CW120" s="20">
        <f t="shared" si="67"/>
        <v>659.46347341928447</v>
      </c>
      <c r="CX120" s="59">
        <f t="shared" si="68"/>
        <v>940.96656860039411</v>
      </c>
      <c r="CY120" s="59">
        <f ca="1">AVERAGE(OFFSET($CX$3,0,0,'Données projet'!$E$13+1,1))-AVERAGE(OFFSET($H$3,0,0,'Données projet'!$E$13+1,1))</f>
        <v>598.12133208901378</v>
      </c>
      <c r="CZ120" s="59">
        <f t="shared" si="96"/>
        <v>246.23353541360947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49.416787374693641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49.416787374693641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266.99999999999983</v>
      </c>
      <c r="DP120" s="17">
        <f>DO120*VLOOKUP('Données projet'!$B$14,Paramètres!$A$1:$I$89,3,0)*VLOOKUP('Données projet'!$B$14,Paramètres!$A$1:$I$89,5,0)</f>
        <v>212.42519999999985</v>
      </c>
      <c r="DQ120" s="13">
        <f t="shared" si="97"/>
        <v>52.465198231787184</v>
      </c>
      <c r="DR120" s="20">
        <f t="shared" si="70"/>
        <v>461.35077692036231</v>
      </c>
      <c r="DS120" s="59">
        <f t="shared" si="71"/>
        <v>742.85387210147201</v>
      </c>
      <c r="DT120" s="59">
        <f ca="1">AVERAGE(OFFSET($DS$3,0,0,'Données projet'!$E$14+1,1))-AVERAGE(OFFSET($H$3,0,0,'Données projet'!$E$14+1,1))</f>
        <v>323.01113210765487</v>
      </c>
      <c r="DU120" s="59">
        <f t="shared" si="98"/>
        <v>311.68541696405975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13.814999551413758</v>
      </c>
      <c r="EB120" s="21">
        <f>EXP(-LN(2)/25)*EB119+(1-EXP(-LN(2)/25))/(LN(2)/25)*Calculateur!DW120*Calculateur!DY120*VLOOKUP('Données projet'!$B$14,Paramètres!$A$1:$I$89,3,0)*0.475*44/12</f>
        <v>2.9880725880770038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16.803072139490762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337.99164391755608</v>
      </c>
      <c r="T121" s="59">
        <f t="shared" si="88"/>
        <v>421.45428231923393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7.1749999999999998</v>
      </c>
      <c r="AI121" s="13">
        <f>IF('Données projet'!$A$62&gt;35,AI120+AH121-AQ120,IF(A121&lt;'Données projet'!$A$62,$AF$205^A121,IF(A121='Données projet'!$A$62,'Données projet'!$B$62,AI120+AH121-AQ120)))</f>
        <v>369.7076923076919</v>
      </c>
      <c r="AJ121" s="13">
        <f>AI121*VLOOKUP('Données projet'!$B$10,Paramètres!$A$1:$I$89,3,0)*VLOOKUP('Données projet'!$B$10,Paramètres!$A$1:$I$89,5,0)</f>
        <v>374.8835999999996</v>
      </c>
      <c r="AK121" s="13">
        <f t="shared" si="89"/>
        <v>86.665642462051338</v>
      </c>
      <c r="AL121" s="20">
        <f t="shared" si="58"/>
        <v>803.86493062140528</v>
      </c>
      <c r="AM121" s="59">
        <f t="shared" si="59"/>
        <v>1085.5732539860057</v>
      </c>
      <c r="AN121" s="59">
        <f ca="1">AVERAGE(OFFSET($AM$3,0,0,'Données projet'!$E$10+1,1))-AVERAGE(OFFSET($H$3,0,0,'Données projet'!$E$10+1,1))</f>
        <v>596.42822894047072</v>
      </c>
      <c r="AO121" s="59">
        <f t="shared" si="90"/>
        <v>298.31525330951047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59.297151905471942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59.297151905471942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243</v>
      </c>
      <c r="BE121" s="13">
        <f>BD121*VLOOKUP('Données projet'!$B$11,Paramètres!$A$1:$I$89,3,0)*VLOOKUP('Données projet'!$B$11,Paramètres!$A$1:$I$89,5,0)</f>
        <v>253.98360000000002</v>
      </c>
      <c r="BF121" s="13">
        <f t="shared" si="91"/>
        <v>61.438182405444294</v>
      </c>
      <c r="BG121" s="20">
        <f t="shared" si="61"/>
        <v>549.35960435614891</v>
      </c>
      <c r="BH121" s="59">
        <f t="shared" si="62"/>
        <v>831.06792772074937</v>
      </c>
      <c r="BI121" s="59">
        <f ca="1">AVERAGE(OFFSET($BH$3,0,0,'Données projet'!$E$11+1,1))-AVERAGE(OFFSET($H$3,0,0,'Données projet'!$E$11+1,1))</f>
        <v>446.06835300781546</v>
      </c>
      <c r="BJ121" s="59">
        <f t="shared" si="92"/>
        <v>396.46809188573138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22.828472154870695</v>
      </c>
      <c r="BQ121" s="21">
        <f>EXP(-LN(2)/25)*BQ120+(1-EXP(-LN(2)/25))/(LN(2)/25)*Calculateur!BL121*Calculateur!BN121*VLOOKUP('Données projet'!$B$11,Paramètres!$A$1:$I$89,3,0)*0.475*44/12</f>
        <v>10.815718943869289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33.644191098739981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-3.979039320256561E-13</v>
      </c>
      <c r="BZ121" s="13">
        <f>BY121*VLOOKUP('Données projet'!$B$12,Paramètres!$A$1:$I$89,3,0)*VLOOKUP('Données projet'!$B$12,Paramètres!$A$1:$I$89,5,0)</f>
        <v>-1.8621904018800707E-13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307.52821153421951</v>
      </c>
      <c r="CE121" s="59">
        <f t="shared" si="94"/>
        <v>221.23619018904222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121.05066554006471</v>
      </c>
      <c r="CL121" s="21">
        <f>EXP(-LN(2)/25)*CL120+(1-EXP(-LN(2)/25))/(LN(2)/25)*Calculateur!CG121*Calculateur!CI121*VLOOKUP('Données projet'!$B$12,Paramètres!$A$1:$I$89,3,0)*0.475*44/12</f>
        <v>25.781553410804985</v>
      </c>
      <c r="CM121" s="21">
        <f>EXP(-LN(2)/2)*CM120+(1-EXP(-LN(2)/2))/(LN(2)/2)*CG121*CJ121*VLOOKUP('Données projet'!$B$12,Paramètres!$A$1:$I$89,3,0)*0.475*44/12</f>
        <v>5.9924283546984224E-2</v>
      </c>
      <c r="CN121" s="22">
        <f t="shared" si="66"/>
        <v>146.89214323441669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6.0153846153846189</v>
      </c>
      <c r="CT121" s="12">
        <f>IF('Données projet'!$A$140&gt;35,CT120+CS121-DB120,IF(A121&lt;'Données projet'!$A$140,$CQ$205^A121,IF(A121='Données projet'!$A$140,'Données projet'!$B$140,CT120+CS121-DB120)))</f>
        <v>274.86923076923051</v>
      </c>
      <c r="CU121" s="17">
        <f>CT121*VLOOKUP('Données projet'!$B$13,Paramètres!$A$1:$I$89,3,0)*VLOOKUP('Données projet'!$B$13,Paramètres!$A$1:$I$89,5,0)</f>
        <v>313.0210799999997</v>
      </c>
      <c r="CV121" s="13">
        <f t="shared" si="95"/>
        <v>73.899395360850605</v>
      </c>
      <c r="CW121" s="20">
        <f t="shared" si="67"/>
        <v>673.88649458681436</v>
      </c>
      <c r="CX121" s="59">
        <f t="shared" si="68"/>
        <v>955.59481795141483</v>
      </c>
      <c r="CY121" s="59">
        <f ca="1">AVERAGE(OFFSET($CX$3,0,0,'Données projet'!$E$13+1,1))-AVERAGE(OFFSET($H$3,0,0,'Données projet'!$E$13+1,1))</f>
        <v>598.12133208901378</v>
      </c>
      <c r="CZ121" s="59">
        <f t="shared" si="96"/>
        <v>246.23353541360947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48.447754315539996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48.447754315539996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266.99999999999983</v>
      </c>
      <c r="DP121" s="17">
        <f>DO121*VLOOKUP('Données projet'!$B$14,Paramètres!$A$1:$I$89,3,0)*VLOOKUP('Données projet'!$B$14,Paramètres!$A$1:$I$89,5,0)</f>
        <v>212.42519999999985</v>
      </c>
      <c r="DQ121" s="13">
        <f t="shared" si="97"/>
        <v>52.465198231787184</v>
      </c>
      <c r="DR121" s="20">
        <f t="shared" si="70"/>
        <v>461.35077692036231</v>
      </c>
      <c r="DS121" s="59">
        <f t="shared" si="71"/>
        <v>743.05910028496271</v>
      </c>
      <c r="DT121" s="59">
        <f ca="1">AVERAGE(OFFSET($DS$3,0,0,'Données projet'!$E$14+1,1))-AVERAGE(OFFSET($H$3,0,0,'Données projet'!$E$14+1,1))</f>
        <v>323.01113210765487</v>
      </c>
      <c r="DU121" s="59">
        <f t="shared" si="98"/>
        <v>311.68541696405975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13.54409583652823</v>
      </c>
      <c r="EB121" s="21">
        <f>EXP(-LN(2)/25)*EB120+(1-EXP(-LN(2)/25))/(LN(2)/25)*Calculateur!DW121*Calculateur!DY121*VLOOKUP('Données projet'!$B$14,Paramètres!$A$1:$I$89,3,0)*0.475*44/12</f>
        <v>2.90636358602013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16.450459422548359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337.99164391755608</v>
      </c>
      <c r="T122" s="59">
        <f t="shared" si="88"/>
        <v>421.45428231923393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7.1749999999999998</v>
      </c>
      <c r="AI122" s="13">
        <f>IF('Données projet'!$A$62&gt;35,AI121+AH122-AQ121,IF(A122&lt;'Données projet'!$A$62,$AF$205^A122,IF(A122='Données projet'!$A$62,'Données projet'!$B$62,AI121+AH122-AQ121)))</f>
        <v>376.88269230769191</v>
      </c>
      <c r="AJ122" s="13">
        <f>AI122*VLOOKUP('Données projet'!$B$10,Paramètres!$A$1:$I$89,3,0)*VLOOKUP('Données projet'!$B$10,Paramètres!$A$1:$I$89,5,0)</f>
        <v>382.15904999999958</v>
      </c>
      <c r="AK122" s="13">
        <f t="shared" si="89"/>
        <v>88.150137616311767</v>
      </c>
      <c r="AL122" s="20">
        <f t="shared" si="58"/>
        <v>819.12183509840895</v>
      </c>
      <c r="AM122" s="59">
        <f t="shared" si="59"/>
        <v>1101.0318263963381</v>
      </c>
      <c r="AN122" s="59">
        <f ca="1">AVERAGE(OFFSET($AM$3,0,0,'Données projet'!$E$10+1,1))-AVERAGE(OFFSET($H$3,0,0,'Données projet'!$E$10+1,1))</f>
        <v>596.42822894047072</v>
      </c>
      <c r="AO122" s="59">
        <f t="shared" si="90"/>
        <v>298.31525330951047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58.134370924297038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58.134370924297038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243</v>
      </c>
      <c r="BE122" s="13">
        <f>BD122*VLOOKUP('Données projet'!$B$11,Paramètres!$A$1:$I$89,3,0)*VLOOKUP('Données projet'!$B$11,Paramètres!$A$1:$I$89,5,0)</f>
        <v>253.98360000000002</v>
      </c>
      <c r="BF122" s="13">
        <f t="shared" si="91"/>
        <v>61.438182405444294</v>
      </c>
      <c r="BG122" s="20">
        <f t="shared" si="61"/>
        <v>549.35960435614891</v>
      </c>
      <c r="BH122" s="59">
        <f t="shared" si="62"/>
        <v>831.2695956540781</v>
      </c>
      <c r="BI122" s="59">
        <f ca="1">AVERAGE(OFFSET($BH$3,0,0,'Données projet'!$E$11+1,1))-AVERAGE(OFFSET($H$3,0,0,'Données projet'!$E$11+1,1))</f>
        <v>446.06835300781546</v>
      </c>
      <c r="BJ122" s="59">
        <f t="shared" si="92"/>
        <v>396.46809188573138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22.380819739906816</v>
      </c>
      <c r="BQ122" s="21">
        <f>EXP(-LN(2)/25)*BQ121+(1-EXP(-LN(2)/25))/(LN(2)/25)*Calculateur!BL122*Calculateur!BN122*VLOOKUP('Données projet'!$B$11,Paramètres!$A$1:$I$89,3,0)*0.475*44/12</f>
        <v>10.519962540575243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32.900782280482062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-3.979039320256561E-13</v>
      </c>
      <c r="BZ122" s="13">
        <f>BY122*VLOOKUP('Données projet'!$B$12,Paramètres!$A$1:$I$89,3,0)*VLOOKUP('Données projet'!$B$12,Paramètres!$A$1:$I$89,5,0)</f>
        <v>-1.8621904018800707E-13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307.52821153421951</v>
      </c>
      <c r="CE122" s="59">
        <f t="shared" si="94"/>
        <v>221.23619018904222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118.67693582243956</v>
      </c>
      <c r="CL122" s="21">
        <f>EXP(-LN(2)/25)*CL121+(1-EXP(-LN(2)/25))/(LN(2)/25)*Calculateur!CG122*Calculateur!CI122*VLOOKUP('Données projet'!$B$12,Paramètres!$A$1:$I$89,3,0)*0.475*44/12</f>
        <v>25.076555476993555</v>
      </c>
      <c r="CM122" s="21">
        <f>EXP(-LN(2)/2)*CM121+(1-EXP(-LN(2)/2))/(LN(2)/2)*CG122*CJ122*VLOOKUP('Données projet'!$B$12,Paramètres!$A$1:$I$89,3,0)*0.475*44/12</f>
        <v>4.2372867253818003E-2</v>
      </c>
      <c r="CN122" s="22">
        <f t="shared" si="66"/>
        <v>143.79586416668693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6.0153846153846189</v>
      </c>
      <c r="CT122" s="12">
        <f>IF('Données projet'!$A$140&gt;35,CT121+CS122-DB121,IF(A122&lt;'Données projet'!$A$140,$CQ$205^A122,IF(A122='Données projet'!$A$140,'Données projet'!$B$140,CT121+CS122-DB121)))</f>
        <v>280.88461538461513</v>
      </c>
      <c r="CU122" s="17">
        <f>CT122*VLOOKUP('Données projet'!$B$13,Paramètres!$A$1:$I$89,3,0)*VLOOKUP('Données projet'!$B$13,Paramètres!$A$1:$I$89,5,0)</f>
        <v>319.87139999999971</v>
      </c>
      <c r="CV122" s="13">
        <f t="shared" si="95"/>
        <v>75.326595305908228</v>
      </c>
      <c r="CW122" s="20">
        <f t="shared" si="67"/>
        <v>688.30317515778961</v>
      </c>
      <c r="CX122" s="59">
        <f t="shared" si="68"/>
        <v>970.21316645571869</v>
      </c>
      <c r="CY122" s="59">
        <f ca="1">AVERAGE(OFFSET($CX$3,0,0,'Données projet'!$E$13+1,1))-AVERAGE(OFFSET($H$3,0,0,'Données projet'!$E$13+1,1))</f>
        <v>598.12133208901378</v>
      </c>
      <c r="CZ122" s="59">
        <f t="shared" si="96"/>
        <v>246.23353541360947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47.497723403624548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47.497723403624548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266.99999999999983</v>
      </c>
      <c r="DP122" s="17">
        <f>DO122*VLOOKUP('Données projet'!$B$14,Paramètres!$A$1:$I$89,3,0)*VLOOKUP('Données projet'!$B$14,Paramètres!$A$1:$I$89,5,0)</f>
        <v>212.42519999999985</v>
      </c>
      <c r="DQ122" s="13">
        <f t="shared" si="97"/>
        <v>52.465198231787184</v>
      </c>
      <c r="DR122" s="20">
        <f t="shared" si="70"/>
        <v>461.35077692036231</v>
      </c>
      <c r="DS122" s="59">
        <f t="shared" si="71"/>
        <v>743.26076821829145</v>
      </c>
      <c r="DT122" s="59">
        <f ca="1">AVERAGE(OFFSET($DS$3,0,0,'Données projet'!$E$14+1,1))-AVERAGE(OFFSET($H$3,0,0,'Données projet'!$E$14+1,1))</f>
        <v>323.01113210765487</v>
      </c>
      <c r="DU122" s="59">
        <f t="shared" si="98"/>
        <v>311.68541696405975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13.278504378256658</v>
      </c>
      <c r="EB122" s="21">
        <f>EXP(-LN(2)/25)*EB121+(1-EXP(-LN(2)/25))/(LN(2)/25)*Calculateur!DW122*Calculateur!DY122*VLOOKUP('Données projet'!$B$14,Paramètres!$A$1:$I$89,3,0)*0.475*44/12</f>
        <v>2.826888920921391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16.105393299178047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337.99164391755608</v>
      </c>
      <c r="T123" s="59">
        <f t="shared" si="88"/>
        <v>421.45428231923393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384.05769230769226</v>
      </c>
      <c r="AG123" s="12">
        <f>VLOOKUP(A123,'Données projet'!$A$61:$I$81,9,0)</f>
        <v>7.1749999999999998</v>
      </c>
      <c r="AH123" s="12">
        <f t="array" ref="AH123">INDEX(AG:AG,MIN(IF(ISNUMBER(AG123:AG319),ROW(AG123:AG319),"")))</f>
        <v>7.1749999999999998</v>
      </c>
      <c r="AI123" s="13">
        <f>IF('Données projet'!$A$62&gt;35,AI122+AH123-AQ122,IF(A123&lt;'Données projet'!$A$62,$AF$205^A123,IF(A123='Données projet'!$A$62,'Données projet'!$B$62,AI122+AH123-AQ122)))</f>
        <v>384.05769230769192</v>
      </c>
      <c r="AJ123" s="13">
        <f>AI123*VLOOKUP('Données projet'!$B$10,Paramètres!$A$1:$I$89,3,0)*VLOOKUP('Données projet'!$B$10,Paramètres!$A$1:$I$89,5,0)</f>
        <v>389.43449999999962</v>
      </c>
      <c r="AK123" s="13">
        <f t="shared" si="89"/>
        <v>89.631346569738511</v>
      </c>
      <c r="AL123" s="20">
        <f t="shared" si="58"/>
        <v>834.37301610896054</v>
      </c>
      <c r="AM123" s="59">
        <f t="shared" si="59"/>
        <v>1116.4811768524371</v>
      </c>
      <c r="AN123" s="59">
        <f ca="1">AVERAGE(OFFSET($AM$3,0,0,'Données projet'!$E$10+1,1))-AVERAGE(OFFSET($H$3,0,0,'Données projet'!$E$10+1,1))</f>
        <v>596.42822894047072</v>
      </c>
      <c r="AO123" s="59">
        <f t="shared" si="90"/>
        <v>298.31525330951047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44.929487179487182</v>
      </c>
      <c r="AR123" s="16">
        <f>IF(ISNA(VLOOKUP(A123,'Données projet'!$A$61:$I$81,5,0)),0%,VLOOKUP(A123,'Données projet'!$A$61:$I$81,5,0)*VLOOKUP('Données projet'!$B$10,Paramètres!$A$1:$I$89,7,0))</f>
        <v>0.30099999999999999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72.153826627008129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72.153826627008129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243</v>
      </c>
      <c r="BE123" s="13">
        <f>BD123*VLOOKUP('Données projet'!$B$11,Paramètres!$A$1:$I$89,3,0)*VLOOKUP('Données projet'!$B$11,Paramètres!$A$1:$I$89,5,0)</f>
        <v>253.98360000000002</v>
      </c>
      <c r="BF123" s="13">
        <f t="shared" si="91"/>
        <v>61.438182405444294</v>
      </c>
      <c r="BG123" s="20">
        <f t="shared" si="61"/>
        <v>549.35960435614891</v>
      </c>
      <c r="BH123" s="59">
        <f t="shared" si="62"/>
        <v>831.46776509962547</v>
      </c>
      <c r="BI123" s="59">
        <f ca="1">AVERAGE(OFFSET($BH$3,0,0,'Données projet'!$E$11+1,1))-AVERAGE(OFFSET($H$3,0,0,'Données projet'!$E$11+1,1))</f>
        <v>446.06835300781546</v>
      </c>
      <c r="BJ123" s="59">
        <f t="shared" si="92"/>
        <v>396.46809188573138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21.941945515759365</v>
      </c>
      <c r="BQ123" s="21">
        <f>EXP(-LN(2)/25)*BQ122+(1-EXP(-LN(2)/25))/(LN(2)/25)*Calculateur!BL123*Calculateur!BN123*VLOOKUP('Données projet'!$B$11,Paramètres!$A$1:$I$89,3,0)*0.475*44/12</f>
        <v>10.232293611682426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32.174239127441794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-3.979039320256561E-13</v>
      </c>
      <c r="BZ123" s="13">
        <f>BY123*VLOOKUP('Données projet'!$B$12,Paramètres!$A$1:$I$89,3,0)*VLOOKUP('Données projet'!$B$12,Paramètres!$A$1:$I$89,5,0)</f>
        <v>-1.8621904018800707E-13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307.52821153421951</v>
      </c>
      <c r="CE123" s="59">
        <f t="shared" si="94"/>
        <v>221.23619018904222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116.34975349674487</v>
      </c>
      <c r="CL123" s="21">
        <f>EXP(-LN(2)/25)*CL122+(1-EXP(-LN(2)/25))/(LN(2)/25)*Calculateur!CG123*Calculateur!CI123*VLOOKUP('Données projet'!$B$12,Paramètres!$A$1:$I$89,3,0)*0.475*44/12</f>
        <v>24.390835748756427</v>
      </c>
      <c r="CM123" s="21">
        <f>EXP(-LN(2)/2)*CM122+(1-EXP(-LN(2)/2))/(LN(2)/2)*CG123*CJ123*VLOOKUP('Données projet'!$B$12,Paramètres!$A$1:$I$89,3,0)*0.475*44/12</f>
        <v>2.9962141773492112E-2</v>
      </c>
      <c r="CN123" s="22">
        <f t="shared" si="66"/>
        <v>140.77055138727479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6.0153846153846189</v>
      </c>
      <c r="CT123" s="12">
        <f>IF('Données projet'!$A$140&gt;35,CT122+CS123-DB122,IF(A123&lt;'Données projet'!$A$140,$CQ$205^A123,IF(A123='Données projet'!$A$140,'Données projet'!$B$140,CT122+CS123-DB122)))</f>
        <v>286.89999999999975</v>
      </c>
      <c r="CU123" s="17">
        <f>CT123*VLOOKUP('Données projet'!$B$13,Paramètres!$A$1:$I$89,3,0)*VLOOKUP('Données projet'!$B$13,Paramètres!$A$1:$I$89,5,0)</f>
        <v>326.72171999999972</v>
      </c>
      <c r="CV123" s="13">
        <f t="shared" si="95"/>
        <v>76.750241662379594</v>
      </c>
      <c r="CW123" s="20">
        <f t="shared" si="67"/>
        <v>702.71366656197733</v>
      </c>
      <c r="CX123" s="59">
        <f t="shared" si="68"/>
        <v>984.82182730545401</v>
      </c>
      <c r="CY123" s="59">
        <f ca="1">AVERAGE(OFFSET($CX$3,0,0,'Données projet'!$E$13+1,1))-AVERAGE(OFFSET($H$3,0,0,'Données projet'!$E$13+1,1))</f>
        <v>598.12133208901378</v>
      </c>
      <c r="CZ123" s="59">
        <f t="shared" si="96"/>
        <v>246.23353541360947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46.566322018430121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46.566322018430121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266.99999999999983</v>
      </c>
      <c r="DP123" s="17">
        <f>DO123*VLOOKUP('Données projet'!$B$14,Paramètres!$A$1:$I$89,3,0)*VLOOKUP('Données projet'!$B$14,Paramètres!$A$1:$I$89,5,0)</f>
        <v>212.42519999999985</v>
      </c>
      <c r="DQ123" s="13">
        <f t="shared" si="97"/>
        <v>52.465198231787184</v>
      </c>
      <c r="DR123" s="20">
        <f t="shared" si="70"/>
        <v>461.35077692036231</v>
      </c>
      <c r="DS123" s="59">
        <f t="shared" si="71"/>
        <v>743.45893766383892</v>
      </c>
      <c r="DT123" s="59">
        <f ca="1">AVERAGE(OFFSET($DS$3,0,0,'Données projet'!$E$14+1,1))-AVERAGE(OFFSET($H$3,0,0,'Données projet'!$E$14+1,1))</f>
        <v>323.01113210765487</v>
      </c>
      <c r="DU123" s="59">
        <f t="shared" si="98"/>
        <v>311.68541696405975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13.018121006486997</v>
      </c>
      <c r="EB123" s="21">
        <f>EXP(-LN(2)/25)*EB122+(1-EXP(-LN(2)/25))/(LN(2)/25)*Calculateur!DW123*Calculateur!DY123*VLOOKUP('Données projet'!$B$14,Paramètres!$A$1:$I$89,3,0)*0.475*44/12</f>
        <v>2.7495874947191683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15.767708501206165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337.99164391755608</v>
      </c>
      <c r="T124" s="59">
        <f t="shared" si="88"/>
        <v>421.45428231923393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7.1730769230769225</v>
      </c>
      <c r="AI124" s="13">
        <f>IF('Données projet'!$A$62&gt;35,AI123+AH124-AQ123,IF(A124&lt;'Données projet'!$A$62,$AF$205^A124,IF(A124='Données projet'!$A$62,'Données projet'!$B$62,AI123+AH124-AQ123)))</f>
        <v>346.30128205128165</v>
      </c>
      <c r="AJ124" s="13">
        <f>AI124*VLOOKUP('Données projet'!$B$10,Paramètres!$A$1:$I$89,3,0)*VLOOKUP('Données projet'!$B$10,Paramètres!$A$1:$I$89,5,0)</f>
        <v>351.14949999999959</v>
      </c>
      <c r="AK124" s="13">
        <f t="shared" si="89"/>
        <v>81.79916003842925</v>
      </c>
      <c r="AL124" s="20">
        <f t="shared" si="58"/>
        <v>754.05224956693019</v>
      </c>
      <c r="AM124" s="59">
        <f t="shared" si="59"/>
        <v>1036.3551419591145</v>
      </c>
      <c r="AN124" s="59">
        <f ca="1">AVERAGE(OFFSET($AM$3,0,0,'Données projet'!$E$10+1,1))-AVERAGE(OFFSET($H$3,0,0,'Données projet'!$E$10+1,1))</f>
        <v>596.42822894047072</v>
      </c>
      <c r="AO124" s="59">
        <f t="shared" si="90"/>
        <v>298.31525330951047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70.738934096341168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70.738934096341168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243</v>
      </c>
      <c r="BE124" s="13">
        <f>BD124*VLOOKUP('Données projet'!$B$11,Paramètres!$A$1:$I$89,3,0)*VLOOKUP('Données projet'!$B$11,Paramètres!$A$1:$I$89,5,0)</f>
        <v>253.98360000000002</v>
      </c>
      <c r="BF124" s="13">
        <f t="shared" si="91"/>
        <v>61.438182405444294</v>
      </c>
      <c r="BG124" s="20">
        <f t="shared" si="61"/>
        <v>549.35960435614891</v>
      </c>
      <c r="BH124" s="59">
        <f t="shared" si="62"/>
        <v>831.6624967483333</v>
      </c>
      <c r="BI124" s="59">
        <f ca="1">AVERAGE(OFFSET($BH$3,0,0,'Données projet'!$E$11+1,1))-AVERAGE(OFFSET($H$3,0,0,'Données projet'!$E$11+1,1))</f>
        <v>446.06835300781546</v>
      </c>
      <c r="BJ124" s="59">
        <f t="shared" si="92"/>
        <v>396.46809188573138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21.511677347460601</v>
      </c>
      <c r="BQ124" s="21">
        <f>EXP(-LN(2)/25)*BQ123+(1-EXP(-LN(2)/25))/(LN(2)/25)*Calculateur!BL124*Calculateur!BN124*VLOOKUP('Données projet'!$B$11,Paramètres!$A$1:$I$89,3,0)*0.475*44/12</f>
        <v>9.9524910047780359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31.464168352238637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-3.979039320256561E-13</v>
      </c>
      <c r="BZ124" s="13">
        <f>BY124*VLOOKUP('Données projet'!$B$12,Paramètres!$A$1:$I$89,3,0)*VLOOKUP('Données projet'!$B$12,Paramètres!$A$1:$I$89,5,0)</f>
        <v>-1.8621904018800707E-13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307.52821153421951</v>
      </c>
      <c r="CE124" s="59">
        <f t="shared" si="94"/>
        <v>221.23619018904222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114.06820579701599</v>
      </c>
      <c r="CL124" s="21">
        <f>EXP(-LN(2)/25)*CL123+(1-EXP(-LN(2)/25))/(LN(2)/25)*Calculateur!CG124*Calculateur!CI124*VLOOKUP('Données projet'!$B$12,Paramètres!$A$1:$I$89,3,0)*0.475*44/12</f>
        <v>23.723867062548376</v>
      </c>
      <c r="CM124" s="21">
        <f>EXP(-LN(2)/2)*CM123+(1-EXP(-LN(2)/2))/(LN(2)/2)*CG124*CJ124*VLOOKUP('Données projet'!$B$12,Paramètres!$A$1:$I$89,3,0)*0.475*44/12</f>
        <v>2.1186433626909001E-2</v>
      </c>
      <c r="CN124" s="22">
        <f t="shared" si="66"/>
        <v>137.81325929319129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6.0153846153846189</v>
      </c>
      <c r="CT124" s="12">
        <f>IF('Données projet'!$A$140&gt;35,CT123+CS124-DB123,IF(A124&lt;'Données projet'!$A$140,$CQ$205^A124,IF(A124='Données projet'!$A$140,'Données projet'!$B$140,CT123+CS124-DB123)))</f>
        <v>292.91538461538437</v>
      </c>
      <c r="CU124" s="17">
        <f>CT124*VLOOKUP('Données projet'!$B$13,Paramètres!$A$1:$I$89,3,0)*VLOOKUP('Données projet'!$B$13,Paramètres!$A$1:$I$89,5,0)</f>
        <v>333.57203999999973</v>
      </c>
      <c r="CV124" s="13">
        <f t="shared" si="95"/>
        <v>78.170417521311791</v>
      </c>
      <c r="CW124" s="20">
        <f t="shared" si="67"/>
        <v>717.1181135162841</v>
      </c>
      <c r="CX124" s="59">
        <f t="shared" si="68"/>
        <v>999.42100590846849</v>
      </c>
      <c r="CY124" s="59">
        <f ca="1">AVERAGE(OFFSET($CX$3,0,0,'Données projet'!$E$13+1,1))-AVERAGE(OFFSET($H$3,0,0,'Données projet'!$E$13+1,1))</f>
        <v>598.12133208901378</v>
      </c>
      <c r="CZ124" s="59">
        <f t="shared" si="96"/>
        <v>246.23353541360947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45.653184846300611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45.653184846300611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266.99999999999983</v>
      </c>
      <c r="DP124" s="17">
        <f>DO124*VLOOKUP('Données projet'!$B$14,Paramètres!$A$1:$I$89,3,0)*VLOOKUP('Données projet'!$B$14,Paramètres!$A$1:$I$89,5,0)</f>
        <v>212.42519999999985</v>
      </c>
      <c r="DQ124" s="13">
        <f t="shared" si="97"/>
        <v>52.465198231787184</v>
      </c>
      <c r="DR124" s="20">
        <f t="shared" si="70"/>
        <v>461.35077692036231</v>
      </c>
      <c r="DS124" s="59">
        <f t="shared" si="71"/>
        <v>743.65366931254675</v>
      </c>
      <c r="DT124" s="59">
        <f ca="1">AVERAGE(OFFSET($DS$3,0,0,'Données projet'!$E$14+1,1))-AVERAGE(OFFSET($H$3,0,0,'Données projet'!$E$14+1,1))</f>
        <v>323.01113210765487</v>
      </c>
      <c r="DU124" s="59">
        <f t="shared" si="98"/>
        <v>311.68541696405975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12.762843593819564</v>
      </c>
      <c r="EB124" s="21">
        <f>EXP(-LN(2)/25)*EB123+(1-EXP(-LN(2)/25))/(LN(2)/25)*Calculateur!DW124*Calculateur!DY124*VLOOKUP('Données projet'!$B$14,Paramètres!$A$1:$I$89,3,0)*0.475*44/12</f>
        <v>2.6743998800815505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15.437243473901114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337.99164391755608</v>
      </c>
      <c r="T125" s="59">
        <f t="shared" si="88"/>
        <v>421.45428231923393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7.1730769230769225</v>
      </c>
      <c r="AI125" s="13">
        <f>IF('Données projet'!$A$62&gt;35,AI124+AH125-AQ124,IF(A125&lt;'Données projet'!$A$62,$AF$205^A125,IF(A125='Données projet'!$A$62,'Données projet'!$B$62,AI124+AH125-AQ124)))</f>
        <v>353.47435897435855</v>
      </c>
      <c r="AJ125" s="13">
        <f>AI125*VLOOKUP('Données projet'!$B$10,Paramètres!$A$1:$I$89,3,0)*VLOOKUP('Données projet'!$B$10,Paramètres!$A$1:$I$89,5,0)</f>
        <v>358.4229999999996</v>
      </c>
      <c r="AK125" s="13">
        <f t="shared" si="89"/>
        <v>83.294486677872726</v>
      </c>
      <c r="AL125" s="20">
        <f t="shared" si="58"/>
        <v>769.32462263062769</v>
      </c>
      <c r="AM125" s="59">
        <f t="shared" si="59"/>
        <v>1051.8188685127695</v>
      </c>
      <c r="AN125" s="59">
        <f ca="1">AVERAGE(OFFSET($AM$3,0,0,'Données projet'!$E$10+1,1))-AVERAGE(OFFSET($H$3,0,0,'Données projet'!$E$10+1,1))</f>
        <v>596.42822894047072</v>
      </c>
      <c r="AO125" s="59">
        <f t="shared" si="90"/>
        <v>298.31525330951047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69.351786745201352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69.351786745201352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243</v>
      </c>
      <c r="BE125" s="13">
        <f>BD125*VLOOKUP('Données projet'!$B$11,Paramètres!$A$1:$I$89,3,0)*VLOOKUP('Données projet'!$B$11,Paramètres!$A$1:$I$89,5,0)</f>
        <v>253.98360000000002</v>
      </c>
      <c r="BF125" s="13">
        <f t="shared" si="91"/>
        <v>61.438182405444294</v>
      </c>
      <c r="BG125" s="20">
        <f t="shared" si="61"/>
        <v>549.35960435614891</v>
      </c>
      <c r="BH125" s="59">
        <f t="shared" si="62"/>
        <v>831.85385023829076</v>
      </c>
      <c r="BI125" s="59">
        <f ca="1">AVERAGE(OFFSET($BH$3,0,0,'Données projet'!$E$11+1,1))-AVERAGE(OFFSET($H$3,0,0,'Données projet'!$E$11+1,1))</f>
        <v>446.06835300781546</v>
      </c>
      <c r="BJ125" s="59">
        <f t="shared" si="92"/>
        <v>396.46809188573138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21.089846475504508</v>
      </c>
      <c r="BQ125" s="21">
        <f>EXP(-LN(2)/25)*BQ124+(1-EXP(-LN(2)/25))/(LN(2)/25)*Calculateur!BL125*Calculateur!BN125*VLOOKUP('Données projet'!$B$11,Paramètres!$A$1:$I$89,3,0)*0.475*44/12</f>
        <v>9.6803396148736258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30.770186090378132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-3.979039320256561E-13</v>
      </c>
      <c r="BZ125" s="13">
        <f>BY125*VLOOKUP('Données projet'!$B$12,Paramètres!$A$1:$I$89,3,0)*VLOOKUP('Données projet'!$B$12,Paramètres!$A$1:$I$89,5,0)</f>
        <v>-1.8621904018800707E-13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307.52821153421951</v>
      </c>
      <c r="CE125" s="59">
        <f t="shared" si="94"/>
        <v>221.23619018904222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111.83139785607212</v>
      </c>
      <c r="CL125" s="21">
        <f>EXP(-LN(2)/25)*CL124+(1-EXP(-LN(2)/25))/(LN(2)/25)*Calculateur!CG125*Calculateur!CI125*VLOOKUP('Données projet'!$B$12,Paramètres!$A$1:$I$89,3,0)*0.475*44/12</f>
        <v>23.075136670139042</v>
      </c>
      <c r="CM125" s="21">
        <f>EXP(-LN(2)/2)*CM124+(1-EXP(-LN(2)/2))/(LN(2)/2)*CG125*CJ125*VLOOKUP('Données projet'!$B$12,Paramètres!$A$1:$I$89,3,0)*0.475*44/12</f>
        <v>1.4981070886746056E-2</v>
      </c>
      <c r="CN125" s="22">
        <f t="shared" si="66"/>
        <v>134.92151559709788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6.0153846153846189</v>
      </c>
      <c r="CT125" s="12">
        <f>IF('Données projet'!$A$140&gt;35,CT124+CS125-DB124,IF(A125&lt;'Données projet'!$A$140,$CQ$205^A125,IF(A125='Données projet'!$A$140,'Données projet'!$B$140,CT124+CS125-DB124)))</f>
        <v>298.93076923076899</v>
      </c>
      <c r="CU125" s="17">
        <f>CT125*VLOOKUP('Données projet'!$B$13,Paramètres!$A$1:$I$89,3,0)*VLOOKUP('Données projet'!$B$13,Paramètres!$A$1:$I$89,5,0)</f>
        <v>340.42235999999974</v>
      </c>
      <c r="CV125" s="13">
        <f t="shared" si="95"/>
        <v>79.58720236592373</v>
      </c>
      <c r="CW125" s="20">
        <f t="shared" si="67"/>
        <v>731.51665445398328</v>
      </c>
      <c r="CX125" s="59">
        <f t="shared" si="68"/>
        <v>1014.0109003361251</v>
      </c>
      <c r="CY125" s="59">
        <f ca="1">AVERAGE(OFFSET($CX$3,0,0,'Données projet'!$E$13+1,1))-AVERAGE(OFFSET($H$3,0,0,'Données projet'!$E$13+1,1))</f>
        <v>598.12133208901378</v>
      </c>
      <c r="CZ125" s="59">
        <f t="shared" si="96"/>
        <v>246.23353541360947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44.757953737157877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44.757953737157877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266.99999999999983</v>
      </c>
      <c r="DP125" s="17">
        <f>DO125*VLOOKUP('Données projet'!$B$14,Paramètres!$A$1:$I$89,3,0)*VLOOKUP('Données projet'!$B$14,Paramètres!$A$1:$I$89,5,0)</f>
        <v>212.42519999999985</v>
      </c>
      <c r="DQ125" s="13">
        <f t="shared" si="97"/>
        <v>52.465198231787184</v>
      </c>
      <c r="DR125" s="20">
        <f t="shared" si="70"/>
        <v>461.35077692036231</v>
      </c>
      <c r="DS125" s="59">
        <f t="shared" si="71"/>
        <v>743.8450228025041</v>
      </c>
      <c r="DT125" s="59">
        <f ca="1">AVERAGE(OFFSET($DS$3,0,0,'Données projet'!$E$14+1,1))-AVERAGE(OFFSET($H$3,0,0,'Données projet'!$E$14+1,1))</f>
        <v>323.01113210765487</v>
      </c>
      <c r="DU125" s="59">
        <f t="shared" si="98"/>
        <v>311.68541696405975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12.512572015510694</v>
      </c>
      <c r="EB125" s="21">
        <f>EXP(-LN(2)/25)*EB124+(1-EXP(-LN(2)/25))/(LN(2)/25)*Calculateur!DW125*Calculateur!DY125*VLOOKUP('Données projet'!$B$14,Paramètres!$A$1:$I$89,3,0)*0.475*44/12</f>
        <v>2.6012682747201432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15.113840290230836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337.99164391755608</v>
      </c>
      <c r="T126" s="59">
        <f t="shared" si="88"/>
        <v>421.45428231923393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7.1730769230769225</v>
      </c>
      <c r="AI126" s="13">
        <f>IF('Données projet'!$A$62&gt;35,AI125+AH126-AQ125,IF(A126&lt;'Données projet'!$A$62,$AF$205^A126,IF(A126='Données projet'!$A$62,'Données projet'!$B$62,AI125+AH126-AQ125)))</f>
        <v>360.64743589743546</v>
      </c>
      <c r="AJ126" s="13">
        <f>AI126*VLOOKUP('Données projet'!$B$10,Paramètres!$A$1:$I$89,3,0)*VLOOKUP('Données projet'!$B$10,Paramètres!$A$1:$I$89,5,0)</f>
        <v>365.69649999999962</v>
      </c>
      <c r="AK126" s="13">
        <f t="shared" si="89"/>
        <v>84.786285100158196</v>
      </c>
      <c r="AL126" s="20">
        <f t="shared" si="58"/>
        <v>784.59085071610809</v>
      </c>
      <c r="AM126" s="59">
        <f t="shared" si="59"/>
        <v>1067.2731305329587</v>
      </c>
      <c r="AN126" s="59">
        <f ca="1">AVERAGE(OFFSET($AM$3,0,0,'Données projet'!$E$10+1,1))-AVERAGE(OFFSET($H$3,0,0,'Données projet'!$E$10+1,1))</f>
        <v>596.42822894047072</v>
      </c>
      <c r="AO126" s="59">
        <f t="shared" si="90"/>
        <v>298.31525330951047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67.991840507541056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67.991840507541056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243</v>
      </c>
      <c r="BE126" s="13">
        <f>BD126*VLOOKUP('Données projet'!$B$11,Paramètres!$A$1:$I$89,3,0)*VLOOKUP('Données projet'!$B$11,Paramètres!$A$1:$I$89,5,0)</f>
        <v>253.98360000000002</v>
      </c>
      <c r="BF126" s="13">
        <f t="shared" si="91"/>
        <v>61.438182405444294</v>
      </c>
      <c r="BG126" s="20">
        <f t="shared" si="61"/>
        <v>549.35960435614891</v>
      </c>
      <c r="BH126" s="59">
        <f t="shared" si="62"/>
        <v>832.04188417299952</v>
      </c>
      <c r="BI126" s="59">
        <f ca="1">AVERAGE(OFFSET($BH$3,0,0,'Données projet'!$E$11+1,1))-AVERAGE(OFFSET($H$3,0,0,'Données projet'!$E$11+1,1))</f>
        <v>446.06835300781546</v>
      </c>
      <c r="BJ126" s="59">
        <f t="shared" si="92"/>
        <v>396.46809188573138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20.676287449656048</v>
      </c>
      <c r="BQ126" s="21">
        <f>EXP(-LN(2)/25)*BQ125+(1-EXP(-LN(2)/25))/(LN(2)/25)*Calculateur!BL126*Calculateur!BN126*VLOOKUP('Données projet'!$B$11,Paramètres!$A$1:$I$89,3,0)*0.475*44/12</f>
        <v>9.4156302190379701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30.091917668694016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-3.979039320256561E-13</v>
      </c>
      <c r="BZ126" s="13">
        <f>BY126*VLOOKUP('Données projet'!$B$12,Paramètres!$A$1:$I$89,3,0)*VLOOKUP('Données projet'!$B$12,Paramètres!$A$1:$I$89,5,0)</f>
        <v>-1.8621904018800707E-13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307.52821153421951</v>
      </c>
      <c r="CE126" s="59">
        <f t="shared" si="94"/>
        <v>221.23619018904222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109.63845235453202</v>
      </c>
      <c r="CL126" s="21">
        <f>EXP(-LN(2)/25)*CL125+(1-EXP(-LN(2)/25))/(LN(2)/25)*Calculateur!CG126*Calculateur!CI126*VLOOKUP('Données projet'!$B$12,Paramètres!$A$1:$I$89,3,0)*0.475*44/12</f>
        <v>22.444145844425393</v>
      </c>
      <c r="CM126" s="21">
        <f>EXP(-LN(2)/2)*CM125+(1-EXP(-LN(2)/2))/(LN(2)/2)*CG126*CJ126*VLOOKUP('Données projet'!$B$12,Paramètres!$A$1:$I$89,3,0)*0.475*44/12</f>
        <v>1.0593216813454501E-2</v>
      </c>
      <c r="CN126" s="22">
        <f t="shared" si="66"/>
        <v>132.09319141577086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6.0153846153846189</v>
      </c>
      <c r="CT126" s="12">
        <f>IF('Données projet'!$A$140&gt;35,CT125+CS126-DB125,IF(A126&lt;'Données projet'!$A$140,$CQ$205^A126,IF(A126='Données projet'!$A$140,'Données projet'!$B$140,CT125+CS126-DB125)))</f>
        <v>304.94615384615361</v>
      </c>
      <c r="CU126" s="17">
        <f>CT126*VLOOKUP('Données projet'!$B$13,Paramètres!$A$1:$I$89,3,0)*VLOOKUP('Données projet'!$B$13,Paramètres!$A$1:$I$89,5,0)</f>
        <v>347.2726799999997</v>
      </c>
      <c r="CV126" s="13">
        <f t="shared" si="95"/>
        <v>81.000672297654006</v>
      </c>
      <c r="CW126" s="20">
        <f t="shared" si="67"/>
        <v>745.9094219184135</v>
      </c>
      <c r="CX126" s="59">
        <f t="shared" si="68"/>
        <v>1028.5917017352642</v>
      </c>
      <c r="CY126" s="59">
        <f ca="1">AVERAGE(OFFSET($CX$3,0,0,'Données projet'!$E$13+1,1))-AVERAGE(OFFSET($H$3,0,0,'Données projet'!$E$13+1,1))</f>
        <v>598.12133208901378</v>
      </c>
      <c r="CZ126" s="59">
        <f t="shared" si="96"/>
        <v>246.23353541360947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43.880277564028376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43.880277564028376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266.99999999999983</v>
      </c>
      <c r="DP126" s="17">
        <f>DO126*VLOOKUP('Données projet'!$B$14,Paramètres!$A$1:$I$89,3,0)*VLOOKUP('Données projet'!$B$14,Paramètres!$A$1:$I$89,5,0)</f>
        <v>212.42519999999985</v>
      </c>
      <c r="DQ126" s="13">
        <f t="shared" si="97"/>
        <v>52.465198231787184</v>
      </c>
      <c r="DR126" s="20">
        <f t="shared" si="70"/>
        <v>461.35077692036231</v>
      </c>
      <c r="DS126" s="59">
        <f t="shared" si="71"/>
        <v>744.03305673721297</v>
      </c>
      <c r="DT126" s="59">
        <f ca="1">AVERAGE(OFFSET($DS$3,0,0,'Données projet'!$E$14+1,1))-AVERAGE(OFFSET($H$3,0,0,'Données projet'!$E$14+1,1))</f>
        <v>323.01113210765487</v>
      </c>
      <c r="DU126" s="59">
        <f t="shared" si="98"/>
        <v>311.68541696405975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12.267208110201869</v>
      </c>
      <c r="EB126" s="21">
        <f>EXP(-LN(2)/25)*EB125+(1-EXP(-LN(2)/25))/(LN(2)/25)*Calculateur!DW126*Calculateur!DY126*VLOOKUP('Données projet'!$B$14,Paramètres!$A$1:$I$89,3,0)*0.475*44/12</f>
        <v>2.5301364569531675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14.797344567155037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337.99164391755608</v>
      </c>
      <c r="T127" s="59">
        <f t="shared" si="88"/>
        <v>421.45428231923393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7.1730769230769225</v>
      </c>
      <c r="AI127" s="13">
        <f>IF('Données projet'!$A$62&gt;35,AI126+AH127-AQ126,IF(A127&lt;'Données projet'!$A$62,$AF$205^A127,IF(A127='Données projet'!$A$62,'Données projet'!$B$62,AI126+AH127-AQ126)))</f>
        <v>367.82051282051236</v>
      </c>
      <c r="AJ127" s="13">
        <f>AI127*VLOOKUP('Données projet'!$B$10,Paramètres!$A$1:$I$89,3,0)*VLOOKUP('Données projet'!$B$10,Paramètres!$A$1:$I$89,5,0)</f>
        <v>372.96999999999952</v>
      </c>
      <c r="AK127" s="13">
        <f t="shared" si="89"/>
        <v>86.274633567645409</v>
      </c>
      <c r="AL127" s="20">
        <f t="shared" si="58"/>
        <v>799.85107013031484</v>
      </c>
      <c r="AM127" s="59">
        <f t="shared" si="59"/>
        <v>1082.7181219134882</v>
      </c>
      <c r="AN127" s="59">
        <f ca="1">AVERAGE(OFFSET($AM$3,0,0,'Données projet'!$E$10+1,1))-AVERAGE(OFFSET($H$3,0,0,'Données projet'!$E$10+1,1))</f>
        <v>596.42822894047072</v>
      </c>
      <c r="AO127" s="59">
        <f t="shared" si="90"/>
        <v>298.31525330951047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66.65856198611597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66.65856198611597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243</v>
      </c>
      <c r="BE127" s="13">
        <f>BD127*VLOOKUP('Données projet'!$B$11,Paramètres!$A$1:$I$89,3,0)*VLOOKUP('Données projet'!$B$11,Paramètres!$A$1:$I$89,5,0)</f>
        <v>253.98360000000002</v>
      </c>
      <c r="BF127" s="13">
        <f t="shared" si="91"/>
        <v>61.438182405444294</v>
      </c>
      <c r="BG127" s="20">
        <f t="shared" si="61"/>
        <v>549.35960435614891</v>
      </c>
      <c r="BH127" s="59">
        <f t="shared" si="62"/>
        <v>832.22665613932224</v>
      </c>
      <c r="BI127" s="59">
        <f ca="1">AVERAGE(OFFSET($BH$3,0,0,'Données projet'!$E$11+1,1))-AVERAGE(OFFSET($H$3,0,0,'Données projet'!$E$11+1,1))</f>
        <v>446.06835300781546</v>
      </c>
      <c r="BJ127" s="59">
        <f t="shared" si="92"/>
        <v>396.46809188573138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20.270838064058374</v>
      </c>
      <c r="BQ127" s="21">
        <f>EXP(-LN(2)/25)*BQ126+(1-EXP(-LN(2)/25))/(LN(2)/25)*Calculateur!BL127*Calculateur!BN127*VLOOKUP('Données projet'!$B$11,Paramètres!$A$1:$I$89,3,0)*0.475*44/12</f>
        <v>9.1581593155519041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29.42899737961028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-3.979039320256561E-13</v>
      </c>
      <c r="BZ127" s="13">
        <f>BY127*VLOOKUP('Données projet'!$B$12,Paramètres!$A$1:$I$89,3,0)*VLOOKUP('Données projet'!$B$12,Paramètres!$A$1:$I$89,5,0)</f>
        <v>-1.8621904018800707E-13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307.52821153421951</v>
      </c>
      <c r="CE127" s="59">
        <f t="shared" si="94"/>
        <v>221.23619018904222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107.48850917671244</v>
      </c>
      <c r="CL127" s="21">
        <f>EXP(-LN(2)/25)*CL126+(1-EXP(-LN(2)/25))/(LN(2)/25)*Calculateur!CG127*Calculateur!CI127*VLOOKUP('Données projet'!$B$12,Paramètres!$A$1:$I$89,3,0)*0.475*44/12</f>
        <v>21.830409496023247</v>
      </c>
      <c r="CM127" s="21">
        <f>EXP(-LN(2)/2)*CM126+(1-EXP(-LN(2)/2))/(LN(2)/2)*CG127*CJ127*VLOOKUP('Données projet'!$B$12,Paramètres!$A$1:$I$89,3,0)*0.475*44/12</f>
        <v>7.490535443373028E-3</v>
      </c>
      <c r="CN127" s="22">
        <f t="shared" si="66"/>
        <v>129.32640920817906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310.96153846153845</v>
      </c>
      <c r="CR127" s="12">
        <f>VLOOKUP(A127,'Données projet'!$A$139:$I$159,9,0)</f>
        <v>6.0153846153846189</v>
      </c>
      <c r="CS127" s="12">
        <f t="array" ref="CS127">INDEX(CR:CR,MIN(IF(ISNUMBER(CR127:CR323),ROW(CR127:CR323),"")))</f>
        <v>6.0153846153846189</v>
      </c>
      <c r="CT127" s="12">
        <f>IF('Données projet'!$A$140&gt;35,CT126+CS127-DB126,IF(A127&lt;'Données projet'!$A$140,$CQ$205^A127,IF(A127='Données projet'!$A$140,'Données projet'!$B$140,CT126+CS127-DB126)))</f>
        <v>310.96153846153823</v>
      </c>
      <c r="CU127" s="17">
        <f>CT127*VLOOKUP('Données projet'!$B$13,Paramètres!$A$1:$I$89,3,0)*VLOOKUP('Données projet'!$B$13,Paramètres!$A$1:$I$89,5,0)</f>
        <v>354.12299999999976</v>
      </c>
      <c r="CV127" s="13">
        <f t="shared" si="95"/>
        <v>82.410900243869051</v>
      </c>
      <c r="CW127" s="20">
        <f t="shared" si="67"/>
        <v>760.29654292473822</v>
      </c>
      <c r="CX127" s="59">
        <f t="shared" si="68"/>
        <v>1043.1635947079117</v>
      </c>
      <c r="CY127" s="59">
        <f ca="1">AVERAGE(OFFSET($CX$3,0,0,'Données projet'!$E$13+1,1))-AVERAGE(OFFSET($H$3,0,0,'Données projet'!$E$13+1,1))</f>
        <v>598.12133208901378</v>
      </c>
      <c r="CZ127" s="59">
        <f t="shared" si="96"/>
        <v>246.23353541360947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39.820512820512818</v>
      </c>
      <c r="DC127" s="16">
        <f>IF(ISNA(VLOOKUP(A127,'Données projet'!$A$139:$I$159,5,0)),0%,VLOOKUP(A127,'Données projet'!$A$139:$I$159,5,0)*VLOOKUP('Données projet'!$B$13,Paramètres!$A$1:$I$89,7,0))</f>
        <v>0.30099999999999999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58.109071088779757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58.109071088779757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266.99999999999983</v>
      </c>
      <c r="DP127" s="17">
        <f>DO127*VLOOKUP('Données projet'!$B$14,Paramètres!$A$1:$I$89,3,0)*VLOOKUP('Données projet'!$B$14,Paramètres!$A$1:$I$89,5,0)</f>
        <v>212.42519999999985</v>
      </c>
      <c r="DQ127" s="13">
        <f t="shared" si="97"/>
        <v>52.465198231787184</v>
      </c>
      <c r="DR127" s="20">
        <f t="shared" si="70"/>
        <v>461.35077692036231</v>
      </c>
      <c r="DS127" s="59">
        <f t="shared" si="71"/>
        <v>744.21782870353559</v>
      </c>
      <c r="DT127" s="59">
        <f ca="1">AVERAGE(OFFSET($DS$3,0,0,'Données projet'!$E$14+1,1))-AVERAGE(OFFSET($H$3,0,0,'Données projet'!$E$14+1,1))</f>
        <v>323.01113210765487</v>
      </c>
      <c r="DU127" s="59">
        <f t="shared" si="98"/>
        <v>311.68541696405975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12.026655641418946</v>
      </c>
      <c r="EB127" s="21">
        <f>EXP(-LN(2)/25)*EB126+(1-EXP(-LN(2)/25))/(LN(2)/25)*Calculateur!DW127*Calculateur!DY127*VLOOKUP('Données projet'!$B$14,Paramètres!$A$1:$I$89,3,0)*0.475*44/12</f>
        <v>2.4609497424836895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14.487605383902636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337.99164391755608</v>
      </c>
      <c r="T128" s="59">
        <f t="shared" si="88"/>
        <v>421.45428231923393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7.1730769230769225</v>
      </c>
      <c r="AI128" s="13">
        <f>IF('Données projet'!$A$62&gt;35,AI127+AH128-AQ127,IF(A128&lt;'Données projet'!$A$62,$AF$205^A128,IF(A128='Données projet'!$A$62,'Données projet'!$B$62,AI127+AH128-AQ127)))</f>
        <v>374.99358974358927</v>
      </c>
      <c r="AJ128" s="13">
        <f>AI128*VLOOKUP('Données projet'!$B$10,Paramètres!$A$1:$I$89,3,0)*VLOOKUP('Données projet'!$B$10,Paramètres!$A$1:$I$89,5,0)</f>
        <v>380.24349999999953</v>
      </c>
      <c r="AK128" s="13">
        <f t="shared" si="89"/>
        <v>87.75960711561234</v>
      </c>
      <c r="AL128" s="20">
        <f t="shared" si="58"/>
        <v>815.10541155969076</v>
      </c>
      <c r="AM128" s="59">
        <f t="shared" si="59"/>
        <v>1098.1540299286594</v>
      </c>
      <c r="AN128" s="59">
        <f ca="1">AVERAGE(OFFSET($AM$3,0,0,'Données projet'!$E$10+1,1))-AVERAGE(OFFSET($H$3,0,0,'Données projet'!$E$10+1,1))</f>
        <v>596.42822894047072</v>
      </c>
      <c r="AO128" s="59">
        <f t="shared" si="90"/>
        <v>298.31525330951047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65.35142824327643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65.35142824327643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243</v>
      </c>
      <c r="BE128" s="13">
        <f>BD128*VLOOKUP('Données projet'!$B$11,Paramètres!$A$1:$I$89,3,0)*VLOOKUP('Données projet'!$B$11,Paramètres!$A$1:$I$89,5,0)</f>
        <v>253.98360000000002</v>
      </c>
      <c r="BF128" s="13">
        <f t="shared" si="91"/>
        <v>61.438182405444294</v>
      </c>
      <c r="BG128" s="20">
        <f t="shared" si="61"/>
        <v>549.35960435614891</v>
      </c>
      <c r="BH128" s="59">
        <f t="shared" si="62"/>
        <v>832.40822272511741</v>
      </c>
      <c r="BI128" s="59">
        <f ca="1">AVERAGE(OFFSET($BH$3,0,0,'Données projet'!$E$11+1,1))-AVERAGE(OFFSET($H$3,0,0,'Données projet'!$E$11+1,1))</f>
        <v>446.06835300781546</v>
      </c>
      <c r="BJ128" s="59">
        <f t="shared" si="92"/>
        <v>396.46809188573138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19.873339293612567</v>
      </c>
      <c r="BQ128" s="21">
        <f>EXP(-LN(2)/25)*BQ127+(1-EXP(-LN(2)/25))/(LN(2)/25)*Calculateur!BL128*Calculateur!BN128*VLOOKUP('Données projet'!$B$11,Paramètres!$A$1:$I$89,3,0)*0.475*44/12</f>
        <v>8.9077289674614697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28.781068261074036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-3.979039320256561E-13</v>
      </c>
      <c r="BZ128" s="13">
        <f>BY128*VLOOKUP('Données projet'!$B$12,Paramètres!$A$1:$I$89,3,0)*VLOOKUP('Données projet'!$B$12,Paramètres!$A$1:$I$89,5,0)</f>
        <v>-1.8621904018800707E-13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307.52821153421951</v>
      </c>
      <c r="CE128" s="59">
        <f t="shared" si="94"/>
        <v>221.23619018904222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105.38072507327405</v>
      </c>
      <c r="CL128" s="21">
        <f>EXP(-LN(2)/25)*CL127+(1-EXP(-LN(2)/25))/(LN(2)/25)*Calculateur!CG128*Calculateur!CI128*VLOOKUP('Données projet'!$B$12,Paramètres!$A$1:$I$89,3,0)*0.475*44/12</f>
        <v>21.233455800343151</v>
      </c>
      <c r="CM128" s="21">
        <f>EXP(-LN(2)/2)*CM127+(1-EXP(-LN(2)/2))/(LN(2)/2)*CG128*CJ128*VLOOKUP('Données projet'!$B$12,Paramètres!$A$1:$I$89,3,0)*0.475*44/12</f>
        <v>5.2966084067272504E-3</v>
      </c>
      <c r="CN128" s="22">
        <f t="shared" si="66"/>
        <v>126.61947748202392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6.0711538461538508</v>
      </c>
      <c r="CT128" s="12">
        <f>IF('Données projet'!$A$140&gt;35,CT127+CS128-DB127,IF(A128&lt;'Données projet'!$A$140,$CQ$205^A128,IF(A128='Données projet'!$A$140,'Données projet'!$B$140,CT127+CS128-DB127)))</f>
        <v>277.21217948717924</v>
      </c>
      <c r="CU128" s="17">
        <f>CT128*VLOOKUP('Données projet'!$B$13,Paramètres!$A$1:$I$89,3,0)*VLOOKUP('Données projet'!$B$13,Paramètres!$A$1:$I$89,5,0)</f>
        <v>315.68922999999972</v>
      </c>
      <c r="CV128" s="13">
        <f t="shared" si="95"/>
        <v>74.45570735900975</v>
      </c>
      <c r="CW128" s="20">
        <f t="shared" si="67"/>
        <v>679.50243256694148</v>
      </c>
      <c r="CX128" s="59">
        <f t="shared" si="68"/>
        <v>962.55105093590998</v>
      </c>
      <c r="CY128" s="59">
        <f ca="1">AVERAGE(OFFSET($CX$3,0,0,'Données projet'!$E$13+1,1))-AVERAGE(OFFSET($H$3,0,0,'Données projet'!$E$13+1,1))</f>
        <v>598.12133208901378</v>
      </c>
      <c r="CZ128" s="59">
        <f t="shared" si="96"/>
        <v>246.23353541360947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56.969587647762438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56.969587647762438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266.99999999999983</v>
      </c>
      <c r="DP128" s="17">
        <f>DO128*VLOOKUP('Données projet'!$B$14,Paramètres!$A$1:$I$89,3,0)*VLOOKUP('Données projet'!$B$14,Paramètres!$A$1:$I$89,5,0)</f>
        <v>212.42519999999985</v>
      </c>
      <c r="DQ128" s="13">
        <f t="shared" si="97"/>
        <v>52.465198231787184</v>
      </c>
      <c r="DR128" s="20">
        <f t="shared" si="70"/>
        <v>461.35077692036231</v>
      </c>
      <c r="DS128" s="59">
        <f t="shared" si="71"/>
        <v>744.39939528933087</v>
      </c>
      <c r="DT128" s="59">
        <f ca="1">AVERAGE(OFFSET($DS$3,0,0,'Données projet'!$E$14+1,1))-AVERAGE(OFFSET($H$3,0,0,'Données projet'!$E$14+1,1))</f>
        <v>323.01113210765487</v>
      </c>
      <c r="DU128" s="59">
        <f t="shared" si="98"/>
        <v>311.68541696405975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11.790820259826338</v>
      </c>
      <c r="EB128" s="21">
        <f>EXP(-LN(2)/25)*EB127+(1-EXP(-LN(2)/25))/(LN(2)/25)*Calculateur!DW128*Calculateur!DY128*VLOOKUP('Données projet'!$B$14,Paramètres!$A$1:$I$89,3,0)*0.475*44/12</f>
        <v>2.3936549423597504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14.184475202186089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337.99164391755608</v>
      </c>
      <c r="T129" s="59">
        <f t="shared" si="88"/>
        <v>421.45428231923393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7.1730769230769225</v>
      </c>
      <c r="AI129" s="13">
        <f>IF('Données projet'!$A$62&gt;35,AI128+AH129-AQ128,IF(A129&lt;'Données projet'!$A$62,$AF$205^A129,IF(A129='Données projet'!$A$62,'Données projet'!$B$62,AI128+AH129-AQ128)))</f>
        <v>382.16666666666617</v>
      </c>
      <c r="AJ129" s="13">
        <f>AI129*VLOOKUP('Données projet'!$B$10,Paramètres!$A$1:$I$89,3,0)*VLOOKUP('Données projet'!$B$10,Paramètres!$A$1:$I$89,5,0)</f>
        <v>387.51699999999954</v>
      </c>
      <c r="AK129" s="13">
        <f t="shared" si="89"/>
        <v>89.241277744462025</v>
      </c>
      <c r="AL129" s="20">
        <f t="shared" si="58"/>
        <v>830.35400040493721</v>
      </c>
      <c r="AM129" s="59">
        <f t="shared" si="59"/>
        <v>1113.5810355853594</v>
      </c>
      <c r="AN129" s="59">
        <f ca="1">AVERAGE(OFFSET($AM$3,0,0,'Données projet'!$E$10+1,1))-AVERAGE(OFFSET($H$3,0,0,'Données projet'!$E$10+1,1))</f>
        <v>596.42822894047072</v>
      </c>
      <c r="AO129" s="59">
        <f t="shared" si="90"/>
        <v>298.31525330951047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64.069926595861119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64.069926595861119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243</v>
      </c>
      <c r="BE129" s="13">
        <f>BD129*VLOOKUP('Données projet'!$B$11,Paramètres!$A$1:$I$89,3,0)*VLOOKUP('Données projet'!$B$11,Paramètres!$A$1:$I$89,5,0)</f>
        <v>253.98360000000002</v>
      </c>
      <c r="BF129" s="13">
        <f t="shared" si="91"/>
        <v>61.438182405444294</v>
      </c>
      <c r="BG129" s="20">
        <f t="shared" si="61"/>
        <v>549.35960435614891</v>
      </c>
      <c r="BH129" s="59">
        <f t="shared" si="62"/>
        <v>832.58663953657106</v>
      </c>
      <c r="BI129" s="59">
        <f ca="1">AVERAGE(OFFSET($BH$3,0,0,'Données projet'!$E$11+1,1))-AVERAGE(OFFSET($H$3,0,0,'Données projet'!$E$11+1,1))</f>
        <v>446.06835300781546</v>
      </c>
      <c r="BJ129" s="59">
        <f t="shared" si="92"/>
        <v>396.46809188573138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19.48363523160489</v>
      </c>
      <c r="BQ129" s="21">
        <f>EXP(-LN(2)/25)*BQ128+(1-EXP(-LN(2)/25))/(LN(2)/25)*Calculateur!BL129*Calculateur!BN129*VLOOKUP('Données projet'!$B$11,Paramètres!$A$1:$I$89,3,0)*0.475*44/12</f>
        <v>8.664146650409128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28.147781882014016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-3.979039320256561E-13</v>
      </c>
      <c r="BZ129" s="13">
        <f>BY129*VLOOKUP('Données projet'!$B$12,Paramètres!$A$1:$I$89,3,0)*VLOOKUP('Données projet'!$B$12,Paramètres!$A$1:$I$89,5,0)</f>
        <v>-1.8621904018800707E-13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307.52821153421951</v>
      </c>
      <c r="CE129" s="59">
        <f t="shared" si="94"/>
        <v>221.23619018904222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103.31427333048272</v>
      </c>
      <c r="CL129" s="21">
        <f>EXP(-LN(2)/25)*CL128+(1-EXP(-LN(2)/25))/(LN(2)/25)*Calculateur!CG129*Calculateur!CI129*VLOOKUP('Données projet'!$B$12,Paramètres!$A$1:$I$89,3,0)*0.475*44/12</f>
        <v>20.652825834863858</v>
      </c>
      <c r="CM129" s="21">
        <f>EXP(-LN(2)/2)*CM128+(1-EXP(-LN(2)/2))/(LN(2)/2)*CG129*CJ129*VLOOKUP('Données projet'!$B$12,Paramètres!$A$1:$I$89,3,0)*0.475*44/12</f>
        <v>3.745267721686514E-3</v>
      </c>
      <c r="CN129" s="22">
        <f t="shared" si="66"/>
        <v>123.97084443306827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6.0711538461538508</v>
      </c>
      <c r="CT129" s="12">
        <f>IF('Données projet'!$A$140&gt;35,CT128+CS129-DB128,IF(A129&lt;'Données projet'!$A$140,$CQ$205^A129,IF(A129='Données projet'!$A$140,'Données projet'!$B$140,CT128+CS129-DB128)))</f>
        <v>283.28333333333308</v>
      </c>
      <c r="CU129" s="17">
        <f>CT129*VLOOKUP('Données projet'!$B$13,Paramètres!$A$1:$I$89,3,0)*VLOOKUP('Données projet'!$B$13,Paramètres!$A$1:$I$89,5,0)</f>
        <v>322.60305999999974</v>
      </c>
      <c r="CV129" s="13">
        <f t="shared" si="95"/>
        <v>75.894715273824332</v>
      </c>
      <c r="CW129" s="20">
        <f t="shared" si="67"/>
        <v>694.05029193524354</v>
      </c>
      <c r="CX129" s="59">
        <f t="shared" si="68"/>
        <v>977.27732711566568</v>
      </c>
      <c r="CY129" s="59">
        <f ca="1">AVERAGE(OFFSET($CX$3,0,0,'Données projet'!$E$13+1,1))-AVERAGE(OFFSET($H$3,0,0,'Données projet'!$E$13+1,1))</f>
        <v>598.12133208901378</v>
      </c>
      <c r="CZ129" s="59">
        <f t="shared" si="96"/>
        <v>246.23353541360947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55.852448782007201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55.852448782007201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266.99999999999983</v>
      </c>
      <c r="DP129" s="17">
        <f>DO129*VLOOKUP('Données projet'!$B$14,Paramètres!$A$1:$I$89,3,0)*VLOOKUP('Données projet'!$B$14,Paramètres!$A$1:$I$89,5,0)</f>
        <v>212.42519999999985</v>
      </c>
      <c r="DQ129" s="13">
        <f t="shared" si="97"/>
        <v>52.465198231787184</v>
      </c>
      <c r="DR129" s="20">
        <f t="shared" si="70"/>
        <v>461.35077692036231</v>
      </c>
      <c r="DS129" s="59">
        <f t="shared" si="71"/>
        <v>744.57781210078451</v>
      </c>
      <c r="DT129" s="59">
        <f ca="1">AVERAGE(OFFSET($DS$3,0,0,'Données projet'!$E$14+1,1))-AVERAGE(OFFSET($H$3,0,0,'Données projet'!$E$14+1,1))</f>
        <v>323.01113210765487</v>
      </c>
      <c r="DU129" s="59">
        <f t="shared" si="98"/>
        <v>311.68541696405975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11.559609466221382</v>
      </c>
      <c r="EB129" s="21">
        <f>EXP(-LN(2)/25)*EB128+(1-EXP(-LN(2)/25))/(LN(2)/25)*Calculateur!DW129*Calculateur!DY129*VLOOKUP('Données projet'!$B$14,Paramètres!$A$1:$I$89,3,0)*0.475*44/12</f>
        <v>2.3282003220840806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13.887809788305463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337.99164391755608</v>
      </c>
      <c r="T130" s="59">
        <f t="shared" si="88"/>
        <v>421.45428231923393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7.1730769230769225</v>
      </c>
      <c r="AI130" s="13">
        <f>IF('Données projet'!$A$62&gt;35,AI129+AH130-AQ129,IF(A130&lt;'Données projet'!$A$62,$AF$205^A130,IF(A130='Données projet'!$A$62,'Données projet'!$B$62,AI129+AH130-AQ129)))</f>
        <v>389.33974358974308</v>
      </c>
      <c r="AJ130" s="13">
        <f>AI130*VLOOKUP('Données projet'!$B$10,Paramètres!$A$1:$I$89,3,0)*VLOOKUP('Données projet'!$B$10,Paramètres!$A$1:$I$89,5,0)</f>
        <v>394.7904999999995</v>
      </c>
      <c r="AK130" s="13">
        <f t="shared" si="89"/>
        <v>90.719714597089066</v>
      </c>
      <c r="AL130" s="20">
        <f t="shared" si="58"/>
        <v>845.59695708992922</v>
      </c>
      <c r="AM130" s="59">
        <f t="shared" si="59"/>
        <v>1128.9993139490066</v>
      </c>
      <c r="AN130" s="59">
        <f ca="1">AVERAGE(OFFSET($AM$3,0,0,'Données projet'!$E$10+1,1))-AVERAGE(OFFSET($H$3,0,0,'Données projet'!$E$10+1,1))</f>
        <v>596.42822894047072</v>
      </c>
      <c r="AO130" s="59">
        <f t="shared" si="90"/>
        <v>298.31525330951047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62.813554414112794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62.813554414112794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243</v>
      </c>
      <c r="BE130" s="13">
        <f>BD130*VLOOKUP('Données projet'!$B$11,Paramètres!$A$1:$I$89,3,0)*VLOOKUP('Données projet'!$B$11,Paramètres!$A$1:$I$89,5,0)</f>
        <v>253.98360000000002</v>
      </c>
      <c r="BF130" s="13">
        <f t="shared" si="91"/>
        <v>61.438182405444294</v>
      </c>
      <c r="BG130" s="20">
        <f t="shared" si="61"/>
        <v>549.35960435614891</v>
      </c>
      <c r="BH130" s="59">
        <f t="shared" si="62"/>
        <v>832.76196121522639</v>
      </c>
      <c r="BI130" s="59">
        <f ca="1">AVERAGE(OFFSET($BH$3,0,0,'Données projet'!$E$11+1,1))-AVERAGE(OFFSET($H$3,0,0,'Données projet'!$E$11+1,1))</f>
        <v>446.06835300781546</v>
      </c>
      <c r="BJ130" s="59">
        <f t="shared" si="92"/>
        <v>396.46809188573138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19.101573028557176</v>
      </c>
      <c r="BQ130" s="21">
        <f>EXP(-LN(2)/25)*BQ129+(1-EXP(-LN(2)/25))/(LN(2)/25)*Calculateur!BL130*Calculateur!BN130*VLOOKUP('Données projet'!$B$11,Paramètres!$A$1:$I$89,3,0)*0.475*44/12</f>
        <v>8.4272251046260198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27.528798133183194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-3.979039320256561E-13</v>
      </c>
      <c r="BZ130" s="13">
        <f>BY130*VLOOKUP('Données projet'!$B$12,Paramètres!$A$1:$I$89,3,0)*VLOOKUP('Données projet'!$B$12,Paramètres!$A$1:$I$89,5,0)</f>
        <v>-1.8621904018800707E-13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307.52821153421951</v>
      </c>
      <c r="CE130" s="59">
        <f t="shared" si="94"/>
        <v>221.23619018904222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101.28834344595643</v>
      </c>
      <c r="CL130" s="21">
        <f>EXP(-LN(2)/25)*CL129+(1-EXP(-LN(2)/25))/(LN(2)/25)*Calculateur!CG130*Calculateur!CI130*VLOOKUP('Données projet'!$B$12,Paramètres!$A$1:$I$89,3,0)*0.475*44/12</f>
        <v>20.0880732263246</v>
      </c>
      <c r="CM130" s="21">
        <f>EXP(-LN(2)/2)*CM129+(1-EXP(-LN(2)/2))/(LN(2)/2)*CG130*CJ130*VLOOKUP('Données projet'!$B$12,Paramètres!$A$1:$I$89,3,0)*0.475*44/12</f>
        <v>2.6483042033636252E-3</v>
      </c>
      <c r="CN130" s="22">
        <f t="shared" si="66"/>
        <v>121.37906497648439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6.0711538461538508</v>
      </c>
      <c r="CT130" s="12">
        <f>IF('Données projet'!$A$140&gt;35,CT129+CS130-DB129,IF(A130&lt;'Données projet'!$A$140,$CQ$205^A130,IF(A130='Données projet'!$A$140,'Données projet'!$B$140,CT129+CS130-DB129)))</f>
        <v>289.35448717948691</v>
      </c>
      <c r="CU130" s="17">
        <f>CT130*VLOOKUP('Données projet'!$B$13,Paramètres!$A$1:$I$89,3,0)*VLOOKUP('Données projet'!$B$13,Paramètres!$A$1:$I$89,5,0)</f>
        <v>329.51688999999971</v>
      </c>
      <c r="CV130" s="13">
        <f t="shared" si="95"/>
        <v>77.330137604373789</v>
      </c>
      <c r="CW130" s="20">
        <f t="shared" si="67"/>
        <v>708.5919064109504</v>
      </c>
      <c r="CX130" s="59">
        <f t="shared" si="68"/>
        <v>991.99426327002789</v>
      </c>
      <c r="CY130" s="59">
        <f ca="1">AVERAGE(OFFSET($CX$3,0,0,'Données projet'!$E$13+1,1))-AVERAGE(OFFSET($H$3,0,0,'Données projet'!$E$13+1,1))</f>
        <v>598.12133208901378</v>
      </c>
      <c r="CZ130" s="59">
        <f t="shared" si="96"/>
        <v>246.23353541360947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54.757216328021997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54.757216328021997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266.99999999999983</v>
      </c>
      <c r="DP130" s="17">
        <f>DO130*VLOOKUP('Données projet'!$B$14,Paramètres!$A$1:$I$89,3,0)*VLOOKUP('Données projet'!$B$14,Paramètres!$A$1:$I$89,5,0)</f>
        <v>212.42519999999985</v>
      </c>
      <c r="DQ130" s="13">
        <f t="shared" si="97"/>
        <v>52.465198231787184</v>
      </c>
      <c r="DR130" s="20">
        <f t="shared" si="70"/>
        <v>461.35077692036231</v>
      </c>
      <c r="DS130" s="59">
        <f t="shared" si="71"/>
        <v>744.75313377943974</v>
      </c>
      <c r="DT130" s="59">
        <f ca="1">AVERAGE(OFFSET($DS$3,0,0,'Données projet'!$E$14+1,1))-AVERAGE(OFFSET($H$3,0,0,'Données projet'!$E$14+1,1))</f>
        <v>323.01113210765487</v>
      </c>
      <c r="DU130" s="59">
        <f t="shared" si="98"/>
        <v>311.68541696405975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11.332932575254359</v>
      </c>
      <c r="EB130" s="21">
        <f>EXP(-LN(2)/25)*EB129+(1-EXP(-LN(2)/25))/(LN(2)/25)*Calculateur!DW130*Calculateur!DY130*VLOOKUP('Données projet'!$B$14,Paramètres!$A$1:$I$89,3,0)*0.475*44/12</f>
        <v>2.2645355618419578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13.597468137096318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337.99164391755608</v>
      </c>
      <c r="T131" s="59">
        <f t="shared" si="88"/>
        <v>421.45428231923393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7.1730769230769225</v>
      </c>
      <c r="AI131" s="13">
        <f>IF('Données projet'!$A$62&gt;35,AI130+AH131-AQ130,IF(A131&lt;'Données projet'!$A$62,$AF$205^A131,IF(A131='Données projet'!$A$62,'Données projet'!$B$62,AI130+AH131-AQ130)))</f>
        <v>396.51282051281999</v>
      </c>
      <c r="AJ131" s="13">
        <f>AI131*VLOOKUP('Données projet'!$B$10,Paramètres!$A$1:$I$89,3,0)*VLOOKUP('Données projet'!$B$10,Paramètres!$A$1:$I$89,5,0)</f>
        <v>402.06399999999951</v>
      </c>
      <c r="AK131" s="13">
        <f t="shared" si="89"/>
        <v>92.194984122807213</v>
      </c>
      <c r="AL131" s="20">
        <f t="shared" si="58"/>
        <v>860.83439734722162</v>
      </c>
      <c r="AM131" s="59">
        <f t="shared" si="59"/>
        <v>1144.4090344457902</v>
      </c>
      <c r="AN131" s="59">
        <f ca="1">AVERAGE(OFFSET($AM$3,0,0,'Données projet'!$E$10+1,1))-AVERAGE(OFFSET($H$3,0,0,'Données projet'!$E$10+1,1))</f>
        <v>596.42822894047072</v>
      </c>
      <c r="AO131" s="59">
        <f t="shared" si="90"/>
        <v>298.31525330951047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61.581818924537188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61.581818924537188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243</v>
      </c>
      <c r="BE131" s="13">
        <f>BD131*VLOOKUP('Données projet'!$B$11,Paramètres!$A$1:$I$89,3,0)*VLOOKUP('Données projet'!$B$11,Paramètres!$A$1:$I$89,5,0)</f>
        <v>253.98360000000002</v>
      </c>
      <c r="BF131" s="13">
        <f t="shared" si="91"/>
        <v>61.438182405444294</v>
      </c>
      <c r="BG131" s="20">
        <f t="shared" si="61"/>
        <v>549.35960435614891</v>
      </c>
      <c r="BH131" s="59">
        <f t="shared" si="62"/>
        <v>832.93424145471749</v>
      </c>
      <c r="BI131" s="59">
        <f ca="1">AVERAGE(OFFSET($BH$3,0,0,'Données projet'!$E$11+1,1))-AVERAGE(OFFSET($H$3,0,0,'Données projet'!$E$11+1,1))</f>
        <v>446.06835300781546</v>
      </c>
      <c r="BJ131" s="59">
        <f t="shared" si="92"/>
        <v>396.46809188573138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18.727002832276295</v>
      </c>
      <c r="BQ131" s="21">
        <f>EXP(-LN(2)/25)*BQ130+(1-EXP(-LN(2)/25))/(LN(2)/25)*Calculateur!BL131*Calculateur!BN131*VLOOKUP('Données projet'!$B$11,Paramètres!$A$1:$I$89,3,0)*0.475*44/12</f>
        <v>8.1967821909715131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26.92378502324781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-3.979039320256561E-13</v>
      </c>
      <c r="BZ131" s="13">
        <f>BY131*VLOOKUP('Données projet'!$B$12,Paramètres!$A$1:$I$89,3,0)*VLOOKUP('Données projet'!$B$12,Paramètres!$A$1:$I$89,5,0)</f>
        <v>-1.8621904018800707E-13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307.52821153421951</v>
      </c>
      <c r="CE131" s="59">
        <f t="shared" si="94"/>
        <v>221.23619018904222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99.302140810770481</v>
      </c>
      <c r="CL131" s="21">
        <f>EXP(-LN(2)/25)*CL130+(1-EXP(-LN(2)/25))/(LN(2)/25)*Calculateur!CG131*Calculateur!CI131*VLOOKUP('Données projet'!$B$12,Paramètres!$A$1:$I$89,3,0)*0.475*44/12</f>
        <v>19.538763807564894</v>
      </c>
      <c r="CM131" s="21">
        <f>EXP(-LN(2)/2)*CM130+(1-EXP(-LN(2)/2))/(LN(2)/2)*CG131*CJ131*VLOOKUP('Données projet'!$B$12,Paramètres!$A$1:$I$89,3,0)*0.475*44/12</f>
        <v>1.872633860843257E-3</v>
      </c>
      <c r="CN131" s="22">
        <f t="shared" si="66"/>
        <v>118.84277725219621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6.0711538461538508</v>
      </c>
      <c r="CT131" s="12">
        <f>IF('Données projet'!$A$140&gt;35,CT130+CS131-DB130,IF(A131&lt;'Données projet'!$A$140,$CQ$205^A131,IF(A131='Données projet'!$A$140,'Données projet'!$B$140,CT130+CS131-DB130)))</f>
        <v>295.42564102564074</v>
      </c>
      <c r="CU131" s="17">
        <f>CT131*VLOOKUP('Données projet'!$B$13,Paramètres!$A$1:$I$89,3,0)*VLOOKUP('Données projet'!$B$13,Paramètres!$A$1:$I$89,5,0)</f>
        <v>336.43071999999972</v>
      </c>
      <c r="CV131" s="13">
        <f t="shared" si="95"/>
        <v>78.762058249293759</v>
      </c>
      <c r="CW131" s="20">
        <f t="shared" si="67"/>
        <v>723.12742211751947</v>
      </c>
      <c r="CX131" s="59">
        <f t="shared" si="68"/>
        <v>1006.7020592160879</v>
      </c>
      <c r="CY131" s="59">
        <f ca="1">AVERAGE(OFFSET($CX$3,0,0,'Données projet'!$E$13+1,1))-AVERAGE(OFFSET($H$3,0,0,'Données projet'!$E$13+1,1))</f>
        <v>598.12133208901378</v>
      </c>
      <c r="CZ131" s="59">
        <f t="shared" si="96"/>
        <v>246.23353541360947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53.683460714433608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53.683460714433608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266.99999999999983</v>
      </c>
      <c r="DP131" s="17">
        <f>DO131*VLOOKUP('Données projet'!$B$14,Paramètres!$A$1:$I$89,3,0)*VLOOKUP('Données projet'!$B$14,Paramètres!$A$1:$I$89,5,0)</f>
        <v>212.42519999999985</v>
      </c>
      <c r="DQ131" s="13">
        <f t="shared" si="97"/>
        <v>52.465198231787184</v>
      </c>
      <c r="DR131" s="20">
        <f t="shared" si="70"/>
        <v>461.35077692036231</v>
      </c>
      <c r="DS131" s="59">
        <f t="shared" si="71"/>
        <v>744.92541401893084</v>
      </c>
      <c r="DT131" s="59">
        <f ca="1">AVERAGE(OFFSET($DS$3,0,0,'Données projet'!$E$14+1,1))-AVERAGE(OFFSET($H$3,0,0,'Données projet'!$E$14+1,1))</f>
        <v>323.01113210765487</v>
      </c>
      <c r="DU131" s="59">
        <f t="shared" si="98"/>
        <v>311.68541696405975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11.110700679859949</v>
      </c>
      <c r="EB131" s="21">
        <f>EXP(-LN(2)/25)*EB130+(1-EXP(-LN(2)/25))/(LN(2)/25)*Calculateur!DW131*Calculateur!DY131*VLOOKUP('Données projet'!$B$14,Paramètres!$A$1:$I$89,3,0)*0.475*44/12</f>
        <v>2.20261171781664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13.31331239767659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337.99164391755608</v>
      </c>
      <c r="T132" s="59">
        <f t="shared" si="88"/>
        <v>421.45428231923393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7.1730769230769225</v>
      </c>
      <c r="AI132" s="13">
        <f>IF('Données projet'!$A$62&gt;35,AI131+AH132-AQ131,IF(A132&lt;'Données projet'!$A$62,$AF$205^A132,IF(A132='Données projet'!$A$62,'Données projet'!$B$62,AI131+AH132-AQ131)))</f>
        <v>403.68589743589689</v>
      </c>
      <c r="AJ132" s="13">
        <f>AI132*VLOOKUP('Données projet'!$B$10,Paramètres!$A$1:$I$89,3,0)*VLOOKUP('Données projet'!$B$10,Paramètres!$A$1:$I$89,5,0)</f>
        <v>409.33749999999947</v>
      </c>
      <c r="AK132" s="13">
        <f t="shared" si="89"/>
        <v>93.667150229078572</v>
      </c>
      <c r="AL132" s="20">
        <f t="shared" ref="AL132:AL153" si="112">(AJ132+AK132)*0.475*44/12</f>
        <v>876.06643248231092</v>
      </c>
      <c r="AM132" s="59">
        <f t="shared" ref="AM132:AM195" si="113">AL132+(AD132+AE132)*44/12</f>
        <v>1159.8103611433762</v>
      </c>
      <c r="AN132" s="59">
        <f ca="1">AVERAGE(OFFSET($AM$3,0,0,'Données projet'!$E$10+1,1))-AVERAGE(OFFSET($H$3,0,0,'Données projet'!$E$10+1,1))</f>
        <v>596.42822894047072</v>
      </c>
      <c r="AO132" s="59">
        <f t="shared" si="90"/>
        <v>298.31525330951047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60.374237016627696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60.374237016627696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243</v>
      </c>
      <c r="BE132" s="13">
        <f>BD132*VLOOKUP('Données projet'!$B$11,Paramètres!$A$1:$I$89,3,0)*VLOOKUP('Données projet'!$B$11,Paramètres!$A$1:$I$89,5,0)</f>
        <v>253.98360000000002</v>
      </c>
      <c r="BF132" s="13">
        <f t="shared" si="91"/>
        <v>61.438182405444294</v>
      </c>
      <c r="BG132" s="20">
        <f t="shared" ref="BG132:BG153" si="115">(BE132+BF132)*0.475*44/12</f>
        <v>549.35960435614891</v>
      </c>
      <c r="BH132" s="59">
        <f t="shared" ref="BH132:BH195" si="116">BG132+(AY132+AZ132)*44/12</f>
        <v>833.1035330172142</v>
      </c>
      <c r="BI132" s="59">
        <f ca="1">AVERAGE(OFFSET($BH$3,0,0,'Données projet'!$E$11+1,1))-AVERAGE(OFFSET($H$3,0,0,'Données projet'!$E$11+1,1))</f>
        <v>446.06835300781546</v>
      </c>
      <c r="BJ132" s="59">
        <f t="shared" si="92"/>
        <v>396.46809188573138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18.359777729079223</v>
      </c>
      <c r="BQ132" s="21">
        <f>EXP(-LN(2)/25)*BQ131+(1-EXP(-LN(2)/25))/(LN(2)/25)*Calculateur!BL132*Calculateur!BN132*VLOOKUP('Données projet'!$B$11,Paramètres!$A$1:$I$89,3,0)*0.475*44/12</f>
        <v>7.9726407509093553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26.332418479988579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-3.979039320256561E-13</v>
      </c>
      <c r="BZ132" s="13">
        <f>BY132*VLOOKUP('Données projet'!$B$12,Paramètres!$A$1:$I$89,3,0)*VLOOKUP('Données projet'!$B$12,Paramètres!$A$1:$I$89,5,0)</f>
        <v>-1.8621904018800707E-13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307.52821153421951</v>
      </c>
      <c r="CE132" s="59">
        <f t="shared" si="94"/>
        <v>221.23619018904222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97.354886397796548</v>
      </c>
      <c r="CL132" s="21">
        <f>EXP(-LN(2)/25)*CL131+(1-EXP(-LN(2)/25))/(LN(2)/25)*Calculateur!CG132*Calculateur!CI132*VLOOKUP('Données projet'!$B$12,Paramètres!$A$1:$I$89,3,0)*0.475*44/12</f>
        <v>19.0044752837481</v>
      </c>
      <c r="CM132" s="21">
        <f>EXP(-LN(2)/2)*CM131+(1-EXP(-LN(2)/2))/(LN(2)/2)*CG132*CJ132*VLOOKUP('Données projet'!$B$12,Paramètres!$A$1:$I$89,3,0)*0.475*44/12</f>
        <v>1.3241521016818126E-3</v>
      </c>
      <c r="CN132" s="22">
        <f t="shared" ref="CN132:CN153" si="120">SUM(CK132:CM132)</f>
        <v>116.36068583364633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6.0711538461538508</v>
      </c>
      <c r="CT132" s="12">
        <f>IF('Données projet'!$A$140&gt;35,CT131+CS132-DB131,IF(A132&lt;'Données projet'!$A$140,$CQ$205^A132,IF(A132='Données projet'!$A$140,'Données projet'!$B$140,CT131+CS132-DB131)))</f>
        <v>301.49679487179458</v>
      </c>
      <c r="CU132" s="17">
        <f>CT132*VLOOKUP('Données projet'!$B$13,Paramètres!$A$1:$I$89,3,0)*VLOOKUP('Données projet'!$B$13,Paramètres!$A$1:$I$89,5,0)</f>
        <v>343.34454999999963</v>
      </c>
      <c r="CV132" s="13">
        <f t="shared" si="95"/>
        <v>80.190557461795578</v>
      </c>
      <c r="CW132" s="20">
        <f t="shared" ref="CW132:CW153" si="121">(CU132+CV132)*0.475*44/12</f>
        <v>737.65697882929317</v>
      </c>
      <c r="CX132" s="59">
        <f t="shared" ref="CX132:CX195" si="122">CW132+(CO132+CP132)*44/12</f>
        <v>1021.4009074903586</v>
      </c>
      <c r="CY132" s="59">
        <f ca="1">AVERAGE(OFFSET($CX$3,0,0,'Données projet'!$E$13+1,1))-AVERAGE(OFFSET($H$3,0,0,'Données projet'!$E$13+1,1))</f>
        <v>598.12133208901378</v>
      </c>
      <c r="CZ132" s="59">
        <f t="shared" si="96"/>
        <v>246.23353541360947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52.63076079350143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52.63076079350143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266.99999999999983</v>
      </c>
      <c r="DP132" s="17">
        <f>DO132*VLOOKUP('Données projet'!$B$14,Paramètres!$A$1:$I$89,3,0)*VLOOKUP('Données projet'!$B$14,Paramètres!$A$1:$I$89,5,0)</f>
        <v>212.42519999999985</v>
      </c>
      <c r="DQ132" s="13">
        <f t="shared" si="97"/>
        <v>52.465198231787184</v>
      </c>
      <c r="DR132" s="20">
        <f t="shared" ref="DR132:DR153" si="124">(DP132+DQ132)*0.475*44/12</f>
        <v>461.35077692036231</v>
      </c>
      <c r="DS132" s="59">
        <f t="shared" ref="DS132:DS195" si="125">DR132+(DJ132+DK132)*44/12</f>
        <v>745.09470558142766</v>
      </c>
      <c r="DT132" s="59">
        <f ca="1">AVERAGE(OFFSET($DS$3,0,0,'Données projet'!$E$14+1,1))-AVERAGE(OFFSET($H$3,0,0,'Données projet'!$E$14+1,1))</f>
        <v>323.01113210765487</v>
      </c>
      <c r="DU132" s="59">
        <f t="shared" si="98"/>
        <v>311.68541696405975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10.89282661638615</v>
      </c>
      <c r="EB132" s="21">
        <f>EXP(-LN(2)/25)*EB131+(1-EXP(-LN(2)/25))/(LN(2)/25)*Calculateur!DW132*Calculateur!DY132*VLOOKUP('Données projet'!$B$14,Paramètres!$A$1:$I$89,3,0)*0.475*44/12</f>
        <v>2.1423811845626277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13.035207800948779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337.99164391755608</v>
      </c>
      <c r="T133" s="59">
        <f t="shared" ref="T133:T196" si="142">$T$3</f>
        <v>421.45428231923393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410.85897435897431</v>
      </c>
      <c r="AG133" s="12">
        <f>VLOOKUP(A133,'Données projet'!$A$61:$I$81,9,0)</f>
        <v>7.1730769230769225</v>
      </c>
      <c r="AH133" s="12">
        <f t="array" ref="AH133">INDEX(AG:AG,MIN(IF(ISNUMBER(AG133:AG329),ROW(AG133:AG329),"")))</f>
        <v>7.1730769230769225</v>
      </c>
      <c r="AI133" s="13">
        <f>IF('Données projet'!$A$62&gt;35,AI132+AH133-AQ132,IF(A133&lt;'Données projet'!$A$62,$AF$205^A133,IF(A133='Données projet'!$A$62,'Données projet'!$B$62,AI132+AH133-AQ132)))</f>
        <v>410.8589743589738</v>
      </c>
      <c r="AJ133" s="13">
        <f>AI133*VLOOKUP('Données projet'!$B$10,Paramètres!$A$1:$I$89,3,0)*VLOOKUP('Données projet'!$B$10,Paramètres!$A$1:$I$89,5,0)</f>
        <v>416.61099999999948</v>
      </c>
      <c r="AK133" s="13">
        <f t="shared" ref="AK133:AK153" si="143">EXP(-1.0587+0.8836*LN(AJ133)+0.284)</f>
        <v>95.136274422152283</v>
      </c>
      <c r="AL133" s="20">
        <f t="shared" si="112"/>
        <v>891.29316961858092</v>
      </c>
      <c r="AM133" s="59">
        <f t="shared" si="113"/>
        <v>1175.2034530120131</v>
      </c>
      <c r="AN133" s="59">
        <f ca="1">AVERAGE(OFFSET($AM$3,0,0,'Données projet'!$E$10+1,1))-AVERAGE(OFFSET($H$3,0,0,'Données projet'!$E$10+1,1))</f>
        <v>596.42822894047072</v>
      </c>
      <c r="AO133" s="59">
        <f t="shared" ref="AO133:AO196" si="144">$AO$3</f>
        <v>298.31525330951047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51.378205128205131</v>
      </c>
      <c r="AR133" s="16">
        <f>IF(ISNA(VLOOKUP(A133,'Données projet'!$A$61:$I$81,5,0)),0%,VLOOKUP(A133,'Données projet'!$A$61:$I$81,5,0)*VLOOKUP('Données projet'!$B$10,Paramètres!$A$1:$I$89,7,0))</f>
        <v>0.38700000000000001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81.478533132196901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81.478533132196901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243</v>
      </c>
      <c r="BE133" s="13">
        <f>BD133*VLOOKUP('Données projet'!$B$11,Paramètres!$A$1:$I$89,3,0)*VLOOKUP('Données projet'!$B$11,Paramètres!$A$1:$I$89,5,0)</f>
        <v>253.98360000000002</v>
      </c>
      <c r="BF133" s="13">
        <f t="shared" ref="BF133:BF153" si="145">EXP(-1.0587+0.8836*LN(BE133)+0.284)</f>
        <v>61.438182405444294</v>
      </c>
      <c r="BG133" s="20">
        <f t="shared" si="115"/>
        <v>549.35960435614891</v>
      </c>
      <c r="BH133" s="59">
        <f t="shared" si="116"/>
        <v>833.26988774958102</v>
      </c>
      <c r="BI133" s="59">
        <f ca="1">AVERAGE(OFFSET($BH$3,0,0,'Données projet'!$E$11+1,1))-AVERAGE(OFFSET($H$3,0,0,'Données projet'!$E$11+1,1))</f>
        <v>446.06835300781546</v>
      </c>
      <c r="BJ133" s="59">
        <f t="shared" ref="BJ133:BJ196" si="146">$BJ$3</f>
        <v>396.46809188573138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17.999753686170649</v>
      </c>
      <c r="BQ133" s="21">
        <f>EXP(-LN(2)/25)*BQ132+(1-EXP(-LN(2)/25))/(LN(2)/25)*Calculateur!BL133*Calculateur!BN133*VLOOKUP('Données projet'!$B$11,Paramètres!$A$1:$I$89,3,0)*0.475*44/12</f>
        <v>7.7546284703127837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25.754382156483434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-3.979039320256561E-13</v>
      </c>
      <c r="BZ133" s="13">
        <f>BY133*VLOOKUP('Données projet'!$B$12,Paramètres!$A$1:$I$89,3,0)*VLOOKUP('Données projet'!$B$12,Paramètres!$A$1:$I$89,5,0)</f>
        <v>-1.8621904018800707E-13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307.52821153421951</v>
      </c>
      <c r="CE133" s="59">
        <f t="shared" ref="CE133:CE196" si="148">$CE$3</f>
        <v>221.23619018904222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95.445816456153111</v>
      </c>
      <c r="CL133" s="21">
        <f>EXP(-LN(2)/25)*CL132+(1-EXP(-LN(2)/25))/(LN(2)/25)*Calculateur!CG133*Calculateur!CI133*VLOOKUP('Données projet'!$B$12,Paramètres!$A$1:$I$89,3,0)*0.475*44/12</f>
        <v>18.484796907712088</v>
      </c>
      <c r="CM133" s="21">
        <f>EXP(-LN(2)/2)*CM132+(1-EXP(-LN(2)/2))/(LN(2)/2)*CG133*CJ133*VLOOKUP('Données projet'!$B$12,Paramètres!$A$1:$I$89,3,0)*0.475*44/12</f>
        <v>9.3631693042162849E-4</v>
      </c>
      <c r="CN133" s="22">
        <f t="shared" si="120"/>
        <v>113.93154968079563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6.0711538461538508</v>
      </c>
      <c r="CT133" s="12">
        <f>IF('Données projet'!$A$140&gt;35,CT132+CS133-DB132,IF(A133&lt;'Données projet'!$A$140,$CQ$205^A133,IF(A133='Données projet'!$A$140,'Données projet'!$B$140,CT132+CS133-DB132)))</f>
        <v>307.56794871794841</v>
      </c>
      <c r="CU133" s="17">
        <f>CT133*VLOOKUP('Données projet'!$B$13,Paramètres!$A$1:$I$89,3,0)*VLOOKUP('Données projet'!$B$13,Paramètres!$A$1:$I$89,5,0)</f>
        <v>350.25837999999965</v>
      </c>
      <c r="CV133" s="13">
        <f t="shared" ref="CV133:CV153" si="149">EXP(-1.0587+0.8836*LN(CU133)+0.284)</f>
        <v>81.615712078224632</v>
      </c>
      <c r="CW133" s="20">
        <f t="shared" si="121"/>
        <v>752.18071036957383</v>
      </c>
      <c r="CX133" s="59">
        <f t="shared" si="122"/>
        <v>1036.0909937630058</v>
      </c>
      <c r="CY133" s="59">
        <f ca="1">AVERAGE(OFFSET($CX$3,0,0,'Données projet'!$E$13+1,1))-AVERAGE(OFFSET($H$3,0,0,'Données projet'!$E$13+1,1))</f>
        <v>598.12133208901378</v>
      </c>
      <c r="CZ133" s="59">
        <f t="shared" ref="CZ133:CZ196" si="150">$CZ$3</f>
        <v>246.23353541360947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51.598703675935184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51.598703675935184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266.99999999999983</v>
      </c>
      <c r="DP133" s="17">
        <f>DO133*VLOOKUP('Données projet'!$B$14,Paramètres!$A$1:$I$89,3,0)*VLOOKUP('Données projet'!$B$14,Paramètres!$A$1:$I$89,5,0)</f>
        <v>212.42519999999985</v>
      </c>
      <c r="DQ133" s="13">
        <f t="shared" ref="DQ133:DQ153" si="151">EXP(-1.0587+0.8836*LN(DP133)+0.284)</f>
        <v>52.465198231787184</v>
      </c>
      <c r="DR133" s="20">
        <f t="shared" si="124"/>
        <v>461.35077692036231</v>
      </c>
      <c r="DS133" s="59">
        <f t="shared" si="125"/>
        <v>745.26106031379436</v>
      </c>
      <c r="DT133" s="59">
        <f ca="1">AVERAGE(OFFSET($DS$3,0,0,'Données projet'!$E$14+1,1))-AVERAGE(OFFSET($H$3,0,0,'Données projet'!$E$14+1,1))</f>
        <v>323.01113210765487</v>
      </c>
      <c r="DU133" s="59">
        <f t="shared" ref="DU133:DU196" si="152">$DU$3</f>
        <v>311.68541696405975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10.679224930407017</v>
      </c>
      <c r="EB133" s="21">
        <f>EXP(-LN(2)/25)*EB132+(1-EXP(-LN(2)/25))/(LN(2)/25)*Calculateur!DW133*Calculateur!DY133*VLOOKUP('Données projet'!$B$14,Paramètres!$A$1:$I$89,3,0)*0.475*44/12</f>
        <v>2.0837976584078328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12.763022588814849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337.99164391755608</v>
      </c>
      <c r="T134" s="59">
        <f t="shared" si="142"/>
        <v>421.45428231923393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7.2230769230769285</v>
      </c>
      <c r="AI134" s="13">
        <f>IF('Données projet'!$A$62&gt;35,AI133+AH134-AQ133,IF(A134&lt;'Données projet'!$A$62,$AF$205^A134,IF(A134='Données projet'!$A$62,'Données projet'!$B$62,AI133+AH134-AQ133)))</f>
        <v>366.70384615384557</v>
      </c>
      <c r="AJ134" s="13">
        <f>AI134*VLOOKUP('Données projet'!$B$10,Paramètres!$A$1:$I$89,3,0)*VLOOKUP('Données projet'!$B$10,Paramètres!$A$1:$I$89,5,0)</f>
        <v>371.83769999999942</v>
      </c>
      <c r="AK134" s="13">
        <f t="shared" si="143"/>
        <v>86.0431590154232</v>
      </c>
      <c r="AL134" s="20">
        <f t="shared" si="112"/>
        <v>797.47582945186105</v>
      </c>
      <c r="AM134" s="59">
        <f t="shared" si="113"/>
        <v>1081.5495816949667</v>
      </c>
      <c r="AN134" s="59">
        <f ca="1">AVERAGE(OFFSET($AM$3,0,0,'Données projet'!$E$10+1,1))-AVERAGE(OFFSET($H$3,0,0,'Données projet'!$E$10+1,1))</f>
        <v>596.42822894047072</v>
      </c>
      <c r="AO134" s="59">
        <f t="shared" si="144"/>
        <v>298.31525330951047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79.880788794472565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79.880788794472565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243</v>
      </c>
      <c r="BE134" s="13">
        <f>BD134*VLOOKUP('Données projet'!$B$11,Paramètres!$A$1:$I$89,3,0)*VLOOKUP('Données projet'!$B$11,Paramètres!$A$1:$I$89,5,0)</f>
        <v>253.98360000000002</v>
      </c>
      <c r="BF134" s="13">
        <f t="shared" si="145"/>
        <v>61.438182405444294</v>
      </c>
      <c r="BG134" s="20">
        <f t="shared" si="115"/>
        <v>549.35960435614891</v>
      </c>
      <c r="BH134" s="59">
        <f t="shared" si="116"/>
        <v>833.43335659925469</v>
      </c>
      <c r="BI134" s="59">
        <f ca="1">AVERAGE(OFFSET($BH$3,0,0,'Données projet'!$E$11+1,1))-AVERAGE(OFFSET($H$3,0,0,'Données projet'!$E$11+1,1))</f>
        <v>446.06835300781546</v>
      </c>
      <c r="BJ134" s="59">
        <f t="shared" si="146"/>
        <v>396.46809188573138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17.646789495150529</v>
      </c>
      <c r="BQ134" s="21">
        <f>EXP(-LN(2)/25)*BQ133+(1-EXP(-LN(2)/25))/(LN(2)/25)*Calculateur!BL134*Calculateur!BN134*VLOOKUP('Données projet'!$B$11,Paramètres!$A$1:$I$89,3,0)*0.475*44/12</f>
        <v>7.5425777469938931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25.189367242144421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-3.979039320256561E-13</v>
      </c>
      <c r="BZ134" s="13">
        <f>BY134*VLOOKUP('Données projet'!$B$12,Paramètres!$A$1:$I$89,3,0)*VLOOKUP('Données projet'!$B$12,Paramètres!$A$1:$I$89,5,0)</f>
        <v>-1.8621904018800707E-13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307.52821153421951</v>
      </c>
      <c r="CE134" s="59">
        <f t="shared" si="148"/>
        <v>221.23619018904222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93.57418221164761</v>
      </c>
      <c r="CL134" s="21">
        <f>EXP(-LN(2)/25)*CL133+(1-EXP(-LN(2)/25))/(LN(2)/25)*Calculateur!CG134*Calculateur!CI134*VLOOKUP('Données projet'!$B$12,Paramètres!$A$1:$I$89,3,0)*0.475*44/12</f>
        <v>17.97932916419748</v>
      </c>
      <c r="CM134" s="21">
        <f>EXP(-LN(2)/2)*CM133+(1-EXP(-LN(2)/2))/(LN(2)/2)*CG134*CJ134*VLOOKUP('Données projet'!$B$12,Paramètres!$A$1:$I$89,3,0)*0.475*44/12</f>
        <v>6.620760508409063E-4</v>
      </c>
      <c r="CN134" s="22">
        <f t="shared" si="120"/>
        <v>111.55417345189593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6.0711538461538508</v>
      </c>
      <c r="CT134" s="12">
        <f>IF('Données projet'!$A$140&gt;35,CT133+CS134-DB133,IF(A134&lt;'Données projet'!$A$140,$CQ$205^A134,IF(A134='Données projet'!$A$140,'Données projet'!$B$140,CT133+CS134-DB133)))</f>
        <v>313.63910256410225</v>
      </c>
      <c r="CU134" s="17">
        <f>CT134*VLOOKUP('Données projet'!$B$13,Paramètres!$A$1:$I$89,3,0)*VLOOKUP('Données projet'!$B$13,Paramètres!$A$1:$I$89,5,0)</f>
        <v>357.17220999999961</v>
      </c>
      <c r="CV134" s="13">
        <f t="shared" si="149"/>
        <v>83.037595728064005</v>
      </c>
      <c r="CW134" s="20">
        <f t="shared" si="121"/>
        <v>766.69874497637738</v>
      </c>
      <c r="CX134" s="59">
        <f t="shared" si="122"/>
        <v>1050.7724972194831</v>
      </c>
      <c r="CY134" s="59">
        <f ca="1">AVERAGE(OFFSET($CX$3,0,0,'Données projet'!$E$13+1,1))-AVERAGE(OFFSET($H$3,0,0,'Données projet'!$E$13+1,1))</f>
        <v>598.12133208901378</v>
      </c>
      <c r="CZ134" s="59">
        <f t="shared" si="150"/>
        <v>246.23353541360947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50.586884568951724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50.586884568951724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266.99999999999983</v>
      </c>
      <c r="DP134" s="17">
        <f>DO134*VLOOKUP('Données projet'!$B$14,Paramètres!$A$1:$I$89,3,0)*VLOOKUP('Données projet'!$B$14,Paramètres!$A$1:$I$89,5,0)</f>
        <v>212.42519999999985</v>
      </c>
      <c r="DQ134" s="13">
        <f t="shared" si="151"/>
        <v>52.465198231787184</v>
      </c>
      <c r="DR134" s="20">
        <f t="shared" si="124"/>
        <v>461.35077692036231</v>
      </c>
      <c r="DS134" s="59">
        <f t="shared" si="125"/>
        <v>745.42452916346804</v>
      </c>
      <c r="DT134" s="59">
        <f ca="1">AVERAGE(OFFSET($DS$3,0,0,'Données projet'!$E$14+1,1))-AVERAGE(OFFSET($H$3,0,0,'Données projet'!$E$14+1,1))</f>
        <v>323.01113210765487</v>
      </c>
      <c r="DU134" s="59">
        <f t="shared" si="152"/>
        <v>311.68541696405975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10.46981184320577</v>
      </c>
      <c r="EB134" s="21">
        <f>EXP(-LN(2)/25)*EB133+(1-EXP(-LN(2)/25))/(LN(2)/25)*Calculateur!DW134*Calculateur!DY134*VLOOKUP('Données projet'!$B$14,Paramètres!$A$1:$I$89,3,0)*0.475*44/12</f>
        <v>2.0268161018565145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12.496627945062285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337.99164391755608</v>
      </c>
      <c r="T135" s="59">
        <f t="shared" si="142"/>
        <v>421.45428231923393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7.2230769230769285</v>
      </c>
      <c r="AI135" s="13">
        <f>IF('Données projet'!$A$62&gt;35,AI134+AH135-AQ134,IF(A135&lt;'Données projet'!$A$62,$AF$205^A135,IF(A135='Données projet'!$A$62,'Données projet'!$B$62,AI134+AH135-AQ134)))</f>
        <v>373.92692307692249</v>
      </c>
      <c r="AJ135" s="13">
        <f>AI135*VLOOKUP('Données projet'!$B$10,Paramètres!$A$1:$I$89,3,0)*VLOOKUP('Données projet'!$B$10,Paramètres!$A$1:$I$89,5,0)</f>
        <v>379.16189999999943</v>
      </c>
      <c r="AK135" s="13">
        <f t="shared" si="143"/>
        <v>87.538996084348724</v>
      </c>
      <c r="AL135" s="20">
        <f t="shared" si="112"/>
        <v>812.83739401357309</v>
      </c>
      <c r="AM135" s="59">
        <f t="shared" si="113"/>
        <v>1097.0717792872722</v>
      </c>
      <c r="AN135" s="59">
        <f ca="1">AVERAGE(OFFSET($AM$3,0,0,'Données projet'!$E$10+1,1))-AVERAGE(OFFSET($H$3,0,0,'Données projet'!$E$10+1,1))</f>
        <v>596.42822894047072</v>
      </c>
      <c r="AO135" s="59">
        <f t="shared" si="144"/>
        <v>298.31525330951047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78.314375248683177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78.314375248683177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243</v>
      </c>
      <c r="BE135" s="13">
        <f>BD135*VLOOKUP('Données projet'!$B$11,Paramètres!$A$1:$I$89,3,0)*VLOOKUP('Données projet'!$B$11,Paramètres!$A$1:$I$89,5,0)</f>
        <v>253.98360000000002</v>
      </c>
      <c r="BF135" s="13">
        <f t="shared" si="145"/>
        <v>61.438182405444294</v>
      </c>
      <c r="BG135" s="20">
        <f t="shared" si="115"/>
        <v>549.35960435614891</v>
      </c>
      <c r="BH135" s="59">
        <f t="shared" si="116"/>
        <v>833.59398962984801</v>
      </c>
      <c r="BI135" s="59">
        <f ca="1">AVERAGE(OFFSET($BH$3,0,0,'Données projet'!$E$11+1,1))-AVERAGE(OFFSET($H$3,0,0,'Données projet'!$E$11+1,1))</f>
        <v>446.06835300781546</v>
      </c>
      <c r="BJ135" s="59">
        <f t="shared" si="146"/>
        <v>396.46809188573138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17.300746716629412</v>
      </c>
      <c r="BQ135" s="21">
        <f>EXP(-LN(2)/25)*BQ134+(1-EXP(-LN(2)/25))/(LN(2)/25)*Calculateur!BL135*Calculateur!BN135*VLOOKUP('Données projet'!$B$11,Paramètres!$A$1:$I$89,3,0)*0.475*44/12</f>
        <v>7.3363255618554204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24.637072278484833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-3.979039320256561E-13</v>
      </c>
      <c r="BZ135" s="13">
        <f>BY135*VLOOKUP('Données projet'!$B$12,Paramètres!$A$1:$I$89,3,0)*VLOOKUP('Données projet'!$B$12,Paramètres!$A$1:$I$89,5,0)</f>
        <v>-1.8621904018800707E-13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307.52821153421951</v>
      </c>
      <c r="CE135" s="59">
        <f t="shared" si="148"/>
        <v>221.23619018904222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91.739249573092692</v>
      </c>
      <c r="CL135" s="21">
        <f>EXP(-LN(2)/25)*CL134+(1-EXP(-LN(2)/25))/(LN(2)/25)*Calculateur!CG135*Calculateur!CI135*VLOOKUP('Données projet'!$B$12,Paramètres!$A$1:$I$89,3,0)*0.475*44/12</f>
        <v>17.48768346271067</v>
      </c>
      <c r="CM135" s="21">
        <f>EXP(-LN(2)/2)*CM134+(1-EXP(-LN(2)/2))/(LN(2)/2)*CG135*CJ135*VLOOKUP('Données projet'!$B$12,Paramètres!$A$1:$I$89,3,0)*0.475*44/12</f>
        <v>4.6815846521081425E-4</v>
      </c>
      <c r="CN135" s="22">
        <f t="shared" si="120"/>
        <v>109.22740119426858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6.0711538461538508</v>
      </c>
      <c r="CT135" s="12">
        <f>IF('Données projet'!$A$140&gt;35,CT134+CS135-DB134,IF(A135&lt;'Données projet'!$A$140,$CQ$205^A135,IF(A135='Données projet'!$A$140,'Données projet'!$B$140,CT134+CS135-DB134)))</f>
        <v>319.71025641025608</v>
      </c>
      <c r="CU135" s="17">
        <f>CT135*VLOOKUP('Données projet'!$B$13,Paramètres!$A$1:$I$89,3,0)*VLOOKUP('Données projet'!$B$13,Paramètres!$A$1:$I$89,5,0)</f>
        <v>364.08603999999963</v>
      </c>
      <c r="CV135" s="13">
        <f t="shared" si="149"/>
        <v>84.456279027216922</v>
      </c>
      <c r="CW135" s="20">
        <f t="shared" si="121"/>
        <v>781.21120563906879</v>
      </c>
      <c r="CX135" s="59">
        <f t="shared" si="122"/>
        <v>1065.445590912768</v>
      </c>
      <c r="CY135" s="59">
        <f ca="1">AVERAGE(OFFSET($CX$3,0,0,'Données projet'!$E$13+1,1))-AVERAGE(OFFSET($H$3,0,0,'Données projet'!$E$13+1,1))</f>
        <v>598.12133208901378</v>
      </c>
      <c r="CZ135" s="59">
        <f t="shared" si="150"/>
        <v>246.23353541360947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49.594906617507498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49.594906617507498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266.99999999999983</v>
      </c>
      <c r="DP135" s="17">
        <f>DO135*VLOOKUP('Données projet'!$B$14,Paramètres!$A$1:$I$89,3,0)*VLOOKUP('Données projet'!$B$14,Paramètres!$A$1:$I$89,5,0)</f>
        <v>212.42519999999985</v>
      </c>
      <c r="DQ135" s="13">
        <f t="shared" si="151"/>
        <v>52.465198231787184</v>
      </c>
      <c r="DR135" s="20">
        <f t="shared" si="124"/>
        <v>461.35077692036231</v>
      </c>
      <c r="DS135" s="59">
        <f t="shared" si="125"/>
        <v>745.58516219406147</v>
      </c>
      <c r="DT135" s="59">
        <f ca="1">AVERAGE(OFFSET($DS$3,0,0,'Données projet'!$E$14+1,1))-AVERAGE(OFFSET($H$3,0,0,'Données projet'!$E$14+1,1))</f>
        <v>323.01113210765487</v>
      </c>
      <c r="DU135" s="59">
        <f t="shared" si="152"/>
        <v>311.68541696405975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10.264505218915168</v>
      </c>
      <c r="EB135" s="21">
        <f>EXP(-LN(2)/25)*EB134+(1-EXP(-LN(2)/25))/(LN(2)/25)*Calculateur!DW135*Calculateur!DY135*VLOOKUP('Données projet'!$B$14,Paramètres!$A$1:$I$89,3,0)*0.475*44/12</f>
        <v>1.9713927089656216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12.23589792788079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337.99164391755608</v>
      </c>
      <c r="T136" s="59">
        <f t="shared" si="142"/>
        <v>421.45428231923393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7.2230769230769285</v>
      </c>
      <c r="AI136" s="13">
        <f>IF('Données projet'!$A$62&gt;35,AI135+AH136-AQ135,IF(A136&lt;'Données projet'!$A$62,$AF$205^A136,IF(A136='Données projet'!$A$62,'Données projet'!$B$62,AI135+AH136-AQ135)))</f>
        <v>381.14999999999941</v>
      </c>
      <c r="AJ136" s="13">
        <f>AI136*VLOOKUP('Données projet'!$B$10,Paramètres!$A$1:$I$89,3,0)*VLOOKUP('Données projet'!$B$10,Paramètres!$A$1:$I$89,5,0)</f>
        <v>386.48609999999945</v>
      </c>
      <c r="AK136" s="13">
        <f t="shared" si="143"/>
        <v>89.031473355262477</v>
      </c>
      <c r="AL136" s="20">
        <f t="shared" si="112"/>
        <v>828.1931069270812</v>
      </c>
      <c r="AM136" s="59">
        <f t="shared" si="113"/>
        <v>1112.5853386074145</v>
      </c>
      <c r="AN136" s="59">
        <f ca="1">AVERAGE(OFFSET($AM$3,0,0,'Données projet'!$E$10+1,1))-AVERAGE(OFFSET($H$3,0,0,'Données projet'!$E$10+1,1))</f>
        <v>596.42822894047072</v>
      </c>
      <c r="AO136" s="59">
        <f t="shared" si="144"/>
        <v>298.31525330951047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76.778678117108797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76.778678117108797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243</v>
      </c>
      <c r="BE136" s="13">
        <f>BD136*VLOOKUP('Données projet'!$B$11,Paramètres!$A$1:$I$89,3,0)*VLOOKUP('Données projet'!$B$11,Paramètres!$A$1:$I$89,5,0)</f>
        <v>253.98360000000002</v>
      </c>
      <c r="BF136" s="13">
        <f t="shared" si="145"/>
        <v>61.438182405444294</v>
      </c>
      <c r="BG136" s="20">
        <f t="shared" si="115"/>
        <v>549.35960435614891</v>
      </c>
      <c r="BH136" s="59">
        <f t="shared" si="116"/>
        <v>833.75183603648225</v>
      </c>
      <c r="BI136" s="59">
        <f ca="1">AVERAGE(OFFSET($BH$3,0,0,'Données projet'!$E$11+1,1))-AVERAGE(OFFSET($H$3,0,0,'Données projet'!$E$11+1,1))</f>
        <v>446.06835300781546</v>
      </c>
      <c r="BJ136" s="59">
        <f t="shared" si="146"/>
        <v>396.46809188573138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16.961489625929843</v>
      </c>
      <c r="BQ136" s="21">
        <f>EXP(-LN(2)/25)*BQ135+(1-EXP(-LN(2)/25))/(LN(2)/25)*Calculateur!BL136*Calculateur!BN136*VLOOKUP('Données projet'!$B$11,Paramètres!$A$1:$I$89,3,0)*0.475*44/12</f>
        <v>7.1357133535658903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24.097202979495734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-3.979039320256561E-13</v>
      </c>
      <c r="BZ136" s="13">
        <f>BY136*VLOOKUP('Données projet'!$B$12,Paramètres!$A$1:$I$89,3,0)*VLOOKUP('Données projet'!$B$12,Paramètres!$A$1:$I$89,5,0)</f>
        <v>-1.8621904018800707E-13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307.52821153421951</v>
      </c>
      <c r="CE136" s="59">
        <f t="shared" si="148"/>
        <v>221.23619018904222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89.940298844381445</v>
      </c>
      <c r="CL136" s="21">
        <f>EXP(-LN(2)/25)*CL135+(1-EXP(-LN(2)/25))/(LN(2)/25)*Calculateur!CG136*Calculateur!CI136*VLOOKUP('Données projet'!$B$12,Paramètres!$A$1:$I$89,3,0)*0.475*44/12</f>
        <v>17.009481838785543</v>
      </c>
      <c r="CM136" s="21">
        <f>EXP(-LN(2)/2)*CM135+(1-EXP(-LN(2)/2))/(LN(2)/2)*CG136*CJ136*VLOOKUP('Données projet'!$B$12,Paramètres!$A$1:$I$89,3,0)*0.475*44/12</f>
        <v>3.3103802542045315E-4</v>
      </c>
      <c r="CN136" s="22">
        <f t="shared" si="120"/>
        <v>106.95011172119241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6.0711538461538508</v>
      </c>
      <c r="CT136" s="12">
        <f>IF('Données projet'!$A$140&gt;35,CT135+CS136-DB135,IF(A136&lt;'Données projet'!$A$140,$CQ$205^A136,IF(A136='Données projet'!$A$140,'Données projet'!$B$140,CT135+CS136-DB135)))</f>
        <v>325.78141025640991</v>
      </c>
      <c r="CU136" s="17">
        <f>CT136*VLOOKUP('Données projet'!$B$13,Paramètres!$A$1:$I$89,3,0)*VLOOKUP('Données projet'!$B$13,Paramètres!$A$1:$I$89,5,0)</f>
        <v>370.99986999999965</v>
      </c>
      <c r="CV136" s="13">
        <f t="shared" si="149"/>
        <v>85.87182975619379</v>
      </c>
      <c r="CW136" s="20">
        <f t="shared" si="121"/>
        <v>795.71821040870338</v>
      </c>
      <c r="CX136" s="59">
        <f t="shared" si="122"/>
        <v>1080.1104420890367</v>
      </c>
      <c r="CY136" s="59">
        <f ca="1">AVERAGE(OFFSET($CX$3,0,0,'Données projet'!$E$13+1,1))-AVERAGE(OFFSET($H$3,0,0,'Données projet'!$E$13+1,1))</f>
        <v>598.12133208901378</v>
      </c>
      <c r="CZ136" s="59">
        <f t="shared" si="150"/>
        <v>246.23353541360947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48.622380748644282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48.622380748644282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266.99999999999983</v>
      </c>
      <c r="DP136" s="17">
        <f>DO136*VLOOKUP('Données projet'!$B$14,Paramètres!$A$1:$I$89,3,0)*VLOOKUP('Données projet'!$B$14,Paramètres!$A$1:$I$89,5,0)</f>
        <v>212.42519999999985</v>
      </c>
      <c r="DQ136" s="13">
        <f t="shared" si="151"/>
        <v>52.465198231787184</v>
      </c>
      <c r="DR136" s="20">
        <f t="shared" si="124"/>
        <v>461.35077692036231</v>
      </c>
      <c r="DS136" s="59">
        <f t="shared" si="125"/>
        <v>745.7430086006957</v>
      </c>
      <c r="DT136" s="59">
        <f ca="1">AVERAGE(OFFSET($DS$3,0,0,'Données projet'!$E$14+1,1))-AVERAGE(OFFSET($H$3,0,0,'Données projet'!$E$14+1,1))</f>
        <v>323.01113210765487</v>
      </c>
      <c r="DU136" s="59">
        <f t="shared" si="152"/>
        <v>311.68541696405975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10.063224532302229</v>
      </c>
      <c r="EB136" s="21">
        <f>EXP(-LN(2)/25)*EB135+(1-EXP(-LN(2)/25))/(LN(2)/25)*Calculateur!DW136*Calculateur!DY136*VLOOKUP('Données projet'!$B$14,Paramètres!$A$1:$I$89,3,0)*0.475*44/12</f>
        <v>1.9174848716679198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11.980709403970149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337.99164391755608</v>
      </c>
      <c r="T137" s="59">
        <f t="shared" si="142"/>
        <v>421.45428231923393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7.2230769230769285</v>
      </c>
      <c r="AI137" s="13">
        <f>IF('Données projet'!$A$62&gt;35,AI136+AH137-AQ136,IF(A137&lt;'Données projet'!$A$62,$AF$205^A137,IF(A137='Données projet'!$A$62,'Données projet'!$B$62,AI136+AH137-AQ136)))</f>
        <v>388.37307692307633</v>
      </c>
      <c r="AJ137" s="13">
        <f>AI137*VLOOKUP('Données projet'!$B$10,Paramètres!$A$1:$I$89,3,0)*VLOOKUP('Données projet'!$B$10,Paramètres!$A$1:$I$89,5,0)</f>
        <v>393.81029999999942</v>
      </c>
      <c r="AK137" s="13">
        <f t="shared" si="143"/>
        <v>90.520661840344417</v>
      </c>
      <c r="AL137" s="20">
        <f t="shared" si="112"/>
        <v>843.54309187193212</v>
      </c>
      <c r="AM137" s="59">
        <f t="shared" si="113"/>
        <v>1128.0904316766364</v>
      </c>
      <c r="AN137" s="59">
        <f ca="1">AVERAGE(OFFSET($AM$3,0,0,'Données projet'!$E$10+1,1))-AVERAGE(OFFSET($H$3,0,0,'Données projet'!$E$10+1,1))</f>
        <v>596.42822894047072</v>
      </c>
      <c r="AO137" s="59">
        <f t="shared" si="144"/>
        <v>298.31525330951047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75.273095069601823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75.273095069601823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243</v>
      </c>
      <c r="BE137" s="13">
        <f>BD137*VLOOKUP('Données projet'!$B$11,Paramètres!$A$1:$I$89,3,0)*VLOOKUP('Données projet'!$B$11,Paramètres!$A$1:$I$89,5,0)</f>
        <v>253.98360000000002</v>
      </c>
      <c r="BF137" s="13">
        <f t="shared" si="145"/>
        <v>61.438182405444294</v>
      </c>
      <c r="BG137" s="20">
        <f t="shared" si="115"/>
        <v>549.35960435614891</v>
      </c>
      <c r="BH137" s="59">
        <f t="shared" si="116"/>
        <v>833.90694416085319</v>
      </c>
      <c r="BI137" s="59">
        <f ca="1">AVERAGE(OFFSET($BH$3,0,0,'Données projet'!$E$11+1,1))-AVERAGE(OFFSET($H$3,0,0,'Données projet'!$E$11+1,1))</f>
        <v>446.06835300781546</v>
      </c>
      <c r="BJ137" s="59">
        <f t="shared" si="146"/>
        <v>396.46809188573138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16.628885159852498</v>
      </c>
      <c r="BQ137" s="21">
        <f>EXP(-LN(2)/25)*BQ136+(1-EXP(-LN(2)/25))/(LN(2)/25)*Calculateur!BL137*Calculateur!BN137*VLOOKUP('Données projet'!$B$11,Paramètres!$A$1:$I$89,3,0)*0.475*44/12</f>
        <v>6.9405868966617748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23.569472056514272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-3.979039320256561E-13</v>
      </c>
      <c r="BZ137" s="13">
        <f>BY137*VLOOKUP('Données projet'!$B$12,Paramètres!$A$1:$I$89,3,0)*VLOOKUP('Données projet'!$B$12,Paramètres!$A$1:$I$89,5,0)</f>
        <v>-1.8621904018800707E-13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307.52821153421951</v>
      </c>
      <c r="CE137" s="59">
        <f t="shared" si="148"/>
        <v>221.23619018904222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88.17662444220862</v>
      </c>
      <c r="CL137" s="21">
        <f>EXP(-LN(2)/25)*CL136+(1-EXP(-LN(2)/25))/(LN(2)/25)*Calculateur!CG137*Calculateur!CI137*VLOOKUP('Données projet'!$B$12,Paramètres!$A$1:$I$89,3,0)*0.475*44/12</f>
        <v>16.544356663414177</v>
      </c>
      <c r="CM137" s="21">
        <f>EXP(-LN(2)/2)*CM136+(1-EXP(-LN(2)/2))/(LN(2)/2)*CG137*CJ137*VLOOKUP('Données projet'!$B$12,Paramètres!$A$1:$I$89,3,0)*0.475*44/12</f>
        <v>2.3407923260540712E-4</v>
      </c>
      <c r="CN137" s="22">
        <f t="shared" si="120"/>
        <v>104.72121518485541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331.85256410256414</v>
      </c>
      <c r="CR137" s="12">
        <f>VLOOKUP(A137,'Données projet'!$A$139:$I$159,9,0)</f>
        <v>6.0711538461538508</v>
      </c>
      <c r="CS137" s="12">
        <f t="array" ref="CS137">INDEX(CR:CR,MIN(IF(ISNUMBER(CR137:CR333),ROW(CR137:CR333),"")))</f>
        <v>6.0711538461538508</v>
      </c>
      <c r="CT137" s="12">
        <f>IF('Données projet'!$A$140&gt;35,CT136+CS137-DB136,IF(A137&lt;'Données projet'!$A$140,$CQ$205^A137,IF(A137='Données projet'!$A$140,'Données projet'!$B$140,CT136+CS137-DB136)))</f>
        <v>331.85256410256375</v>
      </c>
      <c r="CU137" s="17">
        <f>CT137*VLOOKUP('Données projet'!$B$13,Paramètres!$A$1:$I$89,3,0)*VLOOKUP('Données projet'!$B$13,Paramètres!$A$1:$I$89,5,0)</f>
        <v>377.91369999999961</v>
      </c>
      <c r="CV137" s="13">
        <f t="shared" si="149"/>
        <v>87.284313024640184</v>
      </c>
      <c r="CW137" s="20">
        <f t="shared" si="121"/>
        <v>810.21987268458099</v>
      </c>
      <c r="CX137" s="59">
        <f t="shared" si="122"/>
        <v>1094.7672124892852</v>
      </c>
      <c r="CY137" s="59">
        <f ca="1">AVERAGE(OFFSET($CX$3,0,0,'Données projet'!$E$13+1,1))-AVERAGE(OFFSET($H$3,0,0,'Données projet'!$E$13+1,1))</f>
        <v>598.12133208901378</v>
      </c>
      <c r="CZ137" s="59">
        <f t="shared" si="150"/>
        <v>246.23353541360947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41.666666666666664</v>
      </c>
      <c r="DC137" s="16">
        <f>IF(ISNA(VLOOKUP(A137,'Données projet'!$A$139:$I$159,5,0)),0%,VLOOKUP(A137,'Données projet'!$A$139:$I$159,5,0)*VLOOKUP('Données projet'!$B$13,Paramètres!$A$1:$I$89,7,0))</f>
        <v>0.30099999999999999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63.457750941047649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63.457750941047649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266.99999999999983</v>
      </c>
      <c r="DP137" s="17">
        <f>DO137*VLOOKUP('Données projet'!$B$14,Paramètres!$A$1:$I$89,3,0)*VLOOKUP('Données projet'!$B$14,Paramètres!$A$1:$I$89,5,0)</f>
        <v>212.42519999999985</v>
      </c>
      <c r="DQ137" s="13">
        <f t="shared" si="151"/>
        <v>52.465198231787184</v>
      </c>
      <c r="DR137" s="20">
        <f t="shared" si="124"/>
        <v>461.35077692036231</v>
      </c>
      <c r="DS137" s="59">
        <f t="shared" si="125"/>
        <v>745.89811672506653</v>
      </c>
      <c r="DT137" s="59">
        <f ca="1">AVERAGE(OFFSET($DS$3,0,0,'Données projet'!$E$14+1,1))-AVERAGE(OFFSET($H$3,0,0,'Données projet'!$E$14+1,1))</f>
        <v>323.01113210765487</v>
      </c>
      <c r="DU137" s="59">
        <f t="shared" si="152"/>
        <v>311.68541696405975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9.8658908371846739</v>
      </c>
      <c r="EB137" s="21">
        <f>EXP(-LN(2)/25)*EB136+(1-EXP(-LN(2)/25))/(LN(2)/25)*Calculateur!DW137*Calculateur!DY137*VLOOKUP('Données projet'!$B$14,Paramètres!$A$1:$I$89,3,0)*0.475*44/12</f>
        <v>1.8650511470160136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11.730941984200687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337.99164391755608</v>
      </c>
      <c r="T138" s="59">
        <f t="shared" si="142"/>
        <v>421.45428231923393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7.2230769230769285</v>
      </c>
      <c r="AI138" s="13">
        <f>IF('Données projet'!$A$62&gt;35,AI137+AH138-AQ137,IF(A138&lt;'Données projet'!$A$62,$AF$205^A138,IF(A138='Données projet'!$A$62,'Données projet'!$B$62,AI137+AH138-AQ137)))</f>
        <v>395.59615384615324</v>
      </c>
      <c r="AJ138" s="13">
        <f>AI138*VLOOKUP('Données projet'!$B$10,Paramètres!$A$1:$I$89,3,0)*VLOOKUP('Données projet'!$B$10,Paramètres!$A$1:$I$89,5,0)</f>
        <v>401.13449999999938</v>
      </c>
      <c r="AK138" s="13">
        <f t="shared" si="143"/>
        <v>92.006629759174288</v>
      </c>
      <c r="AL138" s="20">
        <f t="shared" si="112"/>
        <v>858.8874676638942</v>
      </c>
      <c r="AM138" s="59">
        <f t="shared" si="113"/>
        <v>1143.5872248137814</v>
      </c>
      <c r="AN138" s="59">
        <f ca="1">AVERAGE(OFFSET($AM$3,0,0,'Données projet'!$E$10+1,1))-AVERAGE(OFFSET($H$3,0,0,'Données projet'!$E$10+1,1))</f>
        <v>596.42822894047072</v>
      </c>
      <c r="AO138" s="59">
        <f t="shared" si="144"/>
        <v>298.31525330951047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73.797035587341483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73.797035587341483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243</v>
      </c>
      <c r="BE138" s="13">
        <f>BD138*VLOOKUP('Données projet'!$B$11,Paramètres!$A$1:$I$89,3,0)*VLOOKUP('Données projet'!$B$11,Paramètres!$A$1:$I$89,5,0)</f>
        <v>253.98360000000002</v>
      </c>
      <c r="BF138" s="13">
        <f t="shared" si="145"/>
        <v>61.438182405444294</v>
      </c>
      <c r="BG138" s="20">
        <f t="shared" si="115"/>
        <v>549.35960435614891</v>
      </c>
      <c r="BH138" s="59">
        <f t="shared" si="116"/>
        <v>834.05936150603611</v>
      </c>
      <c r="BI138" s="59">
        <f ca="1">AVERAGE(OFFSET($BH$3,0,0,'Données projet'!$E$11+1,1))-AVERAGE(OFFSET($H$3,0,0,'Données projet'!$E$11+1,1))</f>
        <v>446.06835300781546</v>
      </c>
      <c r="BJ138" s="59">
        <f t="shared" si="146"/>
        <v>396.46809188573138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16.302802864486239</v>
      </c>
      <c r="BQ138" s="21">
        <f>EXP(-LN(2)/25)*BQ137+(1-EXP(-LN(2)/25))/(LN(2)/25)*Calculateur!BL138*Calculateur!BN138*VLOOKUP('Données projet'!$B$11,Paramètres!$A$1:$I$89,3,0)*0.475*44/12</f>
        <v>6.7507961829829561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23.053599047469195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-3.979039320256561E-13</v>
      </c>
      <c r="BZ138" s="13">
        <f>BY138*VLOOKUP('Données projet'!$B$12,Paramètres!$A$1:$I$89,3,0)*VLOOKUP('Données projet'!$B$12,Paramètres!$A$1:$I$89,5,0)</f>
        <v>-1.8621904018800707E-13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307.52821153421951</v>
      </c>
      <c r="CE138" s="59">
        <f t="shared" si="148"/>
        <v>221.23619018904222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86.447534619327243</v>
      </c>
      <c r="CL138" s="21">
        <f>EXP(-LN(2)/25)*CL137+(1-EXP(-LN(2)/25))/(LN(2)/25)*Calculateur!CG138*Calculateur!CI138*VLOOKUP('Données projet'!$B$12,Paramètres!$A$1:$I$89,3,0)*0.475*44/12</f>
        <v>16.091950360423212</v>
      </c>
      <c r="CM138" s="21">
        <f>EXP(-LN(2)/2)*CM137+(1-EXP(-LN(2)/2))/(LN(2)/2)*CG138*CJ138*VLOOKUP('Données projet'!$B$12,Paramètres!$A$1:$I$89,3,0)*0.475*44/12</f>
        <v>1.6551901271022657E-4</v>
      </c>
      <c r="CN138" s="22">
        <f t="shared" si="120"/>
        <v>102.53965049876317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6.1378205128205137</v>
      </c>
      <c r="CT138" s="12">
        <f>IF('Données projet'!$A$140&gt;35,CT137+CS138-DB137,IF(A138&lt;'Données projet'!$A$140,$CQ$205^A138,IF(A138='Données projet'!$A$140,'Données projet'!$B$140,CT137+CS138-DB137)))</f>
        <v>296.32371794871756</v>
      </c>
      <c r="CU138" s="17">
        <f>CT138*VLOOKUP('Données projet'!$B$13,Paramètres!$A$1:$I$89,3,0)*VLOOKUP('Données projet'!$B$13,Paramètres!$A$1:$I$89,5,0)</f>
        <v>337.45344999999958</v>
      </c>
      <c r="CV138" s="13">
        <f t="shared" si="149"/>
        <v>78.973583080420198</v>
      </c>
      <c r="CW138" s="20">
        <f t="shared" si="121"/>
        <v>725.2770826150645</v>
      </c>
      <c r="CX138" s="59">
        <f t="shared" si="122"/>
        <v>1009.9768397649516</v>
      </c>
      <c r="CY138" s="59">
        <f ca="1">AVERAGE(OFFSET($CX$3,0,0,'Données projet'!$E$13+1,1))-AVERAGE(OFFSET($H$3,0,0,'Données projet'!$E$13+1,1))</f>
        <v>598.12133208901378</v>
      </c>
      <c r="CZ138" s="59">
        <f t="shared" si="150"/>
        <v>246.23353541360947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62.213383150499936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62.213383150499936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266.99999999999983</v>
      </c>
      <c r="DP138" s="17">
        <f>DO138*VLOOKUP('Données projet'!$B$14,Paramètres!$A$1:$I$89,3,0)*VLOOKUP('Données projet'!$B$14,Paramètres!$A$1:$I$89,5,0)</f>
        <v>212.42519999999985</v>
      </c>
      <c r="DQ138" s="13">
        <f t="shared" si="151"/>
        <v>52.465198231787184</v>
      </c>
      <c r="DR138" s="20">
        <f t="shared" si="124"/>
        <v>461.35077692036231</v>
      </c>
      <c r="DS138" s="59">
        <f t="shared" si="125"/>
        <v>746.05053407024945</v>
      </c>
      <c r="DT138" s="59">
        <f ca="1">AVERAGE(OFFSET($DS$3,0,0,'Données projet'!$E$14+1,1))-AVERAGE(OFFSET($H$3,0,0,'Données projet'!$E$14+1,1))</f>
        <v>323.01113210765487</v>
      </c>
      <c r="DU138" s="59">
        <f t="shared" si="152"/>
        <v>311.68541696405975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9.6724267354667042</v>
      </c>
      <c r="EB138" s="21">
        <f>EXP(-LN(2)/25)*EB137+(1-EXP(-LN(2)/25))/(LN(2)/25)*Calculateur!DW138*Calculateur!DY138*VLOOKUP('Données projet'!$B$14,Paramètres!$A$1:$I$89,3,0)*0.475*44/12</f>
        <v>1.8140512253220835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11.486477960788788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337.99164391755608</v>
      </c>
      <c r="T139" s="59">
        <f t="shared" si="142"/>
        <v>421.45428231923393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7.2230769230769285</v>
      </c>
      <c r="AI139" s="13">
        <f>IF('Données projet'!$A$62&gt;35,AI138+AH139-AQ138,IF(A139&lt;'Données projet'!$A$62,$AF$205^A139,IF(A139='Données projet'!$A$62,'Données projet'!$B$62,AI138+AH139-AQ138)))</f>
        <v>402.81923076923016</v>
      </c>
      <c r="AJ139" s="13">
        <f>AI139*VLOOKUP('Données projet'!$B$10,Paramètres!$A$1:$I$89,3,0)*VLOOKUP('Données projet'!$B$10,Paramètres!$A$1:$I$89,5,0)</f>
        <v>408.45869999999945</v>
      </c>
      <c r="AK139" s="13">
        <f t="shared" si="143"/>
        <v>93.489442697501644</v>
      </c>
      <c r="AL139" s="20">
        <f t="shared" si="112"/>
        <v>874.22634853148111</v>
      </c>
      <c r="AM139" s="59">
        <f t="shared" si="113"/>
        <v>1159.0758789263664</v>
      </c>
      <c r="AN139" s="59">
        <f ca="1">AVERAGE(OFFSET($AM$3,0,0,'Données projet'!$E$10+1,1))-AVERAGE(OFFSET($H$3,0,0,'Données projet'!$E$10+1,1))</f>
        <v>596.42822894047072</v>
      </c>
      <c r="AO139" s="59">
        <f t="shared" si="144"/>
        <v>298.31525330951047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72.349920731220891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72.349920731220891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243</v>
      </c>
      <c r="BE139" s="13">
        <f>BD139*VLOOKUP('Données projet'!$B$11,Paramètres!$A$1:$I$89,3,0)*VLOOKUP('Données projet'!$B$11,Paramètres!$A$1:$I$89,5,0)</f>
        <v>253.98360000000002</v>
      </c>
      <c r="BF139" s="13">
        <f t="shared" si="145"/>
        <v>61.438182405444294</v>
      </c>
      <c r="BG139" s="20">
        <f t="shared" si="115"/>
        <v>549.35960435614891</v>
      </c>
      <c r="BH139" s="59">
        <f t="shared" si="116"/>
        <v>834.20913475103407</v>
      </c>
      <c r="BI139" s="59">
        <f ca="1">AVERAGE(OFFSET($BH$3,0,0,'Données projet'!$E$11+1,1))-AVERAGE(OFFSET($H$3,0,0,'Données projet'!$E$11+1,1))</f>
        <v>446.06835300781546</v>
      </c>
      <c r="BJ139" s="59">
        <f t="shared" si="146"/>
        <v>396.46809188573138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15.98311484404155</v>
      </c>
      <c r="BQ139" s="21">
        <f>EXP(-LN(2)/25)*BQ138+(1-EXP(-LN(2)/25))/(LN(2)/25)*Calculateur!BL139*Calculateur!BN139*VLOOKUP('Données projet'!$B$11,Paramètres!$A$1:$I$89,3,0)*0.475*44/12</f>
        <v>6.5661953063503447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22.549310150391896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-3.979039320256561E-13</v>
      </c>
      <c r="BZ139" s="13">
        <f>BY139*VLOOKUP('Données projet'!$B$12,Paramètres!$A$1:$I$89,3,0)*VLOOKUP('Données projet'!$B$12,Paramètres!$A$1:$I$89,5,0)</f>
        <v>-1.8621904018800707E-13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307.52821153421951</v>
      </c>
      <c r="CE139" s="59">
        <f t="shared" si="148"/>
        <v>221.23619018904222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84.752351193231917</v>
      </c>
      <c r="CL139" s="21">
        <f>EXP(-LN(2)/25)*CL138+(1-EXP(-LN(2)/25))/(LN(2)/25)*Calculateur!CG139*Calculateur!CI139*VLOOKUP('Données projet'!$B$12,Paramètres!$A$1:$I$89,3,0)*0.475*44/12</f>
        <v>15.651915131578548</v>
      </c>
      <c r="CM139" s="21">
        <f>EXP(-LN(2)/2)*CM138+(1-EXP(-LN(2)/2))/(LN(2)/2)*CG139*CJ139*VLOOKUP('Données projet'!$B$12,Paramètres!$A$1:$I$89,3,0)*0.475*44/12</f>
        <v>1.1703961630270356E-4</v>
      </c>
      <c r="CN139" s="22">
        <f t="shared" si="120"/>
        <v>100.40438336442676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6.1378205128205137</v>
      </c>
      <c r="CT139" s="12">
        <f>IF('Données projet'!$A$140&gt;35,CT138+CS139-DB138,IF(A139&lt;'Données projet'!$A$140,$CQ$205^A139,IF(A139='Données projet'!$A$140,'Données projet'!$B$140,CT138+CS139-DB138)))</f>
        <v>302.46153846153805</v>
      </c>
      <c r="CU139" s="17">
        <f>CT139*VLOOKUP('Données projet'!$B$13,Paramètres!$A$1:$I$89,3,0)*VLOOKUP('Données projet'!$B$13,Paramètres!$A$1:$I$89,5,0)</f>
        <v>344.44319999999954</v>
      </c>
      <c r="CV139" s="13">
        <f t="shared" si="149"/>
        <v>80.417244846068613</v>
      </c>
      <c r="CW139" s="20">
        <f t="shared" si="121"/>
        <v>739.96527477356869</v>
      </c>
      <c r="CX139" s="59">
        <f t="shared" si="122"/>
        <v>1024.8148051684539</v>
      </c>
      <c r="CY139" s="59">
        <f ca="1">AVERAGE(OFFSET($CX$3,0,0,'Données projet'!$E$13+1,1))-AVERAGE(OFFSET($H$3,0,0,'Données projet'!$E$13+1,1))</f>
        <v>598.12133208901378</v>
      </c>
      <c r="CZ139" s="59">
        <f t="shared" si="150"/>
        <v>246.23353541360947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60.993416653335458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60.993416653335458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266.99999999999983</v>
      </c>
      <c r="DP139" s="17">
        <f>DO139*VLOOKUP('Données projet'!$B$14,Paramètres!$A$1:$I$89,3,0)*VLOOKUP('Données projet'!$B$14,Paramètres!$A$1:$I$89,5,0)</f>
        <v>212.42519999999985</v>
      </c>
      <c r="DQ139" s="13">
        <f t="shared" si="151"/>
        <v>52.465198231787184</v>
      </c>
      <c r="DR139" s="20">
        <f t="shared" si="124"/>
        <v>461.35077692036231</v>
      </c>
      <c r="DS139" s="59">
        <f t="shared" si="125"/>
        <v>746.20030731524753</v>
      </c>
      <c r="DT139" s="59">
        <f ca="1">AVERAGE(OFFSET($DS$3,0,0,'Données projet'!$E$14+1,1))-AVERAGE(OFFSET($H$3,0,0,'Données projet'!$E$14+1,1))</f>
        <v>323.01113210765487</v>
      </c>
      <c r="DU139" s="59">
        <f t="shared" si="152"/>
        <v>311.68541696405975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9.482756346781974</v>
      </c>
      <c r="EB139" s="21">
        <f>EXP(-LN(2)/25)*EB138+(1-EXP(-LN(2)/25))/(LN(2)/25)*Calculateur!DW139*Calculateur!DY139*VLOOKUP('Données projet'!$B$14,Paramètres!$A$1:$I$89,3,0)*0.475*44/12</f>
        <v>1.7644458991688432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11.247202245950817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337.99164391755608</v>
      </c>
      <c r="T140" s="59">
        <f t="shared" si="142"/>
        <v>421.45428231923393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7.2230769230769285</v>
      </c>
      <c r="AI140" s="13">
        <f>IF('Données projet'!$A$62&gt;35,AI139+AH140-AQ139,IF(A140&lt;'Données projet'!$A$62,$AF$205^A140,IF(A140='Données projet'!$A$62,'Données projet'!$B$62,AI139+AH140-AQ139)))</f>
        <v>410.04230769230708</v>
      </c>
      <c r="AJ140" s="13">
        <f>AI140*VLOOKUP('Données projet'!$B$10,Paramètres!$A$1:$I$89,3,0)*VLOOKUP('Données projet'!$B$10,Paramètres!$A$1:$I$89,5,0)</f>
        <v>415.78289999999942</v>
      </c>
      <c r="AK140" s="13">
        <f t="shared" si="143"/>
        <v>94.969163754304972</v>
      </c>
      <c r="AL140" s="20">
        <f t="shared" si="112"/>
        <v>889.55984437208008</v>
      </c>
      <c r="AM140" s="59">
        <f t="shared" si="113"/>
        <v>1174.5565497810055</v>
      </c>
      <c r="AN140" s="59">
        <f ca="1">AVERAGE(OFFSET($AM$3,0,0,'Données projet'!$E$10+1,1))-AVERAGE(OFFSET($H$3,0,0,'Données projet'!$E$10+1,1))</f>
        <v>596.42822894047072</v>
      </c>
      <c r="AO140" s="59">
        <f t="shared" si="144"/>
        <v>298.31525330951047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70.931182914775903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70.931182914775903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243</v>
      </c>
      <c r="BE140" s="13">
        <f>BD140*VLOOKUP('Données projet'!$B$11,Paramètres!$A$1:$I$89,3,0)*VLOOKUP('Données projet'!$B$11,Paramètres!$A$1:$I$89,5,0)</f>
        <v>253.98360000000002</v>
      </c>
      <c r="BF140" s="13">
        <f t="shared" si="145"/>
        <v>61.438182405444294</v>
      </c>
      <c r="BG140" s="20">
        <f t="shared" si="115"/>
        <v>549.35960435614891</v>
      </c>
      <c r="BH140" s="59">
        <f t="shared" si="116"/>
        <v>834.35630976507423</v>
      </c>
      <c r="BI140" s="59">
        <f ca="1">AVERAGE(OFFSET($BH$3,0,0,'Données projet'!$E$11+1,1))-AVERAGE(OFFSET($H$3,0,0,'Données projet'!$E$11+1,1))</f>
        <v>446.06835300781546</v>
      </c>
      <c r="BJ140" s="59">
        <f t="shared" si="146"/>
        <v>396.46809188573138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15.669695710687343</v>
      </c>
      <c r="BQ140" s="21">
        <f>EXP(-LN(2)/25)*BQ139+(1-EXP(-LN(2)/25))/(LN(2)/25)*Calculateur!BL140*Calculateur!BN140*VLOOKUP('Données projet'!$B$11,Paramètres!$A$1:$I$89,3,0)*0.475*44/12</f>
        <v>6.3866423503969907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22.056338061084332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-3.979039320256561E-13</v>
      </c>
      <c r="BZ140" s="13">
        <f>BY140*VLOOKUP('Données projet'!$B$12,Paramètres!$A$1:$I$89,3,0)*VLOOKUP('Données projet'!$B$12,Paramètres!$A$1:$I$89,5,0)</f>
        <v>-1.8621904018800707E-13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307.52821153421951</v>
      </c>
      <c r="CE140" s="59">
        <f t="shared" si="148"/>
        <v>221.23619018904222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83.090409280162518</v>
      </c>
      <c r="CL140" s="21">
        <f>EXP(-LN(2)/25)*CL139+(1-EXP(-LN(2)/25))/(LN(2)/25)*Calculateur!CG140*Calculateur!CI140*VLOOKUP('Données projet'!$B$12,Paramètres!$A$1:$I$89,3,0)*0.475*44/12</f>
        <v>15.223912689207088</v>
      </c>
      <c r="CM140" s="21">
        <f>EXP(-LN(2)/2)*CM139+(1-EXP(-LN(2)/2))/(LN(2)/2)*CG140*CJ140*VLOOKUP('Données projet'!$B$12,Paramètres!$A$1:$I$89,3,0)*0.475*44/12</f>
        <v>8.2759506355113287E-5</v>
      </c>
      <c r="CN140" s="22">
        <f t="shared" si="120"/>
        <v>98.314404728875957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6.1378205128205137</v>
      </c>
      <c r="CT140" s="12">
        <f>IF('Données projet'!$A$140&gt;35,CT139+CS140-DB139,IF(A140&lt;'Données projet'!$A$140,$CQ$205^A140,IF(A140='Données projet'!$A$140,'Données projet'!$B$140,CT139+CS140-DB139)))</f>
        <v>308.59935897435855</v>
      </c>
      <c r="CU140" s="17">
        <f>CT140*VLOOKUP('Données projet'!$B$13,Paramètres!$A$1:$I$89,3,0)*VLOOKUP('Données projet'!$B$13,Paramètres!$A$1:$I$89,5,0)</f>
        <v>351.43294999999949</v>
      </c>
      <c r="CV140" s="13">
        <f t="shared" si="149"/>
        <v>81.857500325396927</v>
      </c>
      <c r="CW140" s="20">
        <f t="shared" si="121"/>
        <v>754.64753431673216</v>
      </c>
      <c r="CX140" s="59">
        <f t="shared" si="122"/>
        <v>1039.6442397256576</v>
      </c>
      <c r="CY140" s="59">
        <f ca="1">AVERAGE(OFFSET($CX$3,0,0,'Données projet'!$E$13+1,1))-AVERAGE(OFFSET($H$3,0,0,'Données projet'!$E$13+1,1))</f>
        <v>598.12133208901378</v>
      </c>
      <c r="CZ140" s="59">
        <f t="shared" si="150"/>
        <v>246.23353541360947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59.797372955074287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59.797372955074287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266.99999999999983</v>
      </c>
      <c r="DP140" s="17">
        <f>DO140*VLOOKUP('Données projet'!$B$14,Paramètres!$A$1:$I$89,3,0)*VLOOKUP('Données projet'!$B$14,Paramètres!$A$1:$I$89,5,0)</f>
        <v>212.42519999999985</v>
      </c>
      <c r="DQ140" s="13">
        <f t="shared" si="151"/>
        <v>52.465198231787184</v>
      </c>
      <c r="DR140" s="20">
        <f t="shared" si="124"/>
        <v>461.35077692036231</v>
      </c>
      <c r="DS140" s="59">
        <f t="shared" si="125"/>
        <v>746.34748232928769</v>
      </c>
      <c r="DT140" s="59">
        <f ca="1">AVERAGE(OFFSET($DS$3,0,0,'Données projet'!$E$14+1,1))-AVERAGE(OFFSET($H$3,0,0,'Données projet'!$E$14+1,1))</f>
        <v>323.01113210765487</v>
      </c>
      <c r="DU140" s="59">
        <f t="shared" si="152"/>
        <v>311.68541696405975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9.2968052787318367</v>
      </c>
      <c r="EB140" s="21">
        <f>EXP(-LN(2)/25)*EB139+(1-EXP(-LN(2)/25))/(LN(2)/25)*Calculateur!DW140*Calculateur!DY140*VLOOKUP('Données projet'!$B$14,Paramètres!$A$1:$I$89,3,0)*0.475*44/12</f>
        <v>1.716197033267894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11.013002311999731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337.99164391755608</v>
      </c>
      <c r="T141" s="59">
        <f t="shared" si="142"/>
        <v>421.45428231923393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7.2230769230769285</v>
      </c>
      <c r="AI141" s="13">
        <f>IF('Données projet'!$A$62&gt;35,AI140+AH141-AQ140,IF(A141&lt;'Données projet'!$A$62,$AF$205^A141,IF(A141='Données projet'!$A$62,'Données projet'!$B$62,AI140+AH141-AQ140)))</f>
        <v>417.26538461538399</v>
      </c>
      <c r="AJ141" s="13">
        <f>AI141*VLOOKUP('Données projet'!$B$10,Paramètres!$A$1:$I$89,3,0)*VLOOKUP('Données projet'!$B$10,Paramètres!$A$1:$I$89,5,0)</f>
        <v>423.10709999999943</v>
      </c>
      <c r="AK141" s="13">
        <f t="shared" si="143"/>
        <v>96.445853678195647</v>
      </c>
      <c r="AL141" s="20">
        <f t="shared" si="112"/>
        <v>904.88806098952307</v>
      </c>
      <c r="AM141" s="59">
        <f t="shared" si="113"/>
        <v>1190.0293882550291</v>
      </c>
      <c r="AN141" s="59">
        <f ca="1">AVERAGE(OFFSET($AM$3,0,0,'Données projet'!$E$10+1,1))-AVERAGE(OFFSET($H$3,0,0,'Données projet'!$E$10+1,1))</f>
        <v>596.42822894047072</v>
      </c>
      <c r="AO141" s="59">
        <f t="shared" si="144"/>
        <v>298.31525330951047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69.54026568156678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69.54026568156678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243</v>
      </c>
      <c r="BE141" s="13">
        <f>BD141*VLOOKUP('Données projet'!$B$11,Paramètres!$A$1:$I$89,3,0)*VLOOKUP('Données projet'!$B$11,Paramètres!$A$1:$I$89,5,0)</f>
        <v>253.98360000000002</v>
      </c>
      <c r="BF141" s="13">
        <f t="shared" si="145"/>
        <v>61.438182405444294</v>
      </c>
      <c r="BG141" s="20">
        <f t="shared" si="115"/>
        <v>549.35960435614891</v>
      </c>
      <c r="BH141" s="59">
        <f t="shared" si="116"/>
        <v>834.5009316216549</v>
      </c>
      <c r="BI141" s="59">
        <f ca="1">AVERAGE(OFFSET($BH$3,0,0,'Données projet'!$E$11+1,1))-AVERAGE(OFFSET($H$3,0,0,'Données projet'!$E$11+1,1))</f>
        <v>446.06835300781546</v>
      </c>
      <c r="BJ141" s="59">
        <f t="shared" si="146"/>
        <v>396.46809188573138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15.362422535371415</v>
      </c>
      <c r="BQ141" s="21">
        <f>EXP(-LN(2)/25)*BQ140+(1-EXP(-LN(2)/25))/(LN(2)/25)*Calculateur!BL141*Calculateur!BN141*VLOOKUP('Données projet'!$B$11,Paramètres!$A$1:$I$89,3,0)*0.475*44/12</f>
        <v>6.2119992794664602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21.574421814837876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-3.979039320256561E-13</v>
      </c>
      <c r="BZ141" s="13">
        <f>BY141*VLOOKUP('Données projet'!$B$12,Paramètres!$A$1:$I$89,3,0)*VLOOKUP('Données projet'!$B$12,Paramètres!$A$1:$I$89,5,0)</f>
        <v>-1.8621904018800707E-13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307.52821153421951</v>
      </c>
      <c r="CE141" s="59">
        <f t="shared" si="148"/>
        <v>221.23619018904222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81.461057034323943</v>
      </c>
      <c r="CL141" s="21">
        <f>EXP(-LN(2)/25)*CL140+(1-EXP(-LN(2)/25))/(LN(2)/25)*Calculateur!CG141*Calculateur!CI141*VLOOKUP('Données projet'!$B$12,Paramètres!$A$1:$I$89,3,0)*0.475*44/12</f>
        <v>14.807613996129946</v>
      </c>
      <c r="CM141" s="21">
        <f>EXP(-LN(2)/2)*CM140+(1-EXP(-LN(2)/2))/(LN(2)/2)*CG141*CJ141*VLOOKUP('Données projet'!$B$12,Paramètres!$A$1:$I$89,3,0)*0.475*44/12</f>
        <v>5.8519808151351781E-5</v>
      </c>
      <c r="CN141" s="22">
        <f t="shared" si="120"/>
        <v>96.268729550262037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6.1378205128205137</v>
      </c>
      <c r="CT141" s="12">
        <f>IF('Données projet'!$A$140&gt;35,CT140+CS141-DB140,IF(A141&lt;'Données projet'!$A$140,$CQ$205^A141,IF(A141='Données projet'!$A$140,'Données projet'!$B$140,CT140+CS141-DB140)))</f>
        <v>314.73717948717905</v>
      </c>
      <c r="CU141" s="17">
        <f>CT141*VLOOKUP('Données projet'!$B$13,Paramètres!$A$1:$I$89,3,0)*VLOOKUP('Données projet'!$B$13,Paramètres!$A$1:$I$89,5,0)</f>
        <v>358.42269999999951</v>
      </c>
      <c r="CV141" s="13">
        <f t="shared" si="149"/>
        <v>83.294425075510205</v>
      </c>
      <c r="CW141" s="20">
        <f t="shared" si="121"/>
        <v>769.32399283984614</v>
      </c>
      <c r="CX141" s="59">
        <f t="shared" si="122"/>
        <v>1054.465320105352</v>
      </c>
      <c r="CY141" s="59">
        <f ca="1">AVERAGE(OFFSET($CX$3,0,0,'Données projet'!$E$13+1,1))-AVERAGE(OFFSET($H$3,0,0,'Données projet'!$E$13+1,1))</f>
        <v>598.12133208901378</v>
      </c>
      <c r="CZ141" s="59">
        <f t="shared" si="150"/>
        <v>246.23353541360947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58.624782944221394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58.624782944221394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266.99999999999983</v>
      </c>
      <c r="DP141" s="17">
        <f>DO141*VLOOKUP('Données projet'!$B$14,Paramètres!$A$1:$I$89,3,0)*VLOOKUP('Données projet'!$B$14,Paramètres!$A$1:$I$89,5,0)</f>
        <v>212.42519999999985</v>
      </c>
      <c r="DQ141" s="13">
        <f t="shared" si="151"/>
        <v>52.465198231787184</v>
      </c>
      <c r="DR141" s="20">
        <f t="shared" si="124"/>
        <v>461.35077692036231</v>
      </c>
      <c r="DS141" s="59">
        <f t="shared" si="125"/>
        <v>746.49210418586824</v>
      </c>
      <c r="DT141" s="59">
        <f ca="1">AVERAGE(OFFSET($DS$3,0,0,'Données projet'!$E$14+1,1))-AVERAGE(OFFSET($H$3,0,0,'Données projet'!$E$14+1,1))</f>
        <v>323.01113210765487</v>
      </c>
      <c r="DU141" s="59">
        <f t="shared" si="152"/>
        <v>311.68541696405975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9.1145005977072113</v>
      </c>
      <c r="EB141" s="21">
        <f>EXP(-LN(2)/25)*EB140+(1-EXP(-LN(2)/25))/(LN(2)/25)*Calculateur!DW141*Calculateur!DY141*VLOOKUP('Données projet'!$B$14,Paramètres!$A$1:$I$89,3,0)*0.475*44/12</f>
        <v>1.6692675351423039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10.783768132849515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337.99164391755608</v>
      </c>
      <c r="T142" s="59">
        <f t="shared" si="142"/>
        <v>421.45428231923393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7.2230769230769285</v>
      </c>
      <c r="AI142" s="13">
        <f>IF('Données projet'!$A$62&gt;35,AI141+AH142-AQ141,IF(A142&lt;'Données projet'!$A$62,$AF$205^A142,IF(A142='Données projet'!$A$62,'Données projet'!$B$62,AI141+AH142-AQ141)))</f>
        <v>424.48846153846091</v>
      </c>
      <c r="AJ142" s="13">
        <f>AI142*VLOOKUP('Données projet'!$B$10,Paramètres!$A$1:$I$89,3,0)*VLOOKUP('Données projet'!$B$10,Paramètres!$A$1:$I$89,5,0)</f>
        <v>430.4312999999994</v>
      </c>
      <c r="AK142" s="13">
        <f t="shared" si="143"/>
        <v>97.919570994109279</v>
      </c>
      <c r="AL142" s="20">
        <f t="shared" si="112"/>
        <v>920.21110031473916</v>
      </c>
      <c r="AM142" s="59">
        <f t="shared" si="113"/>
        <v>1205.49454057094</v>
      </c>
      <c r="AN142" s="59">
        <f ca="1">AVERAGE(OFFSET($AM$3,0,0,'Données projet'!$E$10+1,1))-AVERAGE(OFFSET($H$3,0,0,'Données projet'!$E$10+1,1))</f>
        <v>596.42822894047072</v>
      </c>
      <c r="AO142" s="59">
        <f t="shared" si="144"/>
        <v>298.31525330951047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68.176623486925152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68.176623486925152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243</v>
      </c>
      <c r="BE142" s="13">
        <f>BD142*VLOOKUP('Données projet'!$B$11,Paramètres!$A$1:$I$89,3,0)*VLOOKUP('Données projet'!$B$11,Paramètres!$A$1:$I$89,5,0)</f>
        <v>253.98360000000002</v>
      </c>
      <c r="BF142" s="13">
        <f t="shared" si="145"/>
        <v>61.438182405444294</v>
      </c>
      <c r="BG142" s="20">
        <f t="shared" si="115"/>
        <v>549.35960435614891</v>
      </c>
      <c r="BH142" s="59">
        <f t="shared" si="116"/>
        <v>834.64304461234974</v>
      </c>
      <c r="BI142" s="59">
        <f ca="1">AVERAGE(OFFSET($BH$3,0,0,'Données projet'!$E$11+1,1))-AVERAGE(OFFSET($H$3,0,0,'Données projet'!$E$11+1,1))</f>
        <v>446.06835300781546</v>
      </c>
      <c r="BJ142" s="59">
        <f t="shared" si="146"/>
        <v>396.46809188573138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15.061174799605302</v>
      </c>
      <c r="BQ142" s="21">
        <f>EXP(-LN(2)/25)*BQ141+(1-EXP(-LN(2)/25))/(LN(2)/25)*Calculateur!BL142*Calculateur!BN142*VLOOKUP('Données projet'!$B$11,Paramètres!$A$1:$I$89,3,0)*0.475*44/12</f>
        <v>6.0421318324946052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21.103306632099908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-3.979039320256561E-13</v>
      </c>
      <c r="BZ142" s="13">
        <f>BY142*VLOOKUP('Données projet'!$B$12,Paramètres!$A$1:$I$89,3,0)*VLOOKUP('Données projet'!$B$12,Paramètres!$A$1:$I$89,5,0)</f>
        <v>-1.8621904018800707E-13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307.52821153421951</v>
      </c>
      <c r="CE142" s="59">
        <f t="shared" si="148"/>
        <v>221.23619018904222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79.863655392219528</v>
      </c>
      <c r="CL142" s="21">
        <f>EXP(-LN(2)/25)*CL141+(1-EXP(-LN(2)/25))/(LN(2)/25)*Calculateur!CG142*Calculateur!CI142*VLOOKUP('Données projet'!$B$12,Paramètres!$A$1:$I$89,3,0)*0.475*44/12</f>
        <v>14.402699012707195</v>
      </c>
      <c r="CM142" s="21">
        <f>EXP(-LN(2)/2)*CM141+(1-EXP(-LN(2)/2))/(LN(2)/2)*CG142*CJ142*VLOOKUP('Données projet'!$B$12,Paramètres!$A$1:$I$89,3,0)*0.475*44/12</f>
        <v>4.1379753177556643E-5</v>
      </c>
      <c r="CN142" s="22">
        <f t="shared" si="120"/>
        <v>94.266395784679887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6.1378205128205137</v>
      </c>
      <c r="CT142" s="12">
        <f>IF('Données projet'!$A$140&gt;35,CT141+CS142-DB141,IF(A142&lt;'Données projet'!$A$140,$CQ$205^A142,IF(A142='Données projet'!$A$140,'Données projet'!$B$140,CT141+CS142-DB141)))</f>
        <v>320.87499999999955</v>
      </c>
      <c r="CU142" s="17">
        <f>CT142*VLOOKUP('Données projet'!$B$13,Paramètres!$A$1:$I$89,3,0)*VLOOKUP('Données projet'!$B$13,Paramètres!$A$1:$I$89,5,0)</f>
        <v>365.41244999999952</v>
      </c>
      <c r="CV142" s="13">
        <f t="shared" si="149"/>
        <v>84.728091538005017</v>
      </c>
      <c r="CW142" s="20">
        <f t="shared" si="121"/>
        <v>783.99477651202449</v>
      </c>
      <c r="CX142" s="59">
        <f t="shared" si="122"/>
        <v>1069.2782167682253</v>
      </c>
      <c r="CY142" s="59">
        <f ca="1">AVERAGE(OFFSET($CX$3,0,0,'Données projet'!$E$13+1,1))-AVERAGE(OFFSET($H$3,0,0,'Données projet'!$E$13+1,1))</f>
        <v>598.12133208901378</v>
      </c>
      <c r="CZ142" s="59">
        <f t="shared" si="150"/>
        <v>246.23353541360947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57.475186708272041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57.475186708272041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266.99999999999983</v>
      </c>
      <c r="DP142" s="17">
        <f>DO142*VLOOKUP('Données projet'!$B$14,Paramètres!$A$1:$I$89,3,0)*VLOOKUP('Données projet'!$B$14,Paramètres!$A$1:$I$89,5,0)</f>
        <v>212.42519999999985</v>
      </c>
      <c r="DQ142" s="13">
        <f t="shared" si="151"/>
        <v>52.465198231787184</v>
      </c>
      <c r="DR142" s="20">
        <f t="shared" si="124"/>
        <v>461.35077692036231</v>
      </c>
      <c r="DS142" s="59">
        <f t="shared" si="125"/>
        <v>746.6342171765632</v>
      </c>
      <c r="DT142" s="59">
        <f ca="1">AVERAGE(OFFSET($DS$3,0,0,'Données projet'!$E$14+1,1))-AVERAGE(OFFSET($H$3,0,0,'Données projet'!$E$14+1,1))</f>
        <v>323.01113210765487</v>
      </c>
      <c r="DU142" s="59">
        <f t="shared" si="152"/>
        <v>311.68541696405975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8.9357708002826026</v>
      </c>
      <c r="EB142" s="21">
        <f>EXP(-LN(2)/25)*EB141+(1-EXP(-LN(2)/25))/(LN(2)/25)*Calculateur!DW142*Calculateur!DY142*VLOOKUP('Données projet'!$B$14,Paramètres!$A$1:$I$89,3,0)*0.475*44/12</f>
        <v>1.623621326610873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10.559392126893476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337.99164391755608</v>
      </c>
      <c r="T143" s="59">
        <f t="shared" si="142"/>
        <v>421.45428231923393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431.71153846153845</v>
      </c>
      <c r="AG143" s="12">
        <f>VLOOKUP(A143,'Données projet'!$A$61:$I$81,9,0)</f>
        <v>7.2230769230769285</v>
      </c>
      <c r="AH143" s="12">
        <f t="array" ref="AH143">INDEX(AG:AG,MIN(IF(ISNUMBER(AG143:AG339),ROW(AG143:AG339),"")))</f>
        <v>7.2230769230769285</v>
      </c>
      <c r="AI143" s="13">
        <f>IF('Données projet'!$A$62&gt;35,AI142+AH143-AQ142,IF(A143&lt;'Données projet'!$A$62,$AF$205^A143,IF(A143='Données projet'!$A$62,'Données projet'!$B$62,AI142+AH143-AQ142)))</f>
        <v>431.71153846153783</v>
      </c>
      <c r="AJ143" s="13">
        <f>AI143*VLOOKUP('Données projet'!$B$10,Paramètres!$A$1:$I$89,3,0)*VLOOKUP('Données projet'!$B$10,Paramètres!$A$1:$I$89,5,0)</f>
        <v>437.75549999999942</v>
      </c>
      <c r="AK143" s="13">
        <f t="shared" si="143"/>
        <v>99.390372121130653</v>
      </c>
      <c r="AL143" s="20">
        <f t="shared" si="112"/>
        <v>935.52906061096826</v>
      </c>
      <c r="AM143" s="59">
        <f t="shared" si="113"/>
        <v>1220.9521485151927</v>
      </c>
      <c r="AN143" s="59">
        <f ca="1">AVERAGE(OFFSET($AM$3,0,0,'Données projet'!$E$10+1,1))-AVERAGE(OFFSET($H$3,0,0,'Données projet'!$E$10+1,1))</f>
        <v>596.42822894047072</v>
      </c>
      <c r="AO143" s="59">
        <f t="shared" si="144"/>
        <v>298.31525330951047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50.467948717948715</v>
      </c>
      <c r="AR143" s="16">
        <f>IF(ISNA(VLOOKUP(A143,'Données projet'!$A$61:$I$81,5,0)),0%,VLOOKUP(A143,'Données projet'!$A$61:$I$81,5,0)*VLOOKUP('Données projet'!$B$10,Paramètres!$A$1:$I$89,7,0))</f>
        <v>0.38700000000000001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88.73304443775811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88.73304443775811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243</v>
      </c>
      <c r="BE143" s="13">
        <f>BD143*VLOOKUP('Données projet'!$B$11,Paramètres!$A$1:$I$89,3,0)*VLOOKUP('Données projet'!$B$11,Paramètres!$A$1:$I$89,5,0)</f>
        <v>253.98360000000002</v>
      </c>
      <c r="BF143" s="13">
        <f t="shared" si="145"/>
        <v>61.438182405444294</v>
      </c>
      <c r="BG143" s="20">
        <f t="shared" si="115"/>
        <v>549.35960435614891</v>
      </c>
      <c r="BH143" s="59">
        <f t="shared" si="116"/>
        <v>834.78269226037332</v>
      </c>
      <c r="BI143" s="59">
        <f ca="1">AVERAGE(OFFSET($BH$3,0,0,'Données projet'!$E$11+1,1))-AVERAGE(OFFSET($H$3,0,0,'Données projet'!$E$11+1,1))</f>
        <v>446.06835300781546</v>
      </c>
      <c r="BJ143" s="59">
        <f t="shared" si="146"/>
        <v>396.46809188573138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14.765834348194588</v>
      </c>
      <c r="BQ143" s="21">
        <f>EXP(-LN(2)/25)*BQ142+(1-EXP(-LN(2)/25))/(LN(2)/25)*Calculateur!BL143*Calculateur!BN143*VLOOKUP('Données projet'!$B$11,Paramètres!$A$1:$I$89,3,0)*0.475*44/12</f>
        <v>5.8769094197931366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20.642743767987724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-3.979039320256561E-13</v>
      </c>
      <c r="BZ143" s="13">
        <f>BY143*VLOOKUP('Données projet'!$B$12,Paramètres!$A$1:$I$89,3,0)*VLOOKUP('Données projet'!$B$12,Paramètres!$A$1:$I$89,5,0)</f>
        <v>-1.8621904018800707E-13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307.52821153421951</v>
      </c>
      <c r="CE143" s="59">
        <f t="shared" si="148"/>
        <v>221.23619018904222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78.297577821997976</v>
      </c>
      <c r="CL143" s="21">
        <f>EXP(-LN(2)/25)*CL142+(1-EXP(-LN(2)/25))/(LN(2)/25)*Calculateur!CG143*Calculateur!CI143*VLOOKUP('Données projet'!$B$12,Paramètres!$A$1:$I$89,3,0)*0.475*44/12</f>
        <v>14.008856450799694</v>
      </c>
      <c r="CM143" s="21">
        <f>EXP(-LN(2)/2)*CM142+(1-EXP(-LN(2)/2))/(LN(2)/2)*CG143*CJ143*VLOOKUP('Données projet'!$B$12,Paramètres!$A$1:$I$89,3,0)*0.475*44/12</f>
        <v>2.925990407567589E-5</v>
      </c>
      <c r="CN143" s="22">
        <f t="shared" si="120"/>
        <v>92.306463532701756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6.1378205128205137</v>
      </c>
      <c r="CT143" s="12">
        <f>IF('Données projet'!$A$140&gt;35,CT142+CS143-DB142,IF(A143&lt;'Données projet'!$A$140,$CQ$205^A143,IF(A143='Données projet'!$A$140,'Données projet'!$B$140,CT142+CS143-DB142)))</f>
        <v>327.01282051282004</v>
      </c>
      <c r="CU143" s="17">
        <f>CT143*VLOOKUP('Données projet'!$B$13,Paramètres!$A$1:$I$89,3,0)*VLOOKUP('Données projet'!$B$13,Paramètres!$A$1:$I$89,5,0)</f>
        <v>372.40219999999943</v>
      </c>
      <c r="CV143" s="13">
        <f t="shared" si="149"/>
        <v>86.158569224529259</v>
      </c>
      <c r="CW143" s="20">
        <f t="shared" si="121"/>
        <v>798.6600063993875</v>
      </c>
      <c r="CX143" s="59">
        <f t="shared" si="122"/>
        <v>1084.0830943036119</v>
      </c>
      <c r="CY143" s="59">
        <f ca="1">AVERAGE(OFFSET($CX$3,0,0,'Données projet'!$E$13+1,1))-AVERAGE(OFFSET($H$3,0,0,'Données projet'!$E$13+1,1))</f>
        <v>598.12133208901378</v>
      </c>
      <c r="CZ143" s="59">
        <f t="shared" si="150"/>
        <v>246.23353541360947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56.348133353325188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56.348133353325188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266.99999999999983</v>
      </c>
      <c r="DP143" s="17">
        <f>DO143*VLOOKUP('Données projet'!$B$14,Paramètres!$A$1:$I$89,3,0)*VLOOKUP('Données projet'!$B$14,Paramètres!$A$1:$I$89,5,0)</f>
        <v>212.42519999999985</v>
      </c>
      <c r="DQ143" s="13">
        <f t="shared" si="151"/>
        <v>52.465198231787184</v>
      </c>
      <c r="DR143" s="20">
        <f t="shared" si="124"/>
        <v>461.35077692036231</v>
      </c>
      <c r="DS143" s="59">
        <f t="shared" si="125"/>
        <v>746.77386482458667</v>
      </c>
      <c r="DT143" s="59">
        <f ca="1">AVERAGE(OFFSET($DS$3,0,0,'Données projet'!$E$14+1,1))-AVERAGE(OFFSET($H$3,0,0,'Données projet'!$E$14+1,1))</f>
        <v>323.01113210765487</v>
      </c>
      <c r="DU143" s="59">
        <f t="shared" si="152"/>
        <v>311.68541696405975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8.7605457851710788</v>
      </c>
      <c r="EB143" s="21">
        <f>EXP(-LN(2)/25)*EB142+(1-EXP(-LN(2)/25))/(LN(2)/25)*Calculateur!DW143*Calculateur!DY143*VLOOKUP('Données projet'!$B$14,Paramètres!$A$1:$I$89,3,0)*0.475*44/12</f>
        <v>1.579223316052164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10.339769101223244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337.99164391755608</v>
      </c>
      <c r="T144" s="59">
        <f t="shared" si="142"/>
        <v>421.45428231923393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7.2314102564102543</v>
      </c>
      <c r="AI144" s="13">
        <f>IF('Données projet'!$A$62&gt;35,AI143+AH144-AQ143,IF(A144&lt;'Données projet'!$A$62,$AF$205^A144,IF(A144='Données projet'!$A$62,'Données projet'!$B$62,AI143+AH144-AQ143)))</f>
        <v>388.47499999999934</v>
      </c>
      <c r="AJ144" s="13">
        <f>AI144*VLOOKUP('Données projet'!$B$10,Paramètres!$A$1:$I$89,3,0)*VLOOKUP('Données projet'!$B$10,Paramètres!$A$1:$I$89,5,0)</f>
        <v>393.91364999999939</v>
      </c>
      <c r="AK144" s="13">
        <f t="shared" si="143"/>
        <v>90.541652215721669</v>
      </c>
      <c r="AL144" s="20">
        <f t="shared" si="112"/>
        <v>843.75965135904744</v>
      </c>
      <c r="AM144" s="59">
        <f t="shared" si="113"/>
        <v>1129.3199643368075</v>
      </c>
      <c r="AN144" s="59">
        <f ca="1">AVERAGE(OFFSET($AM$3,0,0,'Données projet'!$E$10+1,1))-AVERAGE(OFFSET($H$3,0,0,'Données projet'!$E$10+1,1))</f>
        <v>596.42822894047072</v>
      </c>
      <c r="AO144" s="59">
        <f t="shared" si="144"/>
        <v>298.31525330951047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86.993043558146695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86.993043558146695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243</v>
      </c>
      <c r="BE144" s="13">
        <f>BD144*VLOOKUP('Données projet'!$B$11,Paramètres!$A$1:$I$89,3,0)*VLOOKUP('Données projet'!$B$11,Paramètres!$A$1:$I$89,5,0)</f>
        <v>253.98360000000002</v>
      </c>
      <c r="BF144" s="13">
        <f t="shared" si="145"/>
        <v>61.438182405444294</v>
      </c>
      <c r="BG144" s="20">
        <f t="shared" si="115"/>
        <v>549.35960435614891</v>
      </c>
      <c r="BH144" s="59">
        <f t="shared" si="116"/>
        <v>834.91991733390887</v>
      </c>
      <c r="BI144" s="59">
        <f ca="1">AVERAGE(OFFSET($BH$3,0,0,'Données projet'!$E$11+1,1))-AVERAGE(OFFSET($H$3,0,0,'Données projet'!$E$11+1,1))</f>
        <v>446.06835300781546</v>
      </c>
      <c r="BJ144" s="59">
        <f t="shared" si="146"/>
        <v>396.46809188573138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14.47628534289615</v>
      </c>
      <c r="BQ144" s="21">
        <f>EXP(-LN(2)/25)*BQ143+(1-EXP(-LN(2)/25))/(LN(2)/25)*Calculateur!BL144*Calculateur!BN144*VLOOKUP('Données projet'!$B$11,Paramètres!$A$1:$I$89,3,0)*0.475*44/12</f>
        <v>5.7162050226556591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20.192490365551809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-3.979039320256561E-13</v>
      </c>
      <c r="BZ144" s="13">
        <f>BY144*VLOOKUP('Données projet'!$B$12,Paramètres!$A$1:$I$89,3,0)*VLOOKUP('Données projet'!$B$12,Paramètres!$A$1:$I$89,5,0)</f>
        <v>-1.8621904018800707E-13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307.52821153421951</v>
      </c>
      <c r="CE144" s="59">
        <f t="shared" si="148"/>
        <v>221.23619018904222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76.76221007771548</v>
      </c>
      <c r="CL144" s="21">
        <f>EXP(-LN(2)/25)*CL143+(1-EXP(-LN(2)/25))/(LN(2)/25)*Calculateur!CG144*Calculateur!CI144*VLOOKUP('Données projet'!$B$12,Paramètres!$A$1:$I$89,3,0)*0.475*44/12</f>
        <v>13.625783534458833</v>
      </c>
      <c r="CM144" s="21">
        <f>EXP(-LN(2)/2)*CM143+(1-EXP(-LN(2)/2))/(LN(2)/2)*CG144*CJ144*VLOOKUP('Données projet'!$B$12,Paramètres!$A$1:$I$89,3,0)*0.475*44/12</f>
        <v>2.0689876588778322E-5</v>
      </c>
      <c r="CN144" s="22">
        <f t="shared" si="120"/>
        <v>90.388014302050905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6.1378205128205137</v>
      </c>
      <c r="CT144" s="12">
        <f>IF('Données projet'!$A$140&gt;35,CT143+CS144-DB143,IF(A144&lt;'Données projet'!$A$140,$CQ$205^A144,IF(A144='Données projet'!$A$140,'Données projet'!$B$140,CT143+CS144-DB143)))</f>
        <v>333.15064102564054</v>
      </c>
      <c r="CU144" s="17">
        <f>CT144*VLOOKUP('Données projet'!$B$13,Paramètres!$A$1:$I$89,3,0)*VLOOKUP('Données projet'!$B$13,Paramètres!$A$1:$I$89,5,0)</f>
        <v>379.39194999999944</v>
      </c>
      <c r="CV144" s="13">
        <f t="shared" si="149"/>
        <v>87.585924888015953</v>
      </c>
      <c r="CW144" s="20">
        <f t="shared" si="121"/>
        <v>813.31979876329342</v>
      </c>
      <c r="CX144" s="59">
        <f t="shared" si="122"/>
        <v>1098.8801117410535</v>
      </c>
      <c r="CY144" s="59">
        <f ca="1">AVERAGE(OFFSET($CX$3,0,0,'Données projet'!$E$13+1,1))-AVERAGE(OFFSET($H$3,0,0,'Données projet'!$E$13+1,1))</f>
        <v>598.12133208901378</v>
      </c>
      <c r="CZ144" s="59">
        <f t="shared" si="150"/>
        <v>246.23353541360947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55.243180827234177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55.243180827234177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266.99999999999983</v>
      </c>
      <c r="DP144" s="17">
        <f>DO144*VLOOKUP('Données projet'!$B$14,Paramètres!$A$1:$I$89,3,0)*VLOOKUP('Données projet'!$B$14,Paramètres!$A$1:$I$89,5,0)</f>
        <v>212.42519999999985</v>
      </c>
      <c r="DQ144" s="13">
        <f t="shared" si="151"/>
        <v>52.465198231787184</v>
      </c>
      <c r="DR144" s="20">
        <f t="shared" si="124"/>
        <v>461.35077692036231</v>
      </c>
      <c r="DS144" s="59">
        <f t="shared" si="125"/>
        <v>746.91108989812233</v>
      </c>
      <c r="DT144" s="59">
        <f ca="1">AVERAGE(OFFSET($DS$3,0,0,'Données projet'!$E$14+1,1))-AVERAGE(OFFSET($H$3,0,0,'Données projet'!$E$14+1,1))</f>
        <v>323.01113210765487</v>
      </c>
      <c r="DU144" s="59">
        <f t="shared" si="152"/>
        <v>311.68541696405975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8.5887568257291846</v>
      </c>
      <c r="EB144" s="21">
        <f>EXP(-LN(2)/25)*EB143+(1-EXP(-LN(2)/25))/(LN(2)/25)*Calculateur!DW144*Calculateur!DY144*VLOOKUP('Données projet'!$B$14,Paramètres!$A$1:$I$89,3,0)*0.475*44/12</f>
        <v>1.5360393714269729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10.124796197156158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337.99164391755608</v>
      </c>
      <c r="T145" s="59">
        <f t="shared" si="142"/>
        <v>421.45428231923393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7.2314102564102543</v>
      </c>
      <c r="AI145" s="13">
        <f>IF('Données projet'!$A$62&gt;35,AI144+AH145-AQ144,IF(A145&lt;'Données projet'!$A$62,$AF$205^A145,IF(A145='Données projet'!$A$62,'Données projet'!$B$62,AI144+AH145-AQ144)))</f>
        <v>395.70641025640958</v>
      </c>
      <c r="AJ145" s="13">
        <f>AI145*VLOOKUP('Données projet'!$B$10,Paramètres!$A$1:$I$89,3,0)*VLOOKUP('Données projet'!$B$10,Paramètres!$A$1:$I$89,5,0)</f>
        <v>401.24629999999934</v>
      </c>
      <c r="AK145" s="13">
        <f t="shared" si="143"/>
        <v>92.029287654902433</v>
      </c>
      <c r="AL145" s="20">
        <f t="shared" si="112"/>
        <v>859.12164849895373</v>
      </c>
      <c r="AM145" s="59">
        <f t="shared" si="113"/>
        <v>1144.8168060020128</v>
      </c>
      <c r="AN145" s="59">
        <f ca="1">AVERAGE(OFFSET($AM$3,0,0,'Données projet'!$E$10+1,1))-AVERAGE(OFFSET($H$3,0,0,'Données projet'!$E$10+1,1))</f>
        <v>596.42822894047072</v>
      </c>
      <c r="AO145" s="59">
        <f t="shared" si="144"/>
        <v>298.31525330951047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85.287163034488714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85.287163034488714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243</v>
      </c>
      <c r="BE145" s="13">
        <f>BD145*VLOOKUP('Données projet'!$B$11,Paramètres!$A$1:$I$89,3,0)*VLOOKUP('Données projet'!$B$11,Paramètres!$A$1:$I$89,5,0)</f>
        <v>253.98360000000002</v>
      </c>
      <c r="BF145" s="13">
        <f t="shared" si="145"/>
        <v>61.438182405444294</v>
      </c>
      <c r="BG145" s="20">
        <f t="shared" si="115"/>
        <v>549.35960435614891</v>
      </c>
      <c r="BH145" s="59">
        <f t="shared" si="116"/>
        <v>835.05476185920793</v>
      </c>
      <c r="BI145" s="59">
        <f ca="1">AVERAGE(OFFSET($BH$3,0,0,'Données projet'!$E$11+1,1))-AVERAGE(OFFSET($H$3,0,0,'Données projet'!$E$11+1,1))</f>
        <v>446.06835300781546</v>
      </c>
      <c r="BJ145" s="59">
        <f t="shared" si="146"/>
        <v>396.46809188573138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14.192414216984158</v>
      </c>
      <c r="BQ145" s="21">
        <f>EXP(-LN(2)/25)*BQ144+(1-EXP(-LN(2)/25))/(LN(2)/25)*Calculateur!BL145*Calculateur!BN145*VLOOKUP('Données projet'!$B$11,Paramètres!$A$1:$I$89,3,0)*0.475*44/12</f>
        <v>5.5598950957089821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19.752309312693139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-3.979039320256561E-13</v>
      </c>
      <c r="BZ145" s="13">
        <f>BY145*VLOOKUP('Données projet'!$B$12,Paramètres!$A$1:$I$89,3,0)*VLOOKUP('Données projet'!$B$12,Paramètres!$A$1:$I$89,5,0)</f>
        <v>-1.8621904018800707E-13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307.52821153421951</v>
      </c>
      <c r="CE145" s="59">
        <f t="shared" si="148"/>
        <v>221.23619018904222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75.256949958416499</v>
      </c>
      <c r="CL145" s="21">
        <f>EXP(-LN(2)/25)*CL144+(1-EXP(-LN(2)/25))/(LN(2)/25)*Calculateur!CG145*Calculateur!CI145*VLOOKUP('Données projet'!$B$12,Paramètres!$A$1:$I$89,3,0)*0.475*44/12</f>
        <v>13.253185767160243</v>
      </c>
      <c r="CM145" s="21">
        <f>EXP(-LN(2)/2)*CM144+(1-EXP(-LN(2)/2))/(LN(2)/2)*CG145*CJ145*VLOOKUP('Données projet'!$B$12,Paramètres!$A$1:$I$89,3,0)*0.475*44/12</f>
        <v>1.4629952037837945E-5</v>
      </c>
      <c r="CN145" s="22">
        <f t="shared" si="120"/>
        <v>88.510150355528779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6.1378205128205137</v>
      </c>
      <c r="CT145" s="12">
        <f>IF('Données projet'!$A$140&gt;35,CT144+CS145-DB144,IF(A145&lt;'Données projet'!$A$140,$CQ$205^A145,IF(A145='Données projet'!$A$140,'Données projet'!$B$140,CT144+CS145-DB144)))</f>
        <v>339.28846153846104</v>
      </c>
      <c r="CU145" s="17">
        <f>CT145*VLOOKUP('Données projet'!$B$13,Paramètres!$A$1:$I$89,3,0)*VLOOKUP('Données projet'!$B$13,Paramètres!$A$1:$I$89,5,0)</f>
        <v>386.38169999999946</v>
      </c>
      <c r="CV145" s="13">
        <f t="shared" si="149"/>
        <v>89.010222680941197</v>
      </c>
      <c r="CW145" s="20">
        <f t="shared" si="121"/>
        <v>827.97426533597161</v>
      </c>
      <c r="CX145" s="59">
        <f t="shared" si="122"/>
        <v>1113.6694228390306</v>
      </c>
      <c r="CY145" s="59">
        <f ca="1">AVERAGE(OFFSET($CX$3,0,0,'Données projet'!$E$13+1,1))-AVERAGE(OFFSET($H$3,0,0,'Données projet'!$E$13+1,1))</f>
        <v>598.12133208901378</v>
      </c>
      <c r="CZ145" s="59">
        <f t="shared" si="150"/>
        <v>246.23353541360947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54.15989574622531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54.15989574622531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266.99999999999983</v>
      </c>
      <c r="DP145" s="17">
        <f>DO145*VLOOKUP('Données projet'!$B$14,Paramètres!$A$1:$I$89,3,0)*VLOOKUP('Données projet'!$B$14,Paramètres!$A$1:$I$89,5,0)</f>
        <v>212.42519999999985</v>
      </c>
      <c r="DQ145" s="13">
        <f t="shared" si="151"/>
        <v>52.465198231787184</v>
      </c>
      <c r="DR145" s="20">
        <f t="shared" si="124"/>
        <v>461.35077692036231</v>
      </c>
      <c r="DS145" s="59">
        <f t="shared" si="125"/>
        <v>747.04593442342139</v>
      </c>
      <c r="DT145" s="59">
        <f ca="1">AVERAGE(OFFSET($DS$3,0,0,'Données projet'!$E$14+1,1))-AVERAGE(OFFSET($H$3,0,0,'Données projet'!$E$14+1,1))</f>
        <v>323.01113210765487</v>
      </c>
      <c r="DU145" s="59">
        <f t="shared" si="152"/>
        <v>311.68541696405975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8.420336543001028</v>
      </c>
      <c r="EB145" s="21">
        <f>EXP(-LN(2)/25)*EB144+(1-EXP(-LN(2)/25))/(LN(2)/25)*Calculateur!DW145*Calculateur!DY145*VLOOKUP('Données projet'!$B$14,Paramètres!$A$1:$I$89,3,0)*0.475*44/12</f>
        <v>1.4940362940385024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9.9143728370395294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337.99164391755608</v>
      </c>
      <c r="T146" s="59">
        <f t="shared" si="142"/>
        <v>421.45428231923393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7.2314102564102543</v>
      </c>
      <c r="AI146" s="13">
        <f>IF('Données projet'!$A$62&gt;35,AI145+AH146-AQ145,IF(A146&lt;'Données projet'!$A$62,$AF$205^A146,IF(A146='Données projet'!$A$62,'Données projet'!$B$62,AI145+AH146-AQ145)))</f>
        <v>402.93782051281983</v>
      </c>
      <c r="AJ146" s="13">
        <f>AI146*VLOOKUP('Données projet'!$B$10,Paramètres!$A$1:$I$89,3,0)*VLOOKUP('Données projet'!$B$10,Paramètres!$A$1:$I$89,5,0)</f>
        <v>408.57894999999928</v>
      </c>
      <c r="AK146" s="13">
        <f t="shared" si="143"/>
        <v>93.513761812807942</v>
      </c>
      <c r="AL146" s="20">
        <f t="shared" si="112"/>
        <v>874.47813974063922</v>
      </c>
      <c r="AM146" s="59">
        <f t="shared" si="113"/>
        <v>1160.3058025179507</v>
      </c>
      <c r="AN146" s="59">
        <f ca="1">AVERAGE(OFFSET($AM$3,0,0,'Données projet'!$E$10+1,1))-AVERAGE(OFFSET($H$3,0,0,'Données projet'!$E$10+1,1))</f>
        <v>596.42822894047072</v>
      </c>
      <c r="AO146" s="59">
        <f t="shared" si="144"/>
        <v>298.31525330951047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83.61473378741529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83.61473378741529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243</v>
      </c>
      <c r="BE146" s="13">
        <f>BD146*VLOOKUP('Données projet'!$B$11,Paramètres!$A$1:$I$89,3,0)*VLOOKUP('Données projet'!$B$11,Paramètres!$A$1:$I$89,5,0)</f>
        <v>253.98360000000002</v>
      </c>
      <c r="BF146" s="13">
        <f t="shared" si="145"/>
        <v>61.438182405444294</v>
      </c>
      <c r="BG146" s="20">
        <f t="shared" si="115"/>
        <v>549.35960435614891</v>
      </c>
      <c r="BH146" s="59">
        <f t="shared" si="116"/>
        <v>835.18726713346041</v>
      </c>
      <c r="BI146" s="59">
        <f ca="1">AVERAGE(OFFSET($BH$3,0,0,'Données projet'!$E$11+1,1))-AVERAGE(OFFSET($H$3,0,0,'Données projet'!$E$11+1,1))</f>
        <v>446.06835300781546</v>
      </c>
      <c r="BJ146" s="59">
        <f t="shared" si="146"/>
        <v>396.46809188573138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13.914109630707012</v>
      </c>
      <c r="BQ146" s="21">
        <f>EXP(-LN(2)/25)*BQ145+(1-EXP(-LN(2)/25))/(LN(2)/25)*Calculateur!BL146*Calculateur!BN146*VLOOKUP('Données projet'!$B$11,Paramètres!$A$1:$I$89,3,0)*0.475*44/12</f>
        <v>5.4078594719346444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19.321969102641656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-3.979039320256561E-13</v>
      </c>
      <c r="BZ146" s="13">
        <f>BY146*VLOOKUP('Données projet'!$B$12,Paramètres!$A$1:$I$89,3,0)*VLOOKUP('Données projet'!$B$12,Paramètres!$A$1:$I$89,5,0)</f>
        <v>-1.8621904018800707E-13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307.52821153421951</v>
      </c>
      <c r="CE146" s="59">
        <f t="shared" si="148"/>
        <v>221.23619018904222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73.781207071938965</v>
      </c>
      <c r="CL146" s="21">
        <f>EXP(-LN(2)/25)*CL145+(1-EXP(-LN(2)/25))/(LN(2)/25)*Calculateur!CG146*Calculateur!CI146*VLOOKUP('Données projet'!$B$12,Paramètres!$A$1:$I$89,3,0)*0.475*44/12</f>
        <v>12.890776705402498</v>
      </c>
      <c r="CM146" s="21">
        <f>EXP(-LN(2)/2)*CM145+(1-EXP(-LN(2)/2))/(LN(2)/2)*CG146*CJ146*VLOOKUP('Données projet'!$B$12,Paramètres!$A$1:$I$89,3,0)*0.475*44/12</f>
        <v>1.0344938294389161E-5</v>
      </c>
      <c r="CN146" s="22">
        <f t="shared" si="120"/>
        <v>86.671994122279756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6.1378205128205137</v>
      </c>
      <c r="CT146" s="12">
        <f>IF('Données projet'!$A$140&gt;35,CT145+CS146-DB145,IF(A146&lt;'Données projet'!$A$140,$CQ$205^A146,IF(A146='Données projet'!$A$140,'Données projet'!$B$140,CT145+CS146-DB145)))</f>
        <v>345.42628205128153</v>
      </c>
      <c r="CU146" s="17">
        <f>CT146*VLOOKUP('Données projet'!$B$13,Paramètres!$A$1:$I$89,3,0)*VLOOKUP('Données projet'!$B$13,Paramètres!$A$1:$I$89,5,0)</f>
        <v>393.37144999999941</v>
      </c>
      <c r="CV146" s="13">
        <f t="shared" si="149"/>
        <v>90.431524301807116</v>
      </c>
      <c r="CW146" s="20">
        <f t="shared" si="121"/>
        <v>842.62351357564637</v>
      </c>
      <c r="CX146" s="59">
        <f t="shared" si="122"/>
        <v>1128.4511763529579</v>
      </c>
      <c r="CY146" s="59">
        <f ca="1">AVERAGE(OFFSET($CX$3,0,0,'Données projet'!$E$13+1,1))-AVERAGE(OFFSET($H$3,0,0,'Données projet'!$E$13+1,1))</f>
        <v>598.12133208901378</v>
      </c>
      <c r="CZ146" s="59">
        <f t="shared" si="150"/>
        <v>246.23353541360947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53.097853224916371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53.097853224916371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266.99999999999983</v>
      </c>
      <c r="DP146" s="17">
        <f>DO146*VLOOKUP('Données projet'!$B$14,Paramètres!$A$1:$I$89,3,0)*VLOOKUP('Données projet'!$B$14,Paramètres!$A$1:$I$89,5,0)</f>
        <v>212.42519999999985</v>
      </c>
      <c r="DQ146" s="13">
        <f t="shared" si="151"/>
        <v>52.465198231787184</v>
      </c>
      <c r="DR146" s="20">
        <f t="shared" si="124"/>
        <v>461.35077692036231</v>
      </c>
      <c r="DS146" s="59">
        <f t="shared" si="125"/>
        <v>747.17843969767375</v>
      </c>
      <c r="DT146" s="59">
        <f ca="1">AVERAGE(OFFSET($DS$3,0,0,'Données projet'!$E$14+1,1))-AVERAGE(OFFSET($H$3,0,0,'Données projet'!$E$14+1,1))</f>
        <v>323.01113210765487</v>
      </c>
      <c r="DU146" s="59">
        <f t="shared" si="152"/>
        <v>311.68541696405975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8.2552188792909416</v>
      </c>
      <c r="EB146" s="21">
        <f>EXP(-LN(2)/25)*EB145+(1-EXP(-LN(2)/25))/(LN(2)/25)*Calculateur!DW146*Calculateur!DY146*VLOOKUP('Données projet'!$B$14,Paramètres!$A$1:$I$89,3,0)*0.475*44/12</f>
        <v>1.4531817930100654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9.708400672301007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337.99164391755608</v>
      </c>
      <c r="T147" s="59">
        <f t="shared" si="142"/>
        <v>421.45428231923393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7.2314102564102543</v>
      </c>
      <c r="AI147" s="13">
        <f>IF('Données projet'!$A$62&gt;35,AI146+AH147-AQ146,IF(A147&lt;'Données projet'!$A$62,$AF$205^A147,IF(A147='Données projet'!$A$62,'Données projet'!$B$62,AI146+AH147-AQ146)))</f>
        <v>410.16923076923007</v>
      </c>
      <c r="AJ147" s="13">
        <f>AI147*VLOOKUP('Données projet'!$B$10,Paramètres!$A$1:$I$89,3,0)*VLOOKUP('Données projet'!$B$10,Paramètres!$A$1:$I$89,5,0)</f>
        <v>415.91159999999934</v>
      </c>
      <c r="AK147" s="13">
        <f t="shared" si="143"/>
        <v>94.995137968699765</v>
      </c>
      <c r="AL147" s="20">
        <f t="shared" si="112"/>
        <v>889.82923529548418</v>
      </c>
      <c r="AM147" s="59">
        <f t="shared" si="113"/>
        <v>1175.7871046767771</v>
      </c>
      <c r="AN147" s="59">
        <f ca="1">AVERAGE(OFFSET($AM$3,0,0,'Données projet'!$E$10+1,1))-AVERAGE(OFFSET($H$3,0,0,'Données projet'!$E$10+1,1))</f>
        <v>596.42822894047072</v>
      </c>
      <c r="AO147" s="59">
        <f t="shared" si="144"/>
        <v>298.31525330951047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81.975099857795854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81.975099857795854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243</v>
      </c>
      <c r="BE147" s="13">
        <f>BD147*VLOOKUP('Données projet'!$B$11,Paramètres!$A$1:$I$89,3,0)*VLOOKUP('Données projet'!$B$11,Paramètres!$A$1:$I$89,5,0)</f>
        <v>253.98360000000002</v>
      </c>
      <c r="BF147" s="13">
        <f t="shared" si="145"/>
        <v>61.438182405444294</v>
      </c>
      <c r="BG147" s="20">
        <f t="shared" si="115"/>
        <v>549.35960435614891</v>
      </c>
      <c r="BH147" s="59">
        <f t="shared" si="116"/>
        <v>835.31747373744179</v>
      </c>
      <c r="BI147" s="59">
        <f ca="1">AVERAGE(OFFSET($BH$3,0,0,'Données projet'!$E$11+1,1))-AVERAGE(OFFSET($H$3,0,0,'Données projet'!$E$11+1,1))</f>
        <v>446.06835300781546</v>
      </c>
      <c r="BJ147" s="59">
        <f t="shared" si="146"/>
        <v>396.46809188573138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13.641262427617724</v>
      </c>
      <c r="BQ147" s="21">
        <f>EXP(-LN(2)/25)*BQ146+(1-EXP(-LN(2)/25))/(LN(2)/25)*Calculateur!BL147*Calculateur!BN147*VLOOKUP('Données projet'!$B$11,Paramètres!$A$1:$I$89,3,0)*0.475*44/12</f>
        <v>5.2599812702876214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18.901243697905343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-3.979039320256561E-13</v>
      </c>
      <c r="BZ147" s="13">
        <f>BY147*VLOOKUP('Données projet'!$B$12,Paramètres!$A$1:$I$89,3,0)*VLOOKUP('Données projet'!$B$12,Paramètres!$A$1:$I$89,5,0)</f>
        <v>-1.8621904018800707E-13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307.52821153421951</v>
      </c>
      <c r="CE147" s="59">
        <f t="shared" si="148"/>
        <v>221.23619018904222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72.334402603350966</v>
      </c>
      <c r="CL147" s="21">
        <f>EXP(-LN(2)/25)*CL146+(1-EXP(-LN(2)/25))/(LN(2)/25)*Calculateur!CG147*Calculateur!CI147*VLOOKUP('Données projet'!$B$12,Paramètres!$A$1:$I$89,3,0)*0.475*44/12</f>
        <v>12.538277738496783</v>
      </c>
      <c r="CM147" s="21">
        <f>EXP(-LN(2)/2)*CM146+(1-EXP(-LN(2)/2))/(LN(2)/2)*CG147*CJ147*VLOOKUP('Données projet'!$B$12,Paramètres!$A$1:$I$89,3,0)*0.475*44/12</f>
        <v>7.3149760189189726E-6</v>
      </c>
      <c r="CN147" s="22">
        <f t="shared" si="120"/>
        <v>84.872687656823771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351.5641025641026</v>
      </c>
      <c r="CR147" s="12">
        <f>VLOOKUP(A147,'Données projet'!$A$139:$I$159,9,0)</f>
        <v>6.1378205128205137</v>
      </c>
      <c r="CS147" s="12">
        <f t="array" ref="CS147">INDEX(CR:CR,MIN(IF(ISNUMBER(CR147:CR343),ROW(CR147:CR343),"")))</f>
        <v>6.1378205128205137</v>
      </c>
      <c r="CT147" s="12">
        <f>IF('Données projet'!$A$140&gt;35,CT146+CS147-DB146,IF(A147&lt;'Données projet'!$A$140,$CQ$205^A147,IF(A147='Données projet'!$A$140,'Données projet'!$B$140,CT146+CS147-DB146)))</f>
        <v>351.56410256410203</v>
      </c>
      <c r="CU147" s="17">
        <f>CT147*VLOOKUP('Données projet'!$B$13,Paramètres!$A$1:$I$89,3,0)*VLOOKUP('Données projet'!$B$13,Paramètres!$A$1:$I$89,5,0)</f>
        <v>400.36119999999943</v>
      </c>
      <c r="CV147" s="13">
        <f t="shared" si="149"/>
        <v>91.849889130917362</v>
      </c>
      <c r="CW147" s="20">
        <f t="shared" si="121"/>
        <v>857.26764690301331</v>
      </c>
      <c r="CX147" s="59">
        <f t="shared" si="122"/>
        <v>1143.2255162843062</v>
      </c>
      <c r="CY147" s="59">
        <f ca="1">AVERAGE(OFFSET($CX$3,0,0,'Données projet'!$E$13+1,1))-AVERAGE(OFFSET($H$3,0,0,'Données projet'!$E$13+1,1))</f>
        <v>598.12133208901378</v>
      </c>
      <c r="CZ147" s="59">
        <f t="shared" si="150"/>
        <v>246.23353541360947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42.224358974358978</v>
      </c>
      <c r="DC147" s="16">
        <f>IF(ISNA(VLOOKUP(A147,'Données projet'!$A$139:$I$159,5,0)),0%,VLOOKUP(A147,'Données projet'!$A$139:$I$159,5,0)*VLOOKUP('Données projet'!$B$13,Paramètres!$A$1:$I$89,7,0))</f>
        <v>0.38700000000000001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72.628261709710827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72.628261709710827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266.99999999999983</v>
      </c>
      <c r="DP147" s="17">
        <f>DO147*VLOOKUP('Données projet'!$B$14,Paramètres!$A$1:$I$89,3,0)*VLOOKUP('Données projet'!$B$14,Paramètres!$A$1:$I$89,5,0)</f>
        <v>212.42519999999985</v>
      </c>
      <c r="DQ147" s="13">
        <f t="shared" si="151"/>
        <v>52.465198231787184</v>
      </c>
      <c r="DR147" s="20">
        <f t="shared" si="124"/>
        <v>461.35077692036231</v>
      </c>
      <c r="DS147" s="59">
        <f t="shared" si="125"/>
        <v>747.30864630165524</v>
      </c>
      <c r="DT147" s="59">
        <f ca="1">AVERAGE(OFFSET($DS$3,0,0,'Données projet'!$E$14+1,1))-AVERAGE(OFFSET($H$3,0,0,'Données projet'!$E$14+1,1))</f>
        <v>323.01113210765487</v>
      </c>
      <c r="DU147" s="59">
        <f t="shared" si="152"/>
        <v>311.68541696405975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8.0933390722543788</v>
      </c>
      <c r="EB147" s="21">
        <f>EXP(-LN(2)/25)*EB146+(1-EXP(-LN(2)/25))/(LN(2)/25)*Calculateur!DW147*Calculateur!DY147*VLOOKUP('Données projet'!$B$14,Paramètres!$A$1:$I$89,3,0)*0.475*44/12</f>
        <v>1.4134444604606959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9.5067835327150743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337.99164391755608</v>
      </c>
      <c r="T148" s="59">
        <f t="shared" si="142"/>
        <v>421.45428231923393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7.2314102564102543</v>
      </c>
      <c r="AI148" s="13">
        <f>IF('Données projet'!$A$62&gt;35,AI147+AH148-AQ147,IF(A148&lt;'Données projet'!$A$62,$AF$205^A148,IF(A148='Données projet'!$A$62,'Données projet'!$B$62,AI147+AH148-AQ147)))</f>
        <v>417.40064102564031</v>
      </c>
      <c r="AJ148" s="13">
        <f>AI148*VLOOKUP('Données projet'!$B$10,Paramètres!$A$1:$I$89,3,0)*VLOOKUP('Données projet'!$B$10,Paramètres!$A$1:$I$89,5,0)</f>
        <v>423.24424999999928</v>
      </c>
      <c r="AK148" s="13">
        <f t="shared" si="143"/>
        <v>96.473477042769304</v>
      </c>
      <c r="AL148" s="20">
        <f t="shared" si="112"/>
        <v>905.17504126615529</v>
      </c>
      <c r="AM148" s="59">
        <f t="shared" si="113"/>
        <v>1191.2608584579489</v>
      </c>
      <c r="AN148" s="59">
        <f ca="1">AVERAGE(OFFSET($AM$3,0,0,'Données projet'!$E$10+1,1))-AVERAGE(OFFSET($H$3,0,0,'Données projet'!$E$10+1,1))</f>
        <v>596.42822894047072</v>
      </c>
      <c r="AO148" s="59">
        <f t="shared" si="144"/>
        <v>298.31525330951047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80.367618149458309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80.367618149458309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243</v>
      </c>
      <c r="BE148" s="13">
        <f>BD148*VLOOKUP('Données projet'!$B$11,Paramètres!$A$1:$I$89,3,0)*VLOOKUP('Données projet'!$B$11,Paramètres!$A$1:$I$89,5,0)</f>
        <v>253.98360000000002</v>
      </c>
      <c r="BF148" s="13">
        <f t="shared" si="145"/>
        <v>61.438182405444294</v>
      </c>
      <c r="BG148" s="20">
        <f t="shared" si="115"/>
        <v>549.35960435614891</v>
      </c>
      <c r="BH148" s="59">
        <f t="shared" si="116"/>
        <v>835.44542154794249</v>
      </c>
      <c r="BI148" s="59">
        <f ca="1">AVERAGE(OFFSET($BH$3,0,0,'Données projet'!$E$11+1,1))-AVERAGE(OFFSET($H$3,0,0,'Données projet'!$E$11+1,1))</f>
        <v>446.06835300781546</v>
      </c>
      <c r="BJ148" s="59">
        <f t="shared" si="146"/>
        <v>396.46809188573138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13.373765591760655</v>
      </c>
      <c r="BQ148" s="21">
        <f>EXP(-LN(2)/25)*BQ147+(1-EXP(-LN(2)/25))/(LN(2)/25)*Calculateur!BL148*Calculateur!BN148*VLOOKUP('Données projet'!$B$11,Paramètres!$A$1:$I$89,3,0)*0.475*44/12</f>
        <v>5.116146805841213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18.48991239760187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-3.979039320256561E-13</v>
      </c>
      <c r="BZ148" s="13">
        <f>BY148*VLOOKUP('Données projet'!$B$12,Paramètres!$A$1:$I$89,3,0)*VLOOKUP('Données projet'!$B$12,Paramètres!$A$1:$I$89,5,0)</f>
        <v>-1.8621904018800707E-13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307.52821153421951</v>
      </c>
      <c r="CE148" s="59">
        <f t="shared" si="148"/>
        <v>221.23619018904222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70.915969087928389</v>
      </c>
      <c r="CL148" s="21">
        <f>EXP(-LN(2)/25)*CL147+(1-EXP(-LN(2)/25))/(LN(2)/25)*Calculateur!CG148*Calculateur!CI148*VLOOKUP('Données projet'!$B$12,Paramètres!$A$1:$I$89,3,0)*0.475*44/12</f>
        <v>12.195417874378219</v>
      </c>
      <c r="CM148" s="21">
        <f>EXP(-LN(2)/2)*CM147+(1-EXP(-LN(2)/2))/(LN(2)/2)*CG148*CJ148*VLOOKUP('Données projet'!$B$12,Paramètres!$A$1:$I$89,3,0)*0.475*44/12</f>
        <v>5.1724691471945804E-6</v>
      </c>
      <c r="CN148" s="22">
        <f t="shared" si="120"/>
        <v>83.111392134775755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6.2499999999999947</v>
      </c>
      <c r="CT148" s="12">
        <f>IF('Données projet'!$A$140&gt;35,CT147+CS148-DB147,IF(A148&lt;'Données projet'!$A$140,$CQ$205^A148,IF(A148='Données projet'!$A$140,'Données projet'!$B$140,CT147+CS148-DB147)))</f>
        <v>315.58974358974308</v>
      </c>
      <c r="CU148" s="17">
        <f>CT148*VLOOKUP('Données projet'!$B$13,Paramètres!$A$1:$I$89,3,0)*VLOOKUP('Données projet'!$B$13,Paramètres!$A$1:$I$89,5,0)</f>
        <v>359.39359999999942</v>
      </c>
      <c r="CV148" s="13">
        <f t="shared" si="149"/>
        <v>83.493759465704045</v>
      </c>
      <c r="CW148" s="20">
        <f t="shared" si="121"/>
        <v>771.36215106943348</v>
      </c>
      <c r="CX148" s="59">
        <f t="shared" si="122"/>
        <v>1057.4479682612271</v>
      </c>
      <c r="CY148" s="59">
        <f ca="1">AVERAGE(OFFSET($CX$3,0,0,'Données projet'!$E$13+1,1))-AVERAGE(OFFSET($H$3,0,0,'Données projet'!$E$13+1,1))</f>
        <v>598.12133208901378</v>
      </c>
      <c r="CZ148" s="59">
        <f t="shared" si="150"/>
        <v>246.23353541360947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71.204065796448887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71.204065796448887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266.99999999999983</v>
      </c>
      <c r="DP148" s="17">
        <f>DO148*VLOOKUP('Données projet'!$B$14,Paramètres!$A$1:$I$89,3,0)*VLOOKUP('Données projet'!$B$14,Paramètres!$A$1:$I$89,5,0)</f>
        <v>212.42519999999985</v>
      </c>
      <c r="DQ148" s="13">
        <f t="shared" si="151"/>
        <v>52.465198231787184</v>
      </c>
      <c r="DR148" s="20">
        <f t="shared" si="124"/>
        <v>461.35077692036231</v>
      </c>
      <c r="DS148" s="59">
        <f t="shared" si="125"/>
        <v>747.43659411215594</v>
      </c>
      <c r="DT148" s="59">
        <f ca="1">AVERAGE(OFFSET($DS$3,0,0,'Données projet'!$E$14+1,1))-AVERAGE(OFFSET($H$3,0,0,'Données projet'!$E$14+1,1))</f>
        <v>323.01113210765487</v>
      </c>
      <c r="DU148" s="59">
        <f t="shared" si="152"/>
        <v>311.68541696405975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7.9346336294968705</v>
      </c>
      <c r="EB148" s="21">
        <f>EXP(-LN(2)/25)*EB147+(1-EXP(-LN(2)/25))/(LN(2)/25)*Calculateur!DW148*Calculateur!DY148*VLOOKUP('Données projet'!$B$14,Paramètres!$A$1:$I$89,3,0)*0.475*44/12</f>
        <v>1.3747937473595846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9.3094273768564548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337.99164391755608</v>
      </c>
      <c r="T149" s="59">
        <f t="shared" si="142"/>
        <v>421.45428231923393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7.2314102564102543</v>
      </c>
      <c r="AI149" s="13">
        <f>IF('Données projet'!$A$62&gt;35,AI148+AH149-AQ148,IF(A149&lt;'Données projet'!$A$62,$AF$205^A149,IF(A149='Données projet'!$A$62,'Données projet'!$B$62,AI148+AH149-AQ148)))</f>
        <v>424.63205128205055</v>
      </c>
      <c r="AJ149" s="13">
        <f>AI149*VLOOKUP('Données projet'!$B$10,Paramètres!$A$1:$I$89,3,0)*VLOOKUP('Données projet'!$B$10,Paramètres!$A$1:$I$89,5,0)</f>
        <v>430.57689999999928</v>
      </c>
      <c r="AK149" s="13">
        <f t="shared" si="143"/>
        <v>97.948837723403983</v>
      </c>
      <c r="AL149" s="20">
        <f t="shared" si="112"/>
        <v>920.51565986826063</v>
      </c>
      <c r="AM149" s="59">
        <f t="shared" si="113"/>
        <v>1206.7272052620913</v>
      </c>
      <c r="AN149" s="59">
        <f ca="1">AVERAGE(OFFSET($AM$3,0,0,'Données projet'!$E$10+1,1))-AVERAGE(OFFSET($H$3,0,0,'Données projet'!$E$10+1,1))</f>
        <v>596.42822894047072</v>
      </c>
      <c r="AO149" s="59">
        <f t="shared" si="144"/>
        <v>298.31525330951047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78.791658176954243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78.791658176954243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243</v>
      </c>
      <c r="BE149" s="13">
        <f>BD149*VLOOKUP('Données projet'!$B$11,Paramètres!$A$1:$I$89,3,0)*VLOOKUP('Données projet'!$B$11,Paramètres!$A$1:$I$89,5,0)</f>
        <v>253.98360000000002</v>
      </c>
      <c r="BF149" s="13">
        <f t="shared" si="145"/>
        <v>61.438182405444294</v>
      </c>
      <c r="BG149" s="20">
        <f t="shared" si="115"/>
        <v>549.35960435614891</v>
      </c>
      <c r="BH149" s="59">
        <f t="shared" si="116"/>
        <v>835.57114974997955</v>
      </c>
      <c r="BI149" s="59">
        <f ca="1">AVERAGE(OFFSET($BH$3,0,0,'Données projet'!$E$11+1,1))-AVERAGE(OFFSET($H$3,0,0,'Données projet'!$E$11+1,1))</f>
        <v>446.06835300781546</v>
      </c>
      <c r="BJ149" s="59">
        <f t="shared" si="146"/>
        <v>396.46809188573138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13.111514205697784</v>
      </c>
      <c r="BQ149" s="21">
        <f>EXP(-LN(2)/25)*BQ148+(1-EXP(-LN(2)/25))/(LN(2)/25)*Calculateur!BL149*Calculateur!BN149*VLOOKUP('Données projet'!$B$11,Paramètres!$A$1:$I$89,3,0)*0.475*44/12</f>
        <v>4.976245502389018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18.0877597080868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-3.979039320256561E-13</v>
      </c>
      <c r="BZ149" s="13">
        <f>BY149*VLOOKUP('Données projet'!$B$12,Paramètres!$A$1:$I$89,3,0)*VLOOKUP('Données projet'!$B$12,Paramètres!$A$1:$I$89,5,0)</f>
        <v>-1.8621904018800707E-13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307.52821153421951</v>
      </c>
      <c r="CE149" s="59">
        <f t="shared" si="148"/>
        <v>221.23619018904222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69.525350188584227</v>
      </c>
      <c r="CL149" s="21">
        <f>EXP(-LN(2)/25)*CL148+(1-EXP(-LN(2)/25))/(LN(2)/25)*Calculateur!CG149*Calculateur!CI149*VLOOKUP('Données projet'!$B$12,Paramètres!$A$1:$I$89,3,0)*0.475*44/12</f>
        <v>11.861933531274193</v>
      </c>
      <c r="CM149" s="21">
        <f>EXP(-LN(2)/2)*CM148+(1-EXP(-LN(2)/2))/(LN(2)/2)*CG149*CJ149*VLOOKUP('Données projet'!$B$12,Paramètres!$A$1:$I$89,3,0)*0.475*44/12</f>
        <v>3.6574880094594863E-6</v>
      </c>
      <c r="CN149" s="22">
        <f t="shared" si="120"/>
        <v>81.387287377346425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6.2499999999999947</v>
      </c>
      <c r="CT149" s="12">
        <f>IF('Données projet'!$A$140&gt;35,CT148+CS149-DB148,IF(A149&lt;'Données projet'!$A$140,$CQ$205^A149,IF(A149='Données projet'!$A$140,'Données projet'!$B$140,CT148+CS149-DB148)))</f>
        <v>321.83974358974308</v>
      </c>
      <c r="CU149" s="17">
        <f>CT149*VLOOKUP('Données projet'!$B$13,Paramètres!$A$1:$I$89,3,0)*VLOOKUP('Données projet'!$B$13,Paramètres!$A$1:$I$89,5,0)</f>
        <v>366.51109999999943</v>
      </c>
      <c r="CV149" s="13">
        <f t="shared" si="149"/>
        <v>84.953143723565461</v>
      </c>
      <c r="CW149" s="20">
        <f t="shared" si="121"/>
        <v>786.30022448520879</v>
      </c>
      <c r="CX149" s="59">
        <f t="shared" si="122"/>
        <v>1072.5117698790395</v>
      </c>
      <c r="CY149" s="59">
        <f ca="1">AVERAGE(OFFSET($CX$3,0,0,'Données projet'!$E$13+1,1))-AVERAGE(OFFSET($H$3,0,0,'Données projet'!$E$13+1,1))</f>
        <v>598.12133208901378</v>
      </c>
      <c r="CZ149" s="59">
        <f t="shared" si="150"/>
        <v>246.23353541360947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69.807797496372288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69.807797496372288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266.99999999999983</v>
      </c>
      <c r="DP149" s="17">
        <f>DO149*VLOOKUP('Données projet'!$B$14,Paramètres!$A$1:$I$89,3,0)*VLOOKUP('Données projet'!$B$14,Paramètres!$A$1:$I$89,5,0)</f>
        <v>212.42519999999985</v>
      </c>
      <c r="DQ149" s="13">
        <f t="shared" si="151"/>
        <v>52.465198231787184</v>
      </c>
      <c r="DR149" s="20">
        <f t="shared" si="124"/>
        <v>461.35077692036231</v>
      </c>
      <c r="DS149" s="59">
        <f t="shared" si="125"/>
        <v>747.5623223141929</v>
      </c>
      <c r="DT149" s="59">
        <f ca="1">AVERAGE(OFFSET($DS$3,0,0,'Données projet'!$E$14+1,1))-AVERAGE(OFFSET($H$3,0,0,'Données projet'!$E$14+1,1))</f>
        <v>323.01113210765487</v>
      </c>
      <c r="DU149" s="59">
        <f t="shared" si="152"/>
        <v>311.68541696405975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7.7790403036710751</v>
      </c>
      <c r="EB149" s="21">
        <f>EXP(-LN(2)/25)*EB148+(1-EXP(-LN(2)/25))/(LN(2)/25)*Calculateur!DW149*Calculateur!DY149*VLOOKUP('Données projet'!$B$14,Paramètres!$A$1:$I$89,3,0)*0.475*44/12</f>
        <v>1.3371999400407757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9.1162402437118502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337.99164391755608</v>
      </c>
      <c r="T150" s="59">
        <f t="shared" si="142"/>
        <v>421.45428231923393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7.2314102564102543</v>
      </c>
      <c r="AI150" s="13">
        <f>IF('Données projet'!$A$62&gt;35,AI149+AH150-AQ149,IF(A150&lt;'Données projet'!$A$62,$AF$205^A150,IF(A150='Données projet'!$A$62,'Données projet'!$B$62,AI149+AH150-AQ149)))</f>
        <v>431.8634615384608</v>
      </c>
      <c r="AJ150" s="13">
        <f>AI150*VLOOKUP('Données projet'!$B$10,Paramètres!$A$1:$I$89,3,0)*VLOOKUP('Données projet'!$B$10,Paramètres!$A$1:$I$89,5,0)</f>
        <v>437.90954999999934</v>
      </c>
      <c r="AK150" s="13">
        <f t="shared" si="143"/>
        <v>99.421276585538109</v>
      </c>
      <c r="AL150" s="20">
        <f t="shared" si="112"/>
        <v>935.85118963647767</v>
      </c>
      <c r="AM150" s="59">
        <f t="shared" si="113"/>
        <v>1222.1862821291261</v>
      </c>
      <c r="AN150" s="59">
        <f ca="1">AVERAGE(OFFSET($AM$3,0,0,'Données projet'!$E$10+1,1))-AVERAGE(OFFSET($H$3,0,0,'Données projet'!$E$10+1,1))</f>
        <v>596.42822894047072</v>
      </c>
      <c r="AO150" s="59">
        <f t="shared" si="144"/>
        <v>298.31525330951047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77.246601818270307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77.246601818270307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243</v>
      </c>
      <c r="BE150" s="13">
        <f>BD150*VLOOKUP('Données projet'!$B$11,Paramètres!$A$1:$I$89,3,0)*VLOOKUP('Données projet'!$B$11,Paramètres!$A$1:$I$89,5,0)</f>
        <v>253.98360000000002</v>
      </c>
      <c r="BF150" s="13">
        <f t="shared" si="145"/>
        <v>61.438182405444294</v>
      </c>
      <c r="BG150" s="20">
        <f t="shared" si="115"/>
        <v>549.35960435614891</v>
      </c>
      <c r="BH150" s="59">
        <f t="shared" si="116"/>
        <v>835.69469684879732</v>
      </c>
      <c r="BI150" s="59">
        <f ca="1">AVERAGE(OFFSET($BH$3,0,0,'Données projet'!$E$11+1,1))-AVERAGE(OFFSET($H$3,0,0,'Données projet'!$E$11+1,1))</f>
        <v>446.06835300781546</v>
      </c>
      <c r="BJ150" s="59">
        <f t="shared" si="146"/>
        <v>396.46809188573138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12.854405409358055</v>
      </c>
      <c r="BQ150" s="21">
        <f>EXP(-LN(2)/25)*BQ149+(1-EXP(-LN(2)/25))/(LN(2)/25)*Calculateur!BL150*Calculateur!BN150*VLOOKUP('Données projet'!$B$11,Paramètres!$A$1:$I$89,3,0)*0.475*44/12</f>
        <v>4.8401698074368129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17.694575216794867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-3.979039320256561E-13</v>
      </c>
      <c r="BZ150" s="13">
        <f>BY150*VLOOKUP('Données projet'!$B$12,Paramètres!$A$1:$I$89,3,0)*VLOOKUP('Données projet'!$B$12,Paramètres!$A$1:$I$89,5,0)</f>
        <v>-1.8621904018800707E-13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307.52821153421951</v>
      </c>
      <c r="CE150" s="59">
        <f t="shared" si="148"/>
        <v>221.23619018904222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68.162000477662431</v>
      </c>
      <c r="CL150" s="21">
        <f>EXP(-LN(2)/25)*CL149+(1-EXP(-LN(2)/25))/(LN(2)/25)*Calculateur!CG150*Calculateur!CI150*VLOOKUP('Données projet'!$B$12,Paramètres!$A$1:$I$89,3,0)*0.475*44/12</f>
        <v>11.537568335069526</v>
      </c>
      <c r="CM150" s="21">
        <f>EXP(-LN(2)/2)*CM149+(1-EXP(-LN(2)/2))/(LN(2)/2)*CG150*CJ150*VLOOKUP('Données projet'!$B$12,Paramètres!$A$1:$I$89,3,0)*0.475*44/12</f>
        <v>2.5862345735972902E-6</v>
      </c>
      <c r="CN150" s="22">
        <f t="shared" si="120"/>
        <v>79.699571398966526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6.2499999999999947</v>
      </c>
      <c r="CT150" s="12">
        <f>IF('Données projet'!$A$140&gt;35,CT149+CS150-DB149,IF(A150&lt;'Données projet'!$A$140,$CQ$205^A150,IF(A150='Données projet'!$A$140,'Données projet'!$B$140,CT149+CS150-DB149)))</f>
        <v>328.08974358974308</v>
      </c>
      <c r="CU150" s="17">
        <f>CT150*VLOOKUP('Données projet'!$B$13,Paramètres!$A$1:$I$89,3,0)*VLOOKUP('Données projet'!$B$13,Paramètres!$A$1:$I$89,5,0)</f>
        <v>373.62859999999944</v>
      </c>
      <c r="CV150" s="13">
        <f t="shared" si="149"/>
        <v>86.409232634964496</v>
      </c>
      <c r="CW150" s="20">
        <f t="shared" si="121"/>
        <v>801.23255850589555</v>
      </c>
      <c r="CX150" s="59">
        <f t="shared" si="122"/>
        <v>1087.567650998544</v>
      </c>
      <c r="CY150" s="59">
        <f ca="1">AVERAGE(OFFSET($CX$3,0,0,'Données projet'!$E$13+1,1))-AVERAGE(OFFSET($H$3,0,0,'Données projet'!$E$13+1,1))</f>
        <v>598.12133208901378</v>
      </c>
      <c r="CZ150" s="59">
        <f t="shared" si="150"/>
        <v>246.23353541360947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68.438909166020622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68.438909166020622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266.99999999999983</v>
      </c>
      <c r="DP150" s="17">
        <f>DO150*VLOOKUP('Données projet'!$B$14,Paramètres!$A$1:$I$89,3,0)*VLOOKUP('Données projet'!$B$14,Paramètres!$A$1:$I$89,5,0)</f>
        <v>212.42519999999985</v>
      </c>
      <c r="DQ150" s="13">
        <f t="shared" si="151"/>
        <v>52.465198231787184</v>
      </c>
      <c r="DR150" s="20">
        <f t="shared" si="124"/>
        <v>461.35077692036231</v>
      </c>
      <c r="DS150" s="59">
        <f t="shared" si="125"/>
        <v>747.68586941301078</v>
      </c>
      <c r="DT150" s="59">
        <f ca="1">AVERAGE(OFFSET($DS$3,0,0,'Données projet'!$E$14+1,1))-AVERAGE(OFFSET($H$3,0,0,'Données projet'!$E$14+1,1))</f>
        <v>323.01113210765487</v>
      </c>
      <c r="DU150" s="59">
        <f t="shared" si="152"/>
        <v>311.68541696405975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7.6264980680621655</v>
      </c>
      <c r="EB150" s="21">
        <f>EXP(-LN(2)/25)*EB149+(1-EXP(-LN(2)/25))/(LN(2)/25)*Calculateur!DW150*Calculateur!DY150*VLOOKUP('Données projet'!$B$14,Paramètres!$A$1:$I$89,3,0)*0.475*44/12</f>
        <v>1.3006341373600721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8.9271322054222377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337.99164391755608</v>
      </c>
      <c r="T151" s="59">
        <f t="shared" si="142"/>
        <v>421.45428231923393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7.2314102564102543</v>
      </c>
      <c r="AI151" s="13">
        <f>IF('Données projet'!$A$62&gt;35,AI150+AH151-AQ150,IF(A151&lt;'Données projet'!$A$62,$AF$205^A151,IF(A151='Données projet'!$A$62,'Données projet'!$B$62,AI150+AH151-AQ150)))</f>
        <v>439.09487179487104</v>
      </c>
      <c r="AJ151" s="13">
        <f>AI151*VLOOKUP('Données projet'!$B$10,Paramètres!$A$1:$I$89,3,0)*VLOOKUP('Données projet'!$B$10,Paramètres!$A$1:$I$89,5,0)</f>
        <v>445.24219999999923</v>
      </c>
      <c r="AK151" s="13">
        <f t="shared" si="143"/>
        <v>100.89084820085311</v>
      </c>
      <c r="AL151" s="20">
        <f t="shared" si="112"/>
        <v>951.18172561648464</v>
      </c>
      <c r="AM151" s="59">
        <f t="shared" si="113"/>
        <v>1237.6382219419963</v>
      </c>
      <c r="AN151" s="59">
        <f ca="1">AVERAGE(OFFSET($AM$3,0,0,'Données projet'!$E$10+1,1))-AVERAGE(OFFSET($H$3,0,0,'Données projet'!$E$10+1,1))</f>
        <v>596.42822894047072</v>
      </c>
      <c r="AO151" s="59">
        <f t="shared" si="144"/>
        <v>298.31525330951047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75.731843072388841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75.731843072388841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243</v>
      </c>
      <c r="BE151" s="13">
        <f>BD151*VLOOKUP('Données projet'!$B$11,Paramètres!$A$1:$I$89,3,0)*VLOOKUP('Données projet'!$B$11,Paramètres!$A$1:$I$89,5,0)</f>
        <v>253.98360000000002</v>
      </c>
      <c r="BF151" s="13">
        <f t="shared" si="145"/>
        <v>61.438182405444294</v>
      </c>
      <c r="BG151" s="20">
        <f t="shared" si="115"/>
        <v>549.35960435614891</v>
      </c>
      <c r="BH151" s="59">
        <f t="shared" si="116"/>
        <v>835.8161006816606</v>
      </c>
      <c r="BI151" s="59">
        <f ca="1">AVERAGE(OFFSET($BH$3,0,0,'Données projet'!$E$11+1,1))-AVERAGE(OFFSET($H$3,0,0,'Données projet'!$E$11+1,1))</f>
        <v>446.06835300781546</v>
      </c>
      <c r="BJ151" s="59">
        <f t="shared" si="146"/>
        <v>396.46809188573138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12.602338359693666</v>
      </c>
      <c r="BQ151" s="21">
        <f>EXP(-LN(2)/25)*BQ150+(1-EXP(-LN(2)/25))/(LN(2)/25)*Calculateur!BL151*Calculateur!BN151*VLOOKUP('Données projet'!$B$11,Paramètres!$A$1:$I$89,3,0)*0.475*44/12</f>
        <v>4.7078151095189851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17.310153469212651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-3.979039320256561E-13</v>
      </c>
      <c r="BZ151" s="13">
        <f>BY151*VLOOKUP('Données projet'!$B$12,Paramètres!$A$1:$I$89,3,0)*VLOOKUP('Données projet'!$B$12,Paramètres!$A$1:$I$89,5,0)</f>
        <v>-1.8621904018800707E-13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307.52821153421951</v>
      </c>
      <c r="CE151" s="59">
        <f t="shared" si="148"/>
        <v>221.23619018904222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66.825385223010599</v>
      </c>
      <c r="CL151" s="21">
        <f>EXP(-LN(2)/25)*CL150+(1-EXP(-LN(2)/25))/(LN(2)/25)*Calculateur!CG151*Calculateur!CI151*VLOOKUP('Données projet'!$B$12,Paramètres!$A$1:$I$89,3,0)*0.475*44/12</f>
        <v>11.222072922212702</v>
      </c>
      <c r="CM151" s="21">
        <f>EXP(-LN(2)/2)*CM150+(1-EXP(-LN(2)/2))/(LN(2)/2)*CG151*CJ151*VLOOKUP('Données projet'!$B$12,Paramètres!$A$1:$I$89,3,0)*0.475*44/12</f>
        <v>1.8287440047297432E-6</v>
      </c>
      <c r="CN151" s="22">
        <f t="shared" si="120"/>
        <v>78.047459973967307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6.2499999999999947</v>
      </c>
      <c r="CT151" s="12">
        <f>IF('Données projet'!$A$140&gt;35,CT150+CS151-DB150,IF(A151&lt;'Données projet'!$A$140,$CQ$205^A151,IF(A151='Données projet'!$A$140,'Données projet'!$B$140,CT150+CS151-DB150)))</f>
        <v>334.33974358974308</v>
      </c>
      <c r="CU151" s="17">
        <f>CT151*VLOOKUP('Données projet'!$B$13,Paramètres!$A$1:$I$89,3,0)*VLOOKUP('Données projet'!$B$13,Paramètres!$A$1:$I$89,5,0)</f>
        <v>380.74609999999944</v>
      </c>
      <c r="CV151" s="13">
        <f t="shared" si="149"/>
        <v>87.862096213089302</v>
      </c>
      <c r="CW151" s="20">
        <f t="shared" si="121"/>
        <v>816.1592750711294</v>
      </c>
      <c r="CX151" s="59">
        <f t="shared" si="122"/>
        <v>1102.6157713966411</v>
      </c>
      <c r="CY151" s="59">
        <f ca="1">AVERAGE(OFFSET($CX$3,0,0,'Données projet'!$E$13+1,1))-AVERAGE(OFFSET($H$3,0,0,'Données projet'!$E$13+1,1))</f>
        <v>598.12133208901378</v>
      </c>
      <c r="CZ151" s="59">
        <f t="shared" si="150"/>
        <v>246.23353541360947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67.096863900887712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67.096863900887712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266.99999999999983</v>
      </c>
      <c r="DP151" s="17">
        <f>DO151*VLOOKUP('Données projet'!$B$14,Paramètres!$A$1:$I$89,3,0)*VLOOKUP('Données projet'!$B$14,Paramètres!$A$1:$I$89,5,0)</f>
        <v>212.42519999999985</v>
      </c>
      <c r="DQ151" s="13">
        <f t="shared" si="151"/>
        <v>52.465198231787184</v>
      </c>
      <c r="DR151" s="20">
        <f t="shared" si="124"/>
        <v>461.35077692036231</v>
      </c>
      <c r="DS151" s="59">
        <f t="shared" si="125"/>
        <v>747.80727324587406</v>
      </c>
      <c r="DT151" s="59">
        <f ca="1">AVERAGE(OFFSET($DS$3,0,0,'Données projet'!$E$14+1,1))-AVERAGE(OFFSET($H$3,0,0,'Données projet'!$E$14+1,1))</f>
        <v>323.01113210765487</v>
      </c>
      <c r="DU151" s="59">
        <f t="shared" si="152"/>
        <v>311.68541696405975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7.4769470926519706</v>
      </c>
      <c r="EB151" s="21">
        <f>EXP(-LN(2)/25)*EB150+(1-EXP(-LN(2)/25))/(LN(2)/25)*Calculateur!DW151*Calculateur!DY151*VLOOKUP('Données projet'!$B$14,Paramètres!$A$1:$I$89,3,0)*0.475*44/12</f>
        <v>1.2650682284765842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8.7420153211285552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337.99164391755608</v>
      </c>
      <c r="T152" s="59">
        <f t="shared" si="142"/>
        <v>421.45428231923393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7.2314102564102543</v>
      </c>
      <c r="AI152" s="13">
        <f>IF('Données projet'!$A$62&gt;35,AI151+AH152-AQ151,IF(A152&lt;'Données projet'!$A$62,$AF$205^A152,IF(A152='Données projet'!$A$62,'Données projet'!$B$62,AI151+AH152-AQ151)))</f>
        <v>446.32628205128128</v>
      </c>
      <c r="AJ152" s="13">
        <f>AI152*VLOOKUP('Données projet'!$B$10,Paramètres!$A$1:$I$89,3,0)*VLOOKUP('Données projet'!$B$10,Paramètres!$A$1:$I$89,5,0)</f>
        <v>452.57484999999929</v>
      </c>
      <c r="AK152" s="13">
        <f t="shared" si="143"/>
        <v>102.35760524051102</v>
      </c>
      <c r="AL152" s="20">
        <f t="shared" si="112"/>
        <v>966.50735954388858</v>
      </c>
      <c r="AM152" s="59">
        <f t="shared" si="113"/>
        <v>1253.0831536171818</v>
      </c>
      <c r="AN152" s="59">
        <f ca="1">AVERAGE(OFFSET($AM$3,0,0,'Données projet'!$E$10+1,1))-AVERAGE(OFFSET($H$3,0,0,'Données projet'!$E$10+1,1))</f>
        <v>596.42822894047072</v>
      </c>
      <c r="AO152" s="59">
        <f t="shared" si="144"/>
        <v>298.31525330951047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74.246787821602496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74.246787821602496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243</v>
      </c>
      <c r="BE152" s="13">
        <f>BD152*VLOOKUP('Données projet'!$B$11,Paramètres!$A$1:$I$89,3,0)*VLOOKUP('Données projet'!$B$11,Paramètres!$A$1:$I$89,5,0)</f>
        <v>253.98360000000002</v>
      </c>
      <c r="BF152" s="13">
        <f t="shared" si="145"/>
        <v>61.438182405444294</v>
      </c>
      <c r="BG152" s="20">
        <f t="shared" si="115"/>
        <v>549.35960435614891</v>
      </c>
      <c r="BH152" s="59">
        <f t="shared" si="116"/>
        <v>835.93539842944199</v>
      </c>
      <c r="BI152" s="59">
        <f ca="1">AVERAGE(OFFSET($BH$3,0,0,'Données projet'!$E$11+1,1))-AVERAGE(OFFSET($H$3,0,0,'Données projet'!$E$11+1,1))</f>
        <v>446.06835300781546</v>
      </c>
      <c r="BJ152" s="59">
        <f t="shared" si="146"/>
        <v>396.46809188573138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12.355214191127478</v>
      </c>
      <c r="BQ152" s="21">
        <f>EXP(-LN(2)/25)*BQ151+(1-EXP(-LN(2)/25))/(LN(2)/25)*Calculateur!BL152*Calculateur!BN152*VLOOKUP('Données projet'!$B$11,Paramètres!$A$1:$I$89,3,0)*0.475*44/12</f>
        <v>4.5790796577759521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16.93429384890343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-3.979039320256561E-13</v>
      </c>
      <c r="BZ152" s="13">
        <f>BY152*VLOOKUP('Données projet'!$B$12,Paramètres!$A$1:$I$89,3,0)*VLOOKUP('Données projet'!$B$12,Paramètres!$A$1:$I$89,5,0)</f>
        <v>-1.8621904018800707E-13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307.52821153421951</v>
      </c>
      <c r="CE152" s="59">
        <f t="shared" si="148"/>
        <v>221.23619018904222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65.514980178247683</v>
      </c>
      <c r="CL152" s="21">
        <f>EXP(-LN(2)/25)*CL151+(1-EXP(-LN(2)/25))/(LN(2)/25)*Calculateur!CG152*Calculateur!CI152*VLOOKUP('Données projet'!$B$12,Paramètres!$A$1:$I$89,3,0)*0.475*44/12</f>
        <v>10.915204748011629</v>
      </c>
      <c r="CM152" s="21">
        <f>EXP(-LN(2)/2)*CM151+(1-EXP(-LN(2)/2))/(LN(2)/2)*CG152*CJ152*VLOOKUP('Données projet'!$B$12,Paramètres!$A$1:$I$89,3,0)*0.475*44/12</f>
        <v>1.2931172867986451E-6</v>
      </c>
      <c r="CN152" s="22">
        <f t="shared" si="120"/>
        <v>76.430186219376608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6.2499999999999947</v>
      </c>
      <c r="CT152" s="12">
        <f>IF('Données projet'!$A$140&gt;35,CT151+CS152-DB151,IF(A152&lt;'Données projet'!$A$140,$CQ$205^A152,IF(A152='Données projet'!$A$140,'Données projet'!$B$140,CT151+CS152-DB151)))</f>
        <v>340.58974358974308</v>
      </c>
      <c r="CU152" s="17">
        <f>CT152*VLOOKUP('Données projet'!$B$13,Paramètres!$A$1:$I$89,3,0)*VLOOKUP('Données projet'!$B$13,Paramètres!$A$1:$I$89,5,0)</f>
        <v>387.86359999999945</v>
      </c>
      <c r="CV152" s="13">
        <f t="shared" si="149"/>
        <v>89.311801703721812</v>
      </c>
      <c r="CW152" s="20">
        <f t="shared" si="121"/>
        <v>831.08049130064774</v>
      </c>
      <c r="CX152" s="59">
        <f t="shared" si="122"/>
        <v>1117.6562853739408</v>
      </c>
      <c r="CY152" s="59">
        <f ca="1">AVERAGE(OFFSET($CX$3,0,0,'Données projet'!$E$13+1,1))-AVERAGE(OFFSET($H$3,0,0,'Données projet'!$E$13+1,1))</f>
        <v>598.12133208901378</v>
      </c>
      <c r="CZ152" s="59">
        <f t="shared" si="150"/>
        <v>246.23353541360947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65.781135324837265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65.781135324837265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266.99999999999983</v>
      </c>
      <c r="DP152" s="17">
        <f>DO152*VLOOKUP('Données projet'!$B$14,Paramètres!$A$1:$I$89,3,0)*VLOOKUP('Données projet'!$B$14,Paramètres!$A$1:$I$89,5,0)</f>
        <v>212.42519999999985</v>
      </c>
      <c r="DQ152" s="13">
        <f t="shared" si="151"/>
        <v>52.465198231787184</v>
      </c>
      <c r="DR152" s="20">
        <f t="shared" si="124"/>
        <v>461.35077692036231</v>
      </c>
      <c r="DS152" s="59">
        <f t="shared" si="125"/>
        <v>747.92657099365533</v>
      </c>
      <c r="DT152" s="59">
        <f ca="1">AVERAGE(OFFSET($DS$3,0,0,'Données projet'!$E$14+1,1))-AVERAGE(OFFSET($H$3,0,0,'Données projet'!$E$14+1,1))</f>
        <v>323.01113210765487</v>
      </c>
      <c r="DU152" s="59">
        <f t="shared" si="152"/>
        <v>311.68541696405975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7.3303287206524814</v>
      </c>
      <c r="EB152" s="21">
        <f>EXP(-LN(2)/25)*EB151+(1-EXP(-LN(2)/25))/(LN(2)/25)*Calculateur!DW152*Calculateur!DY152*VLOOKUP('Données projet'!$B$14,Paramètres!$A$1:$I$89,3,0)*0.475*44/12</f>
        <v>1.2304748712418452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8.5608035918943273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337.99164391755608</v>
      </c>
      <c r="T153" s="59">
        <f t="shared" si="142"/>
        <v>421.45428231923393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453.55769230769226</v>
      </c>
      <c r="AG153" s="12">
        <f>VLOOKUP(A153,'Données projet'!$A$61:$I$81,9,0)</f>
        <v>7.2314102564102543</v>
      </c>
      <c r="AH153" s="12">
        <f t="array" ref="AH153">INDEX(AG:AG,MIN(IF(ISNUMBER(AG153:AG349),ROW(AG153:AG349),"")))</f>
        <v>7.2314102564102543</v>
      </c>
      <c r="AI153" s="13">
        <f>IF('Données projet'!$A$62&gt;35,AI152+AH153-AQ152,IF(A153&lt;'Données projet'!$A$62,$AF$205^A153,IF(A153='Données projet'!$A$62,'Données projet'!$B$62,AI152+AH153-AQ152)))</f>
        <v>453.55769230769153</v>
      </c>
      <c r="AJ153" s="13">
        <f>AI153*VLOOKUP('Données projet'!$B$10,Paramètres!$A$1:$I$89,3,0)*VLOOKUP('Données projet'!$B$10,Paramètres!$A$1:$I$89,5,0)</f>
        <v>459.90749999999923</v>
      </c>
      <c r="AK153" s="13">
        <f t="shared" si="143"/>
        <v>103.82159857104273</v>
      </c>
      <c r="AL153" s="20">
        <f t="shared" si="112"/>
        <v>981.82818001123132</v>
      </c>
      <c r="AM153" s="59">
        <f t="shared" si="113"/>
        <v>1268.5212022830917</v>
      </c>
      <c r="AN153" s="59">
        <f ca="1">AVERAGE(OFFSET($AM$3,0,0,'Données projet'!$E$10+1,1))-AVERAGE(OFFSET($H$3,0,0,'Données projet'!$E$10+1,1))</f>
        <v>596.42822894047072</v>
      </c>
      <c r="AO153" s="59">
        <f t="shared" si="144"/>
        <v>298.31525330951047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174.87820512820511</v>
      </c>
      <c r="AR153" s="16">
        <f>IF(ISNA(VLOOKUP(A153,'Données projet'!$A$61:$I$81,5,0)),0%,VLOOKUP(A153,'Données projet'!$A$61:$I$81,5,0)*VLOOKUP('Données projet'!$B$10,Paramètres!$A$1:$I$89,7,0))</f>
        <v>0.38700000000000001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148.65415138865842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148.65415138865842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243</v>
      </c>
      <c r="BE153" s="13">
        <f>BD153*VLOOKUP('Données projet'!$B$11,Paramètres!$A$1:$I$89,3,0)*VLOOKUP('Données projet'!$B$11,Paramètres!$A$1:$I$89,5,0)</f>
        <v>253.98360000000002</v>
      </c>
      <c r="BF153" s="13">
        <f t="shared" si="145"/>
        <v>61.438182405444294</v>
      </c>
      <c r="BG153" s="20">
        <f t="shared" si="115"/>
        <v>549.35960435614891</v>
      </c>
      <c r="BH153" s="59">
        <f t="shared" si="116"/>
        <v>836.05262662800919</v>
      </c>
      <c r="BI153" s="59">
        <f ca="1">AVERAGE(OFFSET($BH$3,0,0,'Données projet'!$E$11+1,1))-AVERAGE(OFFSET($H$3,0,0,'Données projet'!$E$11+1,1))</f>
        <v>446.06835300781546</v>
      </c>
      <c r="BJ153" s="59">
        <f t="shared" si="146"/>
        <v>396.46809188573138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12.112935976776013</v>
      </c>
      <c r="BQ153" s="21">
        <f>EXP(-LN(2)/25)*BQ152+(1-EXP(-LN(2)/25))/(LN(2)/25)*Calculateur!BL153*Calculateur!BN153*VLOOKUP('Données projet'!$B$11,Paramètres!$A$1:$I$89,3,0)*0.475*44/12</f>
        <v>4.4538644837307348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16.566800460506748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-3.979039320256561E-13</v>
      </c>
      <c r="BZ153" s="13">
        <f>BY153*VLOOKUP('Données projet'!$B$12,Paramètres!$A$1:$I$89,3,0)*VLOOKUP('Données projet'!$B$12,Paramètres!$A$1:$I$89,5,0)</f>
        <v>-1.8621904018800707E-13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307.52821153421951</v>
      </c>
      <c r="CE153" s="59">
        <f t="shared" si="148"/>
        <v>221.23619018904222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64.230271377144419</v>
      </c>
      <c r="CL153" s="21">
        <f>EXP(-LN(2)/25)*CL152+(1-EXP(-LN(2)/25))/(LN(2)/25)*Calculateur!CG153*Calculateur!CI153*VLOOKUP('Données projet'!$B$12,Paramètres!$A$1:$I$89,3,0)*0.475*44/12</f>
        <v>10.616727900171581</v>
      </c>
      <c r="CM153" s="21">
        <f>EXP(-LN(2)/2)*CM152+(1-EXP(-LN(2)/2))/(LN(2)/2)*CG153*CJ153*VLOOKUP('Données projet'!$B$12,Paramètres!$A$1:$I$89,3,0)*0.475*44/12</f>
        <v>9.1437200236487158E-7</v>
      </c>
      <c r="CN153" s="22">
        <f t="shared" si="120"/>
        <v>74.847000191688011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6.2499999999999947</v>
      </c>
      <c r="CT153" s="12">
        <f>IF('Données projet'!$A$140&gt;35,CT152+CS153-DB152,IF(A153&lt;'Données projet'!$A$140,$CQ$205^A153,IF(A153='Données projet'!$A$140,'Données projet'!$B$140,CT152+CS153-DB152)))</f>
        <v>346.83974358974308</v>
      </c>
      <c r="CU153" s="17">
        <f>CT153*VLOOKUP('Données projet'!$B$13,Paramètres!$A$1:$I$89,3,0)*VLOOKUP('Données projet'!$B$13,Paramètres!$A$1:$I$89,5,0)</f>
        <v>394.98109999999946</v>
      </c>
      <c r="CV153" s="13">
        <f t="shared" si="149"/>
        <v>90.758413743364883</v>
      </c>
      <c r="CW153" s="20">
        <f t="shared" si="121"/>
        <v>845.99631976969283</v>
      </c>
      <c r="CX153" s="59">
        <f t="shared" si="122"/>
        <v>1132.6893420415531</v>
      </c>
      <c r="CY153" s="59">
        <f ca="1">AVERAGE(OFFSET($CX$3,0,0,'Données projet'!$E$13+1,1))-AVERAGE(OFFSET($H$3,0,0,'Données projet'!$E$13+1,1))</f>
        <v>598.12133208901378</v>
      </c>
      <c r="CZ153" s="59">
        <f t="shared" si="150"/>
        <v>246.23353541360947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64.491207383647989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64.491207383647989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266.99999999999983</v>
      </c>
      <c r="DP153" s="17">
        <f>DO153*VLOOKUP('Données projet'!$B$14,Paramètres!$A$1:$I$89,3,0)*VLOOKUP('Données projet'!$B$14,Paramètres!$A$1:$I$89,5,0)</f>
        <v>212.42519999999985</v>
      </c>
      <c r="DQ153" s="13">
        <f t="shared" si="151"/>
        <v>52.465198231787184</v>
      </c>
      <c r="DR153" s="20">
        <f t="shared" si="124"/>
        <v>461.35077692036231</v>
      </c>
      <c r="DS153" s="59">
        <f t="shared" si="125"/>
        <v>748.04379919222265</v>
      </c>
      <c r="DT153" s="59">
        <f ca="1">AVERAGE(OFFSET($DS$3,0,0,'Données projet'!$E$14+1,1))-AVERAGE(OFFSET($H$3,0,0,'Données projet'!$E$14+1,1))</f>
        <v>323.01113210765487</v>
      </c>
      <c r="DU153" s="59">
        <f t="shared" si="152"/>
        <v>311.68541696405975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7.1865854454995253</v>
      </c>
      <c r="EB153" s="21">
        <f>EXP(-LN(2)/25)*EB152+(1-EXP(-LN(2)/25))/(LN(2)/25)*Calculateur!DW153*Calculateur!DY153*VLOOKUP('Données projet'!$B$14,Paramètres!$A$1:$I$89,3,0)*0.475*44/12</f>
        <v>1.1968274711798756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8.3834129166794007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337.99164391755608</v>
      </c>
      <c r="T154" s="59">
        <f t="shared" si="142"/>
        <v>421.45428231923393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4.7414529914530021</v>
      </c>
      <c r="AI154" s="13">
        <f>IF('Données projet'!$A$62&gt;35,AI153+AH154-AQ153,IF(A154&lt;'Données projet'!$A$62,$AF$205^A154,IF(A154='Données projet'!$A$62,'Données projet'!$B$62,AI153+AH154-AQ153)))</f>
        <v>283.42094017093939</v>
      </c>
      <c r="AJ154" s="13">
        <f>AI154*VLOOKUP('Données projet'!$B$10,Paramètres!$A$1:$I$89,3,0)*VLOOKUP('Données projet'!$B$10,Paramètres!$A$1:$I$89,5,0)</f>
        <v>287.38883333333257</v>
      </c>
      <c r="AK154" s="13">
        <f t="shared" ref="AK154:AK203" si="164">EXP(-1.0587+0.8836*LN(AJ154)+0.284)</f>
        <v>68.526106850724588</v>
      </c>
      <c r="AL154" s="20">
        <f t="shared" ref="AL154:AL203" si="165">(AJ154+AK154)*0.475*44/12</f>
        <v>619.88518748723288</v>
      </c>
      <c r="AM154" s="59">
        <f t="shared" si="113"/>
        <v>906.69340431049818</v>
      </c>
      <c r="AN154" s="59">
        <f ca="1">AVERAGE(OFFSET($AM$3,0,0,'Données projet'!$E$10+1,1))-AVERAGE(OFFSET($H$3,0,0,'Données projet'!$E$10+1,1))</f>
        <v>596.42822894047072</v>
      </c>
      <c r="AO154" s="59">
        <f t="shared" si="144"/>
        <v>298.31525330951047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145.73913415000624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145.73913415000624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243</v>
      </c>
      <c r="BE154" s="13">
        <f>BD154*VLOOKUP('Données projet'!$B$11,Paramètres!$A$1:$I$89,3,0)*VLOOKUP('Données projet'!$B$11,Paramètres!$A$1:$I$89,5,0)</f>
        <v>253.98360000000002</v>
      </c>
      <c r="BF154" s="13">
        <f t="shared" ref="BF154:BF203" si="167">EXP(-1.0587+0.8836*LN(BE154)+0.284)</f>
        <v>61.438182405444294</v>
      </c>
      <c r="BG154" s="20">
        <f t="shared" ref="BG154:BG203" si="168">(BE154+BF154)*0.475*44/12</f>
        <v>549.35960435614891</v>
      </c>
      <c r="BH154" s="59">
        <f t="shared" si="116"/>
        <v>836.1678211794142</v>
      </c>
      <c r="BI154" s="59">
        <f ca="1">AVERAGE(OFFSET($BH$3,0,0,'Données projet'!$E$11+1,1))-AVERAGE(OFFSET($H$3,0,0,'Données projet'!$E$11+1,1))</f>
        <v>446.06835300781546</v>
      </c>
      <c r="BJ154" s="59">
        <f t="shared" si="146"/>
        <v>396.46809188573138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11.875408690432861</v>
      </c>
      <c r="BQ154" s="21">
        <f>EXP(-LN(2)/25)*BQ153+(1-EXP(-LN(2)/25))/(LN(2)/25)*Calculateur!BL154*Calculateur!BN154*VLOOKUP('Données projet'!$B$11,Paramètres!$A$1:$I$89,3,0)*0.475*44/12</f>
        <v>4.332073325204564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16.207482015637424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-3.979039320256561E-13</v>
      </c>
      <c r="BZ154" s="13">
        <f>BY154*VLOOKUP('Données projet'!$B$12,Paramètres!$A$1:$I$89,3,0)*VLOOKUP('Données projet'!$B$12,Paramètres!$A$1:$I$89,5,0)</f>
        <v>-1.8621904018800707E-13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307.52821153421951</v>
      </c>
      <c r="CE154" s="59">
        <f t="shared" si="148"/>
        <v>221.23619018904222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62.970754932035788</v>
      </c>
      <c r="CL154" s="21">
        <f>EXP(-LN(2)/25)*CL153+(1-EXP(-LN(2)/25))/(LN(2)/25)*Calculateur!CG154*Calculateur!CI154*VLOOKUP('Données projet'!$B$12,Paramètres!$A$1:$I$89,3,0)*0.475*44/12</f>
        <v>10.326412917431934</v>
      </c>
      <c r="CM154" s="21">
        <f>EXP(-LN(2)/2)*CM153+(1-EXP(-LN(2)/2))/(LN(2)/2)*CG154*CJ154*VLOOKUP('Données projet'!$B$12,Paramètres!$A$1:$I$89,3,0)*0.475*44/12</f>
        <v>6.4655864339932255E-7</v>
      </c>
      <c r="CN154" s="22">
        <f t="shared" ref="CN154:CN203" si="172">SUM(CK154:CM154)</f>
        <v>73.297168496026373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6.2499999999999947</v>
      </c>
      <c r="CT154" s="12">
        <f>IF('Données projet'!$A$140&gt;35,CT153+CS154-DB153,IF(A154&lt;'Données projet'!$A$140,$CQ$205^A154,IF(A154='Données projet'!$A$140,'Données projet'!$B$140,CT153+CS154-DB153)))</f>
        <v>353.08974358974308</v>
      </c>
      <c r="CU154" s="17">
        <f>CT154*VLOOKUP('Données projet'!$B$13,Paramètres!$A$1:$I$89,3,0)*VLOOKUP('Données projet'!$B$13,Paramètres!$A$1:$I$89,5,0)</f>
        <v>402.09859999999941</v>
      </c>
      <c r="CV154" s="13">
        <f t="shared" ref="CV154:CV203" si="173">EXP(-1.0587+0.8836*LN(CU154)+0.284)</f>
        <v>92.20199450564985</v>
      </c>
      <c r="CW154" s="20">
        <f t="shared" ref="CW154:CW203" si="174">(CU154+CV154)*0.475*44/12</f>
        <v>860.90686876400571</v>
      </c>
      <c r="CX154" s="59">
        <f t="shared" si="122"/>
        <v>1147.715085587271</v>
      </c>
      <c r="CY154" s="59">
        <f ca="1">AVERAGE(OFFSET($CX$3,0,0,'Données projet'!$E$13+1,1))-AVERAGE(OFFSET($H$3,0,0,'Données projet'!$E$13+1,1))</f>
        <v>598.12133208901378</v>
      </c>
      <c r="CZ154" s="59">
        <f t="shared" si="150"/>
        <v>246.23353541360947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63.22657414260707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63.22657414260707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266.99999999999983</v>
      </c>
      <c r="DP154" s="17">
        <f>DO154*VLOOKUP('Données projet'!$B$14,Paramètres!$A$1:$I$89,3,0)*VLOOKUP('Données projet'!$B$14,Paramètres!$A$1:$I$89,5,0)</f>
        <v>212.42519999999985</v>
      </c>
      <c r="DQ154" s="13">
        <f t="shared" ref="DQ154:DQ203" si="176">EXP(-1.0587+0.8836*LN(DP154)+0.284)</f>
        <v>52.465198231787184</v>
      </c>
      <c r="DR154" s="20">
        <f t="shared" ref="DR154:DR203" si="177">(DP154+DQ154)*0.475*44/12</f>
        <v>461.35077692036231</v>
      </c>
      <c r="DS154" s="59">
        <f t="shared" si="125"/>
        <v>748.15899374362766</v>
      </c>
      <c r="DT154" s="59">
        <f ca="1">AVERAGE(OFFSET($DS$3,0,0,'Données projet'!$E$14+1,1))-AVERAGE(OFFSET($H$3,0,0,'Données projet'!$E$14+1,1))</f>
        <v>323.01113210765487</v>
      </c>
      <c r="DU154" s="59">
        <f t="shared" si="152"/>
        <v>311.68541696405975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7.0456608882975784</v>
      </c>
      <c r="EB154" s="21">
        <f>EXP(-LN(2)/25)*EB153+(1-EXP(-LN(2)/25))/(LN(2)/25)*Calculateur!DW154*Calculateur!DY154*VLOOKUP('Données projet'!$B$14,Paramètres!$A$1:$I$89,3,0)*0.475*44/12</f>
        <v>1.1641001610420407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8.2097610493396189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337.99164391755608</v>
      </c>
      <c r="T155" s="59">
        <f t="shared" si="142"/>
        <v>421.45428231923393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4.7414529914530021</v>
      </c>
      <c r="AI155" s="13">
        <f>IF('Données projet'!$A$62&gt;35,AI154+AH155-AQ154,IF(A155&lt;'Données projet'!$A$62,$AF$205^A155,IF(A155='Données projet'!$A$62,'Données projet'!$B$62,AI154+AH155-AQ154)))</f>
        <v>288.16239316239239</v>
      </c>
      <c r="AJ155" s="13">
        <f>AI155*VLOOKUP('Données projet'!$B$10,Paramètres!$A$1:$I$89,3,0)*VLOOKUP('Données projet'!$B$10,Paramètres!$A$1:$I$89,5,0)</f>
        <v>292.19666666666592</v>
      </c>
      <c r="AK155" s="13">
        <f t="shared" si="164"/>
        <v>69.538084304041874</v>
      </c>
      <c r="AL155" s="20">
        <f t="shared" si="165"/>
        <v>630.02135794064941</v>
      </c>
      <c r="AM155" s="59">
        <f t="shared" si="113"/>
        <v>916.94277094738936</v>
      </c>
      <c r="AN155" s="59">
        <f ca="1">AVERAGE(OFFSET($AM$3,0,0,'Données projet'!$E$10+1,1))-AVERAGE(OFFSET($H$3,0,0,'Données projet'!$E$10+1,1))</f>
        <v>596.42822894047072</v>
      </c>
      <c r="AO155" s="59">
        <f t="shared" si="144"/>
        <v>298.31525330951047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142.88127862141909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142.88127862141909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243</v>
      </c>
      <c r="BE155" s="13">
        <f>BD155*VLOOKUP('Données projet'!$B$11,Paramètres!$A$1:$I$89,3,0)*VLOOKUP('Données projet'!$B$11,Paramètres!$A$1:$I$89,5,0)</f>
        <v>253.98360000000002</v>
      </c>
      <c r="BF155" s="13">
        <f t="shared" si="167"/>
        <v>61.438182405444294</v>
      </c>
      <c r="BG155" s="20">
        <f t="shared" si="168"/>
        <v>549.35960435614891</v>
      </c>
      <c r="BH155" s="59">
        <f t="shared" si="116"/>
        <v>836.28101736288886</v>
      </c>
      <c r="BI155" s="59">
        <f ca="1">AVERAGE(OFFSET($BH$3,0,0,'Données projet'!$E$11+1,1))-AVERAGE(OFFSET($H$3,0,0,'Données projet'!$E$11+1,1))</f>
        <v>446.06835300781546</v>
      </c>
      <c r="BJ155" s="59">
        <f t="shared" si="146"/>
        <v>396.46809188573138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11.642539169297558</v>
      </c>
      <c r="BQ155" s="21">
        <f>EXP(-LN(2)/25)*BQ154+(1-EXP(-LN(2)/25))/(LN(2)/25)*Calculateur!BL155*Calculateur!BN155*VLOOKUP('Données projet'!$B$11,Paramètres!$A$1:$I$89,3,0)*0.475*44/12</f>
        <v>4.2136125523130099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15.856151721610569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-3.979039320256561E-13</v>
      </c>
      <c r="BZ155" s="13">
        <f>BY155*VLOOKUP('Données projet'!$B$12,Paramètres!$A$1:$I$89,3,0)*VLOOKUP('Données projet'!$B$12,Paramètres!$A$1:$I$89,5,0)</f>
        <v>-1.8621904018800707E-13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307.52821153421951</v>
      </c>
      <c r="CE155" s="59">
        <f t="shared" si="148"/>
        <v>221.23619018904222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61.735936836186561</v>
      </c>
      <c r="CL155" s="21">
        <f>EXP(-LN(2)/25)*CL154+(1-EXP(-LN(2)/25))/(LN(2)/25)*Calculateur!CG155*Calculateur!CI155*VLOOKUP('Données projet'!$B$12,Paramètres!$A$1:$I$89,3,0)*0.475*44/12</f>
        <v>10.044036613162303</v>
      </c>
      <c r="CM155" s="21">
        <f>EXP(-LN(2)/2)*CM154+(1-EXP(-LN(2)/2))/(LN(2)/2)*CG155*CJ155*VLOOKUP('Données projet'!$B$12,Paramètres!$A$1:$I$89,3,0)*0.475*44/12</f>
        <v>4.5718600118243579E-7</v>
      </c>
      <c r="CN155" s="22">
        <f t="shared" si="172"/>
        <v>71.779973906534863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6.2499999999999947</v>
      </c>
      <c r="CT155" s="12">
        <f>IF('Données projet'!$A$140&gt;35,CT154+CS155-DB154,IF(A155&lt;'Données projet'!$A$140,$CQ$205^A155,IF(A155='Données projet'!$A$140,'Données projet'!$B$140,CT154+CS155-DB154)))</f>
        <v>359.33974358974308</v>
      </c>
      <c r="CU155" s="17">
        <f>CT155*VLOOKUP('Données projet'!$B$13,Paramètres!$A$1:$I$89,3,0)*VLOOKUP('Données projet'!$B$13,Paramètres!$A$1:$I$89,5,0)</f>
        <v>409.21609999999941</v>
      </c>
      <c r="CV155" s="13">
        <f t="shared" si="173"/>
        <v>93.642603837084664</v>
      </c>
      <c r="CW155" s="20">
        <f t="shared" si="174"/>
        <v>875.81224251625474</v>
      </c>
      <c r="CX155" s="59">
        <f t="shared" si="122"/>
        <v>1162.7336555229947</v>
      </c>
      <c r="CY155" s="59">
        <f ca="1">AVERAGE(OFFSET($CX$3,0,0,'Données projet'!$E$13+1,1))-AVERAGE(OFFSET($H$3,0,0,'Données projet'!$E$13+1,1))</f>
        <v>598.12133208901378</v>
      </c>
      <c r="CZ155" s="59">
        <f t="shared" si="150"/>
        <v>246.23353541360947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61.986739588072851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61.986739588072851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266.99999999999983</v>
      </c>
      <c r="DP155" s="17">
        <f>DO155*VLOOKUP('Données projet'!$B$14,Paramètres!$A$1:$I$89,3,0)*VLOOKUP('Données projet'!$B$14,Paramètres!$A$1:$I$89,5,0)</f>
        <v>212.42519999999985</v>
      </c>
      <c r="DQ155" s="13">
        <f t="shared" si="176"/>
        <v>52.465198231787184</v>
      </c>
      <c r="DR155" s="20">
        <f t="shared" si="177"/>
        <v>461.35077692036231</v>
      </c>
      <c r="DS155" s="59">
        <f t="shared" si="125"/>
        <v>748.2721899271022</v>
      </c>
      <c r="DT155" s="59">
        <f ca="1">AVERAGE(OFFSET($DS$3,0,0,'Données projet'!$E$14+1,1))-AVERAGE(OFFSET($H$3,0,0,'Données projet'!$E$14+1,1))</f>
        <v>323.01113210765487</v>
      </c>
      <c r="DU155" s="59">
        <f t="shared" si="152"/>
        <v>311.68541696405975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6.907499775706869</v>
      </c>
      <c r="EB155" s="21">
        <f>EXP(-LN(2)/25)*EB154+(1-EXP(-LN(2)/25))/(LN(2)/25)*Calculateur!DW155*Calculateur!DY155*VLOOKUP('Données projet'!$B$14,Paramètres!$A$1:$I$89,3,0)*0.475*44/12</f>
        <v>1.1322677809209793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8.039767556627849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337.99164391755608</v>
      </c>
      <c r="T156" s="59">
        <f t="shared" si="142"/>
        <v>421.45428231923393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292.90384615384619</v>
      </c>
      <c r="AG156" s="12">
        <f>VLOOKUP(A156,'Données projet'!$A$61:$I$81,9,0)</f>
        <v>4.7414529914530021</v>
      </c>
      <c r="AH156" s="12">
        <f t="array" ref="AH156">INDEX(AG:AG,MIN(IF(ISNUMBER(AG156:AG352),ROW(AG156:AG352),"")))</f>
        <v>4.7414529914530021</v>
      </c>
      <c r="AI156" s="13">
        <f>IF('Données projet'!$A$62&gt;35,AI155+AH156-AQ155,IF(A156&lt;'Données projet'!$A$62,$AF$205^A156,IF(A156='Données projet'!$A$62,'Données projet'!$B$62,AI155+AH156-AQ155)))</f>
        <v>292.90384615384539</v>
      </c>
      <c r="AJ156" s="13">
        <f>AI156*VLOOKUP('Données projet'!$B$10,Paramètres!$A$1:$I$89,3,0)*VLOOKUP('Données projet'!$B$10,Paramètres!$A$1:$I$89,5,0)</f>
        <v>297.00449999999921</v>
      </c>
      <c r="AK156" s="13">
        <f t="shared" si="164"/>
        <v>70.548125322658649</v>
      </c>
      <c r="AL156" s="20">
        <f t="shared" si="165"/>
        <v>640.15415577029569</v>
      </c>
      <c r="AM156" s="59">
        <f t="shared" si="113"/>
        <v>927.18680125979563</v>
      </c>
      <c r="AN156" s="59">
        <f ca="1">AVERAGE(OFFSET($AM$3,0,0,'Données projet'!$E$10+1,1))-AVERAGE(OFFSET($H$3,0,0,'Données projet'!$E$10+1,1))</f>
        <v>596.42822894047072</v>
      </c>
      <c r="AO156" s="59">
        <f t="shared" si="144"/>
        <v>298.31525330951047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105.26282051282051</v>
      </c>
      <c r="AR156" s="16">
        <f>IF(ISNA(VLOOKUP(A156,'Données projet'!$A$61:$I$81,5,0)),0%,VLOOKUP(A156,'Données projet'!$A$61:$I$81,5,0)*VLOOKUP('Données projet'!$B$10,Paramètres!$A$1:$I$89,7,0))</f>
        <v>0.38700000000000001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185.74315705349002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185.74315705349002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243</v>
      </c>
      <c r="BE156" s="13">
        <f>BD156*VLOOKUP('Données projet'!$B$11,Paramètres!$A$1:$I$89,3,0)*VLOOKUP('Données projet'!$B$11,Paramètres!$A$1:$I$89,5,0)</f>
        <v>253.98360000000002</v>
      </c>
      <c r="BF156" s="13">
        <f t="shared" si="167"/>
        <v>61.438182405444294</v>
      </c>
      <c r="BG156" s="20">
        <f t="shared" si="168"/>
        <v>549.35960435614891</v>
      </c>
      <c r="BH156" s="59">
        <f t="shared" si="116"/>
        <v>836.39224984564885</v>
      </c>
      <c r="BI156" s="59">
        <f ca="1">AVERAGE(OFFSET($BH$3,0,0,'Données projet'!$E$11+1,1))-AVERAGE(OFFSET($H$3,0,0,'Données projet'!$E$11+1,1))</f>
        <v>446.06835300781546</v>
      </c>
      <c r="BJ156" s="59">
        <f t="shared" si="146"/>
        <v>396.46809188573138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11.414236077435337</v>
      </c>
      <c r="BQ156" s="21">
        <f>EXP(-LN(2)/25)*BQ155+(1-EXP(-LN(2)/25))/(LN(2)/25)*Calculateur!BL156*Calculateur!BN156*VLOOKUP('Données projet'!$B$11,Paramètres!$A$1:$I$89,3,0)*0.475*44/12</f>
        <v>4.0983910954857565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15.512627172921093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-3.979039320256561E-13</v>
      </c>
      <c r="BZ156" s="13">
        <f>BY156*VLOOKUP('Données projet'!$B$12,Paramètres!$A$1:$I$89,3,0)*VLOOKUP('Données projet'!$B$12,Paramètres!$A$1:$I$89,5,0)</f>
        <v>-1.8621904018800707E-13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307.52821153421951</v>
      </c>
      <c r="CE156" s="59">
        <f t="shared" si="148"/>
        <v>221.23619018904222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60.525332770032271</v>
      </c>
      <c r="CL156" s="21">
        <f>EXP(-LN(2)/25)*CL155+(1-EXP(-LN(2)/25))/(LN(2)/25)*Calculateur!CG156*Calculateur!CI156*VLOOKUP('Données projet'!$B$12,Paramètres!$A$1:$I$89,3,0)*0.475*44/12</f>
        <v>9.7693819037824507</v>
      </c>
      <c r="CM156" s="21">
        <f>EXP(-LN(2)/2)*CM155+(1-EXP(-LN(2)/2))/(LN(2)/2)*CG156*CJ156*VLOOKUP('Données projet'!$B$12,Paramètres!$A$1:$I$89,3,0)*0.475*44/12</f>
        <v>3.2327932169966128E-7</v>
      </c>
      <c r="CN156" s="22">
        <f t="shared" si="172"/>
        <v>70.294714997094047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6.2499999999999947</v>
      </c>
      <c r="CT156" s="12">
        <f>IF('Données projet'!$A$140&gt;35,CT155+CS156-DB155,IF(A156&lt;'Données projet'!$A$140,$CQ$205^A156,IF(A156='Données projet'!$A$140,'Données projet'!$B$140,CT155+CS156-DB155)))</f>
        <v>365.58974358974308</v>
      </c>
      <c r="CU156" s="17">
        <f>CT156*VLOOKUP('Données projet'!$B$13,Paramètres!$A$1:$I$89,3,0)*VLOOKUP('Données projet'!$B$13,Paramètres!$A$1:$I$89,5,0)</f>
        <v>416.33359999999936</v>
      </c>
      <c r="CV156" s="13">
        <f t="shared" si="173"/>
        <v>95.080299383089681</v>
      </c>
      <c r="CW156" s="20">
        <f t="shared" si="174"/>
        <v>890.71254142554665</v>
      </c>
      <c r="CX156" s="59">
        <f t="shared" si="122"/>
        <v>1177.7451869150466</v>
      </c>
      <c r="CY156" s="59">
        <f ca="1">AVERAGE(OFFSET($CX$3,0,0,'Données projet'!$E$13+1,1))-AVERAGE(OFFSET($H$3,0,0,'Données projet'!$E$13+1,1))</f>
        <v>598.12133208901378</v>
      </c>
      <c r="CZ156" s="59">
        <f t="shared" si="150"/>
        <v>246.23353541360947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60.771217432928644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60.771217432928644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266.99999999999983</v>
      </c>
      <c r="DP156" s="17">
        <f>DO156*VLOOKUP('Données projet'!$B$14,Paramètres!$A$1:$I$89,3,0)*VLOOKUP('Données projet'!$B$14,Paramètres!$A$1:$I$89,5,0)</f>
        <v>212.42519999999985</v>
      </c>
      <c r="DQ156" s="13">
        <f t="shared" si="176"/>
        <v>52.465198231787184</v>
      </c>
      <c r="DR156" s="20">
        <f t="shared" si="177"/>
        <v>461.35077692036231</v>
      </c>
      <c r="DS156" s="59">
        <f t="shared" si="125"/>
        <v>748.38342240986231</v>
      </c>
      <c r="DT156" s="59">
        <f ca="1">AVERAGE(OFFSET($DS$3,0,0,'Données projet'!$E$14+1,1))-AVERAGE(OFFSET($H$3,0,0,'Données projet'!$E$14+1,1))</f>
        <v>323.01113210765487</v>
      </c>
      <c r="DU156" s="59">
        <f t="shared" si="152"/>
        <v>311.68541696405975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6.7720479182641053</v>
      </c>
      <c r="EB156" s="21">
        <f>EXP(-LN(2)/25)*EB155+(1-EXP(-LN(2)/25))/(LN(2)/25)*Calculateur!DW156*Calculateur!DY156*VLOOKUP('Données projet'!$B$14,Paramètres!$A$1:$I$89,3,0)*0.475*44/12</f>
        <v>1.1013058589083204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7.8733537771724258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337.99164391755608</v>
      </c>
      <c r="T157" s="59">
        <f t="shared" si="142"/>
        <v>421.45428231923393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2.7243589743589589</v>
      </c>
      <c r="AI157" s="13">
        <f>IF('Données projet'!$A$62&gt;35,AI156+AH157-AQ156,IF(A157&lt;'Données projet'!$A$62,$AF$205^A157,IF(A157='Données projet'!$A$62,'Données projet'!$B$62,AI156+AH157-AQ156)))</f>
        <v>190.36538461538385</v>
      </c>
      <c r="AJ157" s="13">
        <f>AI157*VLOOKUP('Données projet'!$B$10,Paramètres!$A$1:$I$89,3,0)*VLOOKUP('Données projet'!$B$10,Paramètres!$A$1:$I$89,5,0)</f>
        <v>193.03049999999922</v>
      </c>
      <c r="AK157" s="13">
        <f t="shared" si="164"/>
        <v>48.209335079536942</v>
      </c>
      <c r="AL157" s="20">
        <f t="shared" si="165"/>
        <v>420.15937943019213</v>
      </c>
      <c r="AM157" s="59">
        <f t="shared" si="113"/>
        <v>707.30132776755488</v>
      </c>
      <c r="AN157" s="59">
        <f ca="1">AVERAGE(OFFSET($AM$3,0,0,'Données projet'!$E$10+1,1))-AVERAGE(OFFSET($H$3,0,0,'Données projet'!$E$10+1,1))</f>
        <v>596.42822894047072</v>
      </c>
      <c r="AO157" s="59">
        <f t="shared" si="144"/>
        <v>298.31525330951047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182.1008470358102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182.1008470358102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243</v>
      </c>
      <c r="BE157" s="13">
        <f>BD157*VLOOKUP('Données projet'!$B$11,Paramètres!$A$1:$I$89,3,0)*VLOOKUP('Données projet'!$B$11,Paramètres!$A$1:$I$89,5,0)</f>
        <v>253.98360000000002</v>
      </c>
      <c r="BF157" s="13">
        <f t="shared" si="167"/>
        <v>61.438182405444294</v>
      </c>
      <c r="BG157" s="20">
        <f t="shared" si="168"/>
        <v>549.35960435614891</v>
      </c>
      <c r="BH157" s="59">
        <f t="shared" si="116"/>
        <v>836.50155269351171</v>
      </c>
      <c r="BI157" s="59">
        <f ca="1">AVERAGE(OFFSET($BH$3,0,0,'Données projet'!$E$11+1,1))-AVERAGE(OFFSET($H$3,0,0,'Données projet'!$E$11+1,1))</f>
        <v>446.06835300781546</v>
      </c>
      <c r="BJ157" s="59">
        <f t="shared" si="146"/>
        <v>396.46809188573138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11.190409869953397</v>
      </c>
      <c r="BQ157" s="21">
        <f>EXP(-LN(2)/25)*BQ156+(1-EXP(-LN(2)/25))/(LN(2)/25)*Calculateur!BL157*Calculateur!BN157*VLOOKUP('Données projet'!$B$11,Paramètres!$A$1:$I$89,3,0)*0.475*44/12</f>
        <v>3.9863203754546777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15.176730245408075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-3.979039320256561E-13</v>
      </c>
      <c r="BZ157" s="13">
        <f>BY157*VLOOKUP('Données projet'!$B$12,Paramètres!$A$1:$I$89,3,0)*VLOOKUP('Données projet'!$B$12,Paramètres!$A$1:$I$89,5,0)</f>
        <v>-1.8621904018800707E-13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307.52821153421951</v>
      </c>
      <c r="CE157" s="59">
        <f t="shared" si="148"/>
        <v>221.23619018904222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59.338467911219695</v>
      </c>
      <c r="CL157" s="21">
        <f>EXP(-LN(2)/25)*CL156+(1-EXP(-LN(2)/25))/(LN(2)/25)*Calculateur!CG157*Calculateur!CI157*VLOOKUP('Données projet'!$B$12,Paramètres!$A$1:$I$89,3,0)*0.475*44/12</f>
        <v>9.5022376418740535</v>
      </c>
      <c r="CM157" s="21">
        <f>EXP(-LN(2)/2)*CM156+(1-EXP(-LN(2)/2))/(LN(2)/2)*CG157*CJ157*VLOOKUP('Données projet'!$B$12,Paramètres!$A$1:$I$89,3,0)*0.475*44/12</f>
        <v>2.2859300059121789E-7</v>
      </c>
      <c r="CN157" s="22">
        <f t="shared" si="172"/>
        <v>68.840705781686751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371.83974358974359</v>
      </c>
      <c r="CR157" s="12">
        <f>VLOOKUP(A157,'Données projet'!$A$139:$I$159,9,0)</f>
        <v>6.2499999999999947</v>
      </c>
      <c r="CS157" s="12">
        <f t="array" ref="CS157">INDEX(CR:CR,MIN(IF(ISNUMBER(CR157:CR353),ROW(CR157:CR353),"")))</f>
        <v>6.2499999999999947</v>
      </c>
      <c r="CT157" s="12">
        <f>IF('Données projet'!$A$140&gt;35,CT156+CS157-DB156,IF(A157&lt;'Données projet'!$A$140,$CQ$205^A157,IF(A157='Données projet'!$A$140,'Données projet'!$B$140,CT156+CS157-DB156)))</f>
        <v>371.83974358974308</v>
      </c>
      <c r="CU157" s="17">
        <f>CT157*VLOOKUP('Données projet'!$B$13,Paramètres!$A$1:$I$89,3,0)*VLOOKUP('Données projet'!$B$13,Paramètres!$A$1:$I$89,5,0)</f>
        <v>423.45109999999937</v>
      </c>
      <c r="CV157" s="13">
        <f t="shared" si="173"/>
        <v>96.515136705171329</v>
      </c>
      <c r="CW157" s="20">
        <f t="shared" si="174"/>
        <v>905.60786226150549</v>
      </c>
      <c r="CX157" s="59">
        <f t="shared" si="122"/>
        <v>1192.7498105988682</v>
      </c>
      <c r="CY157" s="59">
        <f ca="1">AVERAGE(OFFSET($CX$3,0,0,'Données projet'!$E$13+1,1))-AVERAGE(OFFSET($H$3,0,0,'Données projet'!$E$13+1,1))</f>
        <v>598.12133208901378</v>
      </c>
      <c r="CZ157" s="59">
        <f t="shared" si="150"/>
        <v>246.23353541360947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41.557692307692307</v>
      </c>
      <c r="DC157" s="16">
        <f>IF(ISNA(VLOOKUP(A157,'Données projet'!$A$139:$I$159,5,0)),0%,VLOOKUP(A157,'Données projet'!$A$139:$I$159,5,0)*VLOOKUP('Données projet'!$B$13,Paramètres!$A$1:$I$89,7,0))</f>
        <v>0.38700000000000001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79.82635723149528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79.82635723149528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266.99999999999983</v>
      </c>
      <c r="DP157" s="17">
        <f>DO157*VLOOKUP('Données projet'!$B$14,Paramètres!$A$1:$I$89,3,0)*VLOOKUP('Données projet'!$B$14,Paramètres!$A$1:$I$89,5,0)</f>
        <v>212.42519999999985</v>
      </c>
      <c r="DQ157" s="13">
        <f t="shared" si="176"/>
        <v>52.465198231787184</v>
      </c>
      <c r="DR157" s="20">
        <f t="shared" si="177"/>
        <v>461.35077692036231</v>
      </c>
      <c r="DS157" s="59">
        <f t="shared" si="125"/>
        <v>748.49272525772506</v>
      </c>
      <c r="DT157" s="59">
        <f ca="1">AVERAGE(OFFSET($DS$3,0,0,'Données projet'!$E$14+1,1))-AVERAGE(OFFSET($H$3,0,0,'Données projet'!$E$14+1,1))</f>
        <v>323.01113210765487</v>
      </c>
      <c r="DU157" s="59">
        <f t="shared" si="152"/>
        <v>311.68541696405975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6.6392521891283192</v>
      </c>
      <c r="EB157" s="21">
        <f>EXP(-LN(2)/25)*EB156+(1-EXP(-LN(2)/25))/(LN(2)/25)*Calculateur!DW157*Calculateur!DY157*VLOOKUP('Données projet'!$B$14,Paramètres!$A$1:$I$89,3,0)*0.475*44/12</f>
        <v>1.0711905922813143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7.7104427814096335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337.99164391755608</v>
      </c>
      <c r="T158" s="59">
        <f t="shared" si="142"/>
        <v>421.45428231923393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2.7243589743589589</v>
      </c>
      <c r="AI158" s="13">
        <f>IF('Données projet'!$A$62&gt;35,AI157+AH158-AQ157,IF(A158&lt;'Données projet'!$A$62,$AF$205^A158,IF(A158='Données projet'!$A$62,'Données projet'!$B$62,AI157+AH158-AQ157)))</f>
        <v>193.0897435897428</v>
      </c>
      <c r="AJ158" s="13">
        <f>AI158*VLOOKUP('Données projet'!$B$10,Paramètres!$A$1:$I$89,3,0)*VLOOKUP('Données projet'!$B$10,Paramètres!$A$1:$I$89,5,0)</f>
        <v>195.79299999999921</v>
      </c>
      <c r="AK158" s="13">
        <f t="shared" si="164"/>
        <v>48.818455604059096</v>
      </c>
      <c r="AL158" s="20">
        <f t="shared" si="165"/>
        <v>426.03161851040153</v>
      </c>
      <c r="AM158" s="59">
        <f t="shared" si="113"/>
        <v>713.28097353558121</v>
      </c>
      <c r="AN158" s="59">
        <f ca="1">AVERAGE(OFFSET($AM$3,0,0,'Données projet'!$E$10+1,1))-AVERAGE(OFFSET($H$3,0,0,'Données projet'!$E$10+1,1))</f>
        <v>596.42822894047072</v>
      </c>
      <c r="AO158" s="59">
        <f t="shared" si="144"/>
        <v>298.31525330951047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178.52996049598735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178.52996049598735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243</v>
      </c>
      <c r="BE158" s="13">
        <f>BD158*VLOOKUP('Données projet'!$B$11,Paramètres!$A$1:$I$89,3,0)*VLOOKUP('Données projet'!$B$11,Paramètres!$A$1:$I$89,5,0)</f>
        <v>253.98360000000002</v>
      </c>
      <c r="BF158" s="13">
        <f t="shared" si="167"/>
        <v>61.438182405444294</v>
      </c>
      <c r="BG158" s="20">
        <f t="shared" si="168"/>
        <v>549.35960435614891</v>
      </c>
      <c r="BH158" s="59">
        <f t="shared" si="116"/>
        <v>836.60895938132853</v>
      </c>
      <c r="BI158" s="59">
        <f ca="1">AVERAGE(OFFSET($BH$3,0,0,'Données projet'!$E$11+1,1))-AVERAGE(OFFSET($H$3,0,0,'Données projet'!$E$11+1,1))</f>
        <v>446.06835300781546</v>
      </c>
      <c r="BJ158" s="59">
        <f t="shared" si="146"/>
        <v>396.46809188573138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10.970972757879672</v>
      </c>
      <c r="BQ158" s="21">
        <f>EXP(-LN(2)/25)*BQ157+(1-EXP(-LN(2)/25))/(LN(2)/25)*Calculateur!BL158*Calculateur!BN158*VLOOKUP('Données projet'!$B$11,Paramètres!$A$1:$I$89,3,0)*0.475*44/12</f>
        <v>3.8773142351563918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14.848286993036064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-3.979039320256561E-13</v>
      </c>
      <c r="BZ158" s="13">
        <f>BY158*VLOOKUP('Données projet'!$B$12,Paramètres!$A$1:$I$89,3,0)*VLOOKUP('Données projet'!$B$12,Paramètres!$A$1:$I$89,5,0)</f>
        <v>-1.8621904018800707E-13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307.52821153421951</v>
      </c>
      <c r="CE158" s="59">
        <f t="shared" si="148"/>
        <v>221.23619018904222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58.174876748372348</v>
      </c>
      <c r="CL158" s="21">
        <f>EXP(-LN(2)/25)*CL157+(1-EXP(-LN(2)/25))/(LN(2)/25)*Calculateur!CG158*Calculateur!CI158*VLOOKUP('Données projet'!$B$12,Paramètres!$A$1:$I$89,3,0)*0.475*44/12</f>
        <v>9.2423984538560475</v>
      </c>
      <c r="CM158" s="21">
        <f>EXP(-LN(2)/2)*CM157+(1-EXP(-LN(2)/2))/(LN(2)/2)*CG158*CJ158*VLOOKUP('Données projet'!$B$12,Paramètres!$A$1:$I$89,3,0)*0.475*44/12</f>
        <v>1.6163966084983064E-7</v>
      </c>
      <c r="CN158" s="22">
        <f t="shared" si="172"/>
        <v>67.417275363868058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6.3403846153846128</v>
      </c>
      <c r="CT158" s="12">
        <f>IF('Données projet'!$A$140&gt;35,CT157+CS158-DB157,IF(A158&lt;'Données projet'!$A$140,$CQ$205^A158,IF(A158='Données projet'!$A$140,'Données projet'!$B$140,CT157+CS158-DB157)))</f>
        <v>336.62243589743537</v>
      </c>
      <c r="CU158" s="17">
        <f>CT158*VLOOKUP('Données projet'!$B$13,Paramètres!$A$1:$I$89,3,0)*VLOOKUP('Données projet'!$B$13,Paramètres!$A$1:$I$89,5,0)</f>
        <v>383.3456299999994</v>
      </c>
      <c r="CV158" s="13">
        <f t="shared" si="173"/>
        <v>88.391935881349028</v>
      </c>
      <c r="CW158" s="20">
        <f t="shared" si="174"/>
        <v>821.60959391001506</v>
      </c>
      <c r="CX158" s="59">
        <f t="shared" si="122"/>
        <v>1108.8589489351948</v>
      </c>
      <c r="CY158" s="59">
        <f ca="1">AVERAGE(OFFSET($CX$3,0,0,'Données projet'!$E$13+1,1))-AVERAGE(OFFSET($H$3,0,0,'Données projet'!$E$13+1,1))</f>
        <v>598.12133208901378</v>
      </c>
      <c r="CZ158" s="59">
        <f t="shared" si="150"/>
        <v>246.23353541360947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78.261011055455896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78.261011055455896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266.99999999999983</v>
      </c>
      <c r="DP158" s="17">
        <f>DO158*VLOOKUP('Données projet'!$B$14,Paramètres!$A$1:$I$89,3,0)*VLOOKUP('Données projet'!$B$14,Paramètres!$A$1:$I$89,5,0)</f>
        <v>212.42519999999985</v>
      </c>
      <c r="DQ158" s="13">
        <f t="shared" si="176"/>
        <v>52.465198231787184</v>
      </c>
      <c r="DR158" s="20">
        <f t="shared" si="177"/>
        <v>461.35077692036231</v>
      </c>
      <c r="DS158" s="59">
        <f t="shared" si="125"/>
        <v>748.60013194554199</v>
      </c>
      <c r="DT158" s="59">
        <f ca="1">AVERAGE(OFFSET($DS$3,0,0,'Données projet'!$E$14+1,1))-AVERAGE(OFFSET($H$3,0,0,'Données projet'!$E$14+1,1))</f>
        <v>323.01113210765487</v>
      </c>
      <c r="DU158" s="59">
        <f t="shared" si="152"/>
        <v>311.68541696405975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6.5090605032434885</v>
      </c>
      <c r="EB158" s="21">
        <f>EXP(-LN(2)/25)*EB157+(1-EXP(-LN(2)/25))/(LN(2)/25)*Calculateur!DW158*Calculateur!DY158*VLOOKUP('Données projet'!$B$14,Paramètres!$A$1:$I$89,3,0)*0.475*44/12</f>
        <v>1.0418988292039169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7.5509593324474054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337.99164391755608</v>
      </c>
      <c r="T159" s="59">
        <f t="shared" si="142"/>
        <v>421.45428231923393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195.81410256410257</v>
      </c>
      <c r="AG159" s="12">
        <f>VLOOKUP(A159,'Données projet'!$A$61:$I$81,9,0)</f>
        <v>2.7243589743589589</v>
      </c>
      <c r="AH159" s="12">
        <f t="array" ref="AH159">INDEX(AG:AG,MIN(IF(ISNUMBER(AG159:AG355),ROW(AG159:AG355),"")))</f>
        <v>2.7243589743589589</v>
      </c>
      <c r="AI159" s="13">
        <f>IF('Données projet'!$A$62&gt;35,AI158+AH159-AQ158,IF(A159&lt;'Données projet'!$A$62,$AF$205^A159,IF(A159='Données projet'!$A$62,'Données projet'!$B$62,AI158+AH159-AQ158)))</f>
        <v>195.81410256410174</v>
      </c>
      <c r="AJ159" s="13">
        <f>AI159*VLOOKUP('Données projet'!$B$10,Paramètres!$A$1:$I$89,3,0)*VLOOKUP('Données projet'!$B$10,Paramètres!$A$1:$I$89,5,0)</f>
        <v>198.5554999999992</v>
      </c>
      <c r="AK159" s="13">
        <f t="shared" si="164"/>
        <v>49.426576542962245</v>
      </c>
      <c r="AL159" s="20">
        <f t="shared" si="165"/>
        <v>431.90211664565783</v>
      </c>
      <c r="AM159" s="59">
        <f t="shared" si="113"/>
        <v>719.25701509274609</v>
      </c>
      <c r="AN159" s="59">
        <f ca="1">AVERAGE(OFFSET($AM$3,0,0,'Données projet'!$E$10+1,1))-AVERAGE(OFFSET($H$3,0,0,'Données projet'!$E$10+1,1))</f>
        <v>596.42822894047072</v>
      </c>
      <c r="AO159" s="59">
        <f t="shared" si="144"/>
        <v>298.31525330951047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65.070512820512818</v>
      </c>
      <c r="AR159" s="16">
        <f>IF(ISNA(VLOOKUP(A159,'Données projet'!$A$61:$I$81,5,0)),0%,VLOOKUP(A159,'Données projet'!$A$61:$I$81,5,0)*VLOOKUP('Données projet'!$B$10,Paramètres!$A$1:$I$89,7,0))</f>
        <v>0.38700000000000001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203.25710668203303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203.25710668203303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243</v>
      </c>
      <c r="BE159" s="13">
        <f>BD159*VLOOKUP('Données projet'!$B$11,Paramètres!$A$1:$I$89,3,0)*VLOOKUP('Données projet'!$B$11,Paramètres!$A$1:$I$89,5,0)</f>
        <v>253.98360000000002</v>
      </c>
      <c r="BF159" s="13">
        <f t="shared" si="167"/>
        <v>61.438182405444294</v>
      </c>
      <c r="BG159" s="20">
        <f t="shared" si="168"/>
        <v>549.35960435614891</v>
      </c>
      <c r="BH159" s="59">
        <f t="shared" si="116"/>
        <v>836.71450280323722</v>
      </c>
      <c r="BI159" s="59">
        <f ca="1">AVERAGE(OFFSET($BH$3,0,0,'Données projet'!$E$11+1,1))-AVERAGE(OFFSET($H$3,0,0,'Données projet'!$E$11+1,1))</f>
        <v>446.06835300781546</v>
      </c>
      <c r="BJ159" s="59">
        <f t="shared" si="146"/>
        <v>396.46809188573138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10.75583867373029</v>
      </c>
      <c r="BQ159" s="21">
        <f>EXP(-LN(2)/25)*BQ158+(1-EXP(-LN(2)/25))/(LN(2)/25)*Calculateur!BL159*Calculateur!BN159*VLOOKUP('Données projet'!$B$11,Paramètres!$A$1:$I$89,3,0)*0.475*44/12</f>
        <v>3.7712888734969465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14.527127547227236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-3.979039320256561E-13</v>
      </c>
      <c r="BZ159" s="13">
        <f>BY159*VLOOKUP('Données projet'!$B$12,Paramètres!$A$1:$I$89,3,0)*VLOOKUP('Données projet'!$B$12,Paramètres!$A$1:$I$89,5,0)</f>
        <v>-1.8621904018800707E-13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307.52821153421951</v>
      </c>
      <c r="CE159" s="59">
        <f t="shared" si="148"/>
        <v>221.23619018904222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57.034102898507911</v>
      </c>
      <c r="CL159" s="21">
        <f>EXP(-LN(2)/25)*CL158+(1-EXP(-LN(2)/25))/(LN(2)/25)*Calculateur!CG159*Calculateur!CI159*VLOOKUP('Données projet'!$B$12,Paramètres!$A$1:$I$89,3,0)*0.475*44/12</f>
        <v>8.9896645820987438</v>
      </c>
      <c r="CM159" s="21">
        <f>EXP(-LN(2)/2)*CM158+(1-EXP(-LN(2)/2))/(LN(2)/2)*CG159*CJ159*VLOOKUP('Données projet'!$B$12,Paramètres!$A$1:$I$89,3,0)*0.475*44/12</f>
        <v>1.1429650029560895E-7</v>
      </c>
      <c r="CN159" s="22">
        <f t="shared" si="172"/>
        <v>66.023767594903148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6.3403846153846128</v>
      </c>
      <c r="CT159" s="12">
        <f>IF('Données projet'!$A$140&gt;35,CT158+CS159-DB158,IF(A159&lt;'Données projet'!$A$140,$CQ$205^A159,IF(A159='Données projet'!$A$140,'Données projet'!$B$140,CT158+CS159-DB158)))</f>
        <v>342.96282051281997</v>
      </c>
      <c r="CU159" s="17">
        <f>CT159*VLOOKUP('Données projet'!$B$13,Paramètres!$A$1:$I$89,3,0)*VLOOKUP('Données projet'!$B$13,Paramètres!$A$1:$I$89,5,0)</f>
        <v>390.56605999999937</v>
      </c>
      <c r="CV159" s="13">
        <f t="shared" si="173"/>
        <v>89.86143004172537</v>
      </c>
      <c r="CW159" s="20">
        <f t="shared" si="174"/>
        <v>836.74454515600394</v>
      </c>
      <c r="CX159" s="59">
        <f t="shared" si="122"/>
        <v>1124.0994436030924</v>
      </c>
      <c r="CY159" s="59">
        <f ca="1">AVERAGE(OFFSET($CX$3,0,0,'Données projet'!$E$13+1,1))-AVERAGE(OFFSET($H$3,0,0,'Données projet'!$E$13+1,1))</f>
        <v>598.12133208901378</v>
      </c>
      <c r="CZ159" s="59">
        <f t="shared" si="150"/>
        <v>246.23353541360947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76.72636036316176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76.72636036316176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266.99999999999983</v>
      </c>
      <c r="DP159" s="17">
        <f>DO159*VLOOKUP('Données projet'!$B$14,Paramètres!$A$1:$I$89,3,0)*VLOOKUP('Données projet'!$B$14,Paramètres!$A$1:$I$89,5,0)</f>
        <v>212.42519999999985</v>
      </c>
      <c r="DQ159" s="13">
        <f t="shared" si="176"/>
        <v>52.465198231787184</v>
      </c>
      <c r="DR159" s="20">
        <f t="shared" si="177"/>
        <v>461.35077692036231</v>
      </c>
      <c r="DS159" s="59">
        <f t="shared" si="125"/>
        <v>748.70567536745057</v>
      </c>
      <c r="DT159" s="59">
        <f ca="1">AVERAGE(OFFSET($DS$3,0,0,'Données projet'!$E$14+1,1))-AVERAGE(OFFSET($H$3,0,0,'Données projet'!$E$14+1,1))</f>
        <v>323.01113210765487</v>
      </c>
      <c r="DU159" s="59">
        <f t="shared" si="152"/>
        <v>311.68541696405975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6.3814217969097724</v>
      </c>
      <c r="EB159" s="21">
        <f>EXP(-LN(2)/25)*EB158+(1-EXP(-LN(2)/25))/(LN(2)/25)*Calculateur!DW159*Calculateur!DY159*VLOOKUP('Données projet'!$B$14,Paramètres!$A$1:$I$89,3,0)*0.475*44/12</f>
        <v>1.0134080509282577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7.3948298478380305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337.99164391755608</v>
      </c>
      <c r="T160" s="59">
        <f t="shared" si="142"/>
        <v>421.45428231923393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1.6025641025640975</v>
      </c>
      <c r="AI160" s="13">
        <f>IF('Données projet'!$A$62&gt;35,AI159+AH160-AQ159,IF(A160&lt;'Données projet'!$A$62,$AF$205^A160,IF(A160='Données projet'!$A$62,'Données projet'!$B$62,AI159+AH160-AQ159)))</f>
        <v>132.34615384615302</v>
      </c>
      <c r="AJ160" s="13">
        <f>AI160*VLOOKUP('Données projet'!$B$10,Paramètres!$A$1:$I$89,3,0)*VLOOKUP('Données projet'!$B$10,Paramètres!$A$1:$I$89,5,0)</f>
        <v>134.19899999999916</v>
      </c>
      <c r="AK160" s="13">
        <f t="shared" si="164"/>
        <v>34.964822539731195</v>
      </c>
      <c r="AL160" s="20">
        <f t="shared" si="165"/>
        <v>294.62699092336368</v>
      </c>
      <c r="AM160" s="59">
        <f t="shared" si="113"/>
        <v>582.08560184995031</v>
      </c>
      <c r="AN160" s="59">
        <f ca="1">AVERAGE(OFFSET($AM$3,0,0,'Données projet'!$E$10+1,1))-AVERAGE(OFFSET($H$3,0,0,'Données projet'!$E$10+1,1))</f>
        <v>596.42822894047072</v>
      </c>
      <c r="AO160" s="59">
        <f t="shared" si="144"/>
        <v>298.31525330951047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199.27135879459195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199.27135879459195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243</v>
      </c>
      <c r="BE160" s="13">
        <f>BD160*VLOOKUP('Données projet'!$B$11,Paramètres!$A$1:$I$89,3,0)*VLOOKUP('Données projet'!$B$11,Paramètres!$A$1:$I$89,5,0)</f>
        <v>253.98360000000002</v>
      </c>
      <c r="BF160" s="13">
        <f t="shared" si="167"/>
        <v>61.438182405444294</v>
      </c>
      <c r="BG160" s="20">
        <f t="shared" si="168"/>
        <v>549.35960435614891</v>
      </c>
      <c r="BH160" s="59">
        <f t="shared" si="116"/>
        <v>836.81821528273554</v>
      </c>
      <c r="BI160" s="59">
        <f ca="1">AVERAGE(OFFSET($BH$3,0,0,'Données projet'!$E$11+1,1))-AVERAGE(OFFSET($H$3,0,0,'Données projet'!$E$11+1,1))</f>
        <v>446.06835300781546</v>
      </c>
      <c r="BJ160" s="59">
        <f t="shared" si="146"/>
        <v>396.46809188573138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10.544923237752243</v>
      </c>
      <c r="BQ160" s="21">
        <f>EXP(-LN(2)/25)*BQ159+(1-EXP(-LN(2)/25))/(LN(2)/25)*Calculateur!BL160*Calculateur!BN160*VLOOKUP('Données projet'!$B$11,Paramètres!$A$1:$I$89,3,0)*0.475*44/12</f>
        <v>3.6681627809277102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14.213086018679954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-3.979039320256561E-13</v>
      </c>
      <c r="BZ160" s="13">
        <f>BY160*VLOOKUP('Données projet'!$B$12,Paramètres!$A$1:$I$89,3,0)*VLOOKUP('Données projet'!$B$12,Paramètres!$A$1:$I$89,5,0)</f>
        <v>-1.8621904018800707E-13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307.52821153421951</v>
      </c>
      <c r="CE160" s="59">
        <f t="shared" si="148"/>
        <v>221.23619018904222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55.915698928035972</v>
      </c>
      <c r="CL160" s="21">
        <f>EXP(-LN(2)/25)*CL159+(1-EXP(-LN(2)/25))/(LN(2)/25)*Calculateur!CG160*Calculateur!CI160*VLOOKUP('Données projet'!$B$12,Paramètres!$A$1:$I$89,3,0)*0.475*44/12</f>
        <v>8.7438417313553387</v>
      </c>
      <c r="CM160" s="21">
        <f>EXP(-LN(2)/2)*CM159+(1-EXP(-LN(2)/2))/(LN(2)/2)*CG160*CJ160*VLOOKUP('Données projet'!$B$12,Paramètres!$A$1:$I$89,3,0)*0.475*44/12</f>
        <v>8.0819830424915319E-8</v>
      </c>
      <c r="CN160" s="22">
        <f t="shared" si="172"/>
        <v>64.659540740211142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6.3403846153846128</v>
      </c>
      <c r="CT160" s="12">
        <f>IF('Données projet'!$A$140&gt;35,CT159+CS160-DB159,IF(A160&lt;'Données projet'!$A$140,$CQ$205^A160,IF(A160='Données projet'!$A$140,'Données projet'!$B$140,CT159+CS160-DB159)))</f>
        <v>349.30320512820458</v>
      </c>
      <c r="CU160" s="17">
        <f>CT160*VLOOKUP('Données projet'!$B$13,Paramètres!$A$1:$I$89,3,0)*VLOOKUP('Données projet'!$B$13,Paramètres!$A$1:$I$89,5,0)</f>
        <v>397.78648999999939</v>
      </c>
      <c r="CV160" s="13">
        <f t="shared" si="173"/>
        <v>91.327765211277836</v>
      </c>
      <c r="CW160" s="20">
        <f t="shared" si="174"/>
        <v>851.87399449297448</v>
      </c>
      <c r="CX160" s="59">
        <f t="shared" si="122"/>
        <v>1139.3326054195611</v>
      </c>
      <c r="CY160" s="59">
        <f ca="1">AVERAGE(OFFSET($CX$3,0,0,'Données projet'!$E$13+1,1))-AVERAGE(OFFSET($H$3,0,0,'Données projet'!$E$13+1,1))</f>
        <v>598.12133208901378</v>
      </c>
      <c r="CZ160" s="59">
        <f t="shared" si="150"/>
        <v>246.23353541360947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75.221803234899014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75.221803234899014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266.99999999999983</v>
      </c>
      <c r="DP160" s="17">
        <f>DO160*VLOOKUP('Données projet'!$B$14,Paramètres!$A$1:$I$89,3,0)*VLOOKUP('Données projet'!$B$14,Paramètres!$A$1:$I$89,5,0)</f>
        <v>212.42519999999985</v>
      </c>
      <c r="DQ160" s="13">
        <f t="shared" si="176"/>
        <v>52.465198231787184</v>
      </c>
      <c r="DR160" s="20">
        <f t="shared" si="177"/>
        <v>461.35077692036231</v>
      </c>
      <c r="DS160" s="59">
        <f t="shared" si="125"/>
        <v>748.80938784694888</v>
      </c>
      <c r="DT160" s="59">
        <f ca="1">AVERAGE(OFFSET($DS$3,0,0,'Données projet'!$E$14+1,1))-AVERAGE(OFFSET($H$3,0,0,'Données projet'!$E$14+1,1))</f>
        <v>323.01113210765487</v>
      </c>
      <c r="DU160" s="59">
        <f t="shared" si="152"/>
        <v>311.68541696405975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6.2562860077553371</v>
      </c>
      <c r="EB160" s="21">
        <f>EXP(-LN(2)/25)*EB159+(1-EXP(-LN(2)/25))/(LN(2)/25)*Calculateur!DW160*Calculateur!DY160*VLOOKUP('Données projet'!$B$14,Paramètres!$A$1:$I$89,3,0)*0.475*44/12</f>
        <v>0.98569635448281123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7.2419823622381481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337.99164391755608</v>
      </c>
      <c r="T161" s="59">
        <f t="shared" si="142"/>
        <v>421.45428231923393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1.6025641025640975</v>
      </c>
      <c r="AI161" s="13">
        <f>IF('Données projet'!$A$62&gt;35,AI160+AH161-AQ160,IF(A161&lt;'Données projet'!$A$62,$AF$205^A161,IF(A161='Données projet'!$A$62,'Données projet'!$B$62,AI160+AH161-AQ160)))</f>
        <v>133.9487179487171</v>
      </c>
      <c r="AJ161" s="13">
        <f>AI161*VLOOKUP('Données projet'!$B$10,Paramètres!$A$1:$I$89,3,0)*VLOOKUP('Données projet'!$B$10,Paramètres!$A$1:$I$89,5,0)</f>
        <v>135.82399999999916</v>
      </c>
      <c r="AK161" s="13">
        <f t="shared" si="164"/>
        <v>35.338663015996772</v>
      </c>
      <c r="AL161" s="20">
        <f t="shared" si="165"/>
        <v>298.10830475285957</v>
      </c>
      <c r="AM161" s="59">
        <f t="shared" si="113"/>
        <v>585.66882897929156</v>
      </c>
      <c r="AN161" s="59">
        <f ca="1">AVERAGE(OFFSET($AM$3,0,0,'Données projet'!$E$10+1,1))-AVERAGE(OFFSET($H$3,0,0,'Données projet'!$E$10+1,1))</f>
        <v>596.42822894047072</v>
      </c>
      <c r="AO161" s="59">
        <f t="shared" si="144"/>
        <v>298.31525330951047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195.36376899215745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195.36376899215745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243</v>
      </c>
      <c r="BE161" s="13">
        <f>BD161*VLOOKUP('Données projet'!$B$11,Paramètres!$A$1:$I$89,3,0)*VLOOKUP('Données projet'!$B$11,Paramètres!$A$1:$I$89,5,0)</f>
        <v>253.98360000000002</v>
      </c>
      <c r="BF161" s="13">
        <f t="shared" si="167"/>
        <v>61.438182405444294</v>
      </c>
      <c r="BG161" s="20">
        <f t="shared" si="168"/>
        <v>549.35960435614891</v>
      </c>
      <c r="BH161" s="59">
        <f t="shared" si="116"/>
        <v>836.9201285825809</v>
      </c>
      <c r="BI161" s="59">
        <f ca="1">AVERAGE(OFFSET($BH$3,0,0,'Données projet'!$E$11+1,1))-AVERAGE(OFFSET($H$3,0,0,'Données projet'!$E$11+1,1))</f>
        <v>446.06835300781546</v>
      </c>
      <c r="BJ161" s="59">
        <f t="shared" si="146"/>
        <v>396.46809188573138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10.338143724828013</v>
      </c>
      <c r="BQ161" s="21">
        <f>EXP(-LN(2)/25)*BQ160+(1-EXP(-LN(2)/25))/(LN(2)/25)*Calculateur!BL161*Calculateur!BN161*VLOOKUP('Données projet'!$B$11,Paramètres!$A$1:$I$89,3,0)*0.475*44/12</f>
        <v>3.5678566767829452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13.906000401610958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-3.979039320256561E-13</v>
      </c>
      <c r="BZ161" s="13">
        <f>BY161*VLOOKUP('Données projet'!$B$12,Paramètres!$A$1:$I$89,3,0)*VLOOKUP('Données projet'!$B$12,Paramètres!$A$1:$I$89,5,0)</f>
        <v>-1.8621904018800707E-13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307.52821153421951</v>
      </c>
      <c r="CE161" s="59">
        <f t="shared" si="148"/>
        <v>221.23619018904222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54.819226177265925</v>
      </c>
      <c r="CL161" s="21">
        <f>EXP(-LN(2)/25)*CL160+(1-EXP(-LN(2)/25))/(LN(2)/25)*Calculateur!CG161*Calculateur!CI161*VLOOKUP('Données projet'!$B$12,Paramètres!$A$1:$I$89,3,0)*0.475*44/12</f>
        <v>8.5047409193927752</v>
      </c>
      <c r="CM161" s="21">
        <f>EXP(-LN(2)/2)*CM160+(1-EXP(-LN(2)/2))/(LN(2)/2)*CG161*CJ161*VLOOKUP('Données projet'!$B$12,Paramètres!$A$1:$I$89,3,0)*0.475*44/12</f>
        <v>5.7148250147804473E-8</v>
      </c>
      <c r="CN161" s="22">
        <f t="shared" si="172"/>
        <v>63.323967153806947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6.3403846153846128</v>
      </c>
      <c r="CT161" s="12">
        <f>IF('Données projet'!$A$140&gt;35,CT160+CS161-DB160,IF(A161&lt;'Données projet'!$A$140,$CQ$205^A161,IF(A161='Données projet'!$A$140,'Données projet'!$B$140,CT160+CS161-DB160)))</f>
        <v>355.64358974358919</v>
      </c>
      <c r="CU161" s="17">
        <f>CT161*VLOOKUP('Données projet'!$B$13,Paramètres!$A$1:$I$89,3,0)*VLOOKUP('Données projet'!$B$13,Paramètres!$A$1:$I$89,5,0)</f>
        <v>405.00691999999941</v>
      </c>
      <c r="CV161" s="13">
        <f t="shared" si="173"/>
        <v>92.791005344432207</v>
      </c>
      <c r="CW161" s="20">
        <f t="shared" si="174"/>
        <v>866.99805330821835</v>
      </c>
      <c r="CX161" s="59">
        <f t="shared" si="122"/>
        <v>1154.5585775346503</v>
      </c>
      <c r="CY161" s="59">
        <f ca="1">AVERAGE(OFFSET($CX$3,0,0,'Données projet'!$E$13+1,1))-AVERAGE(OFFSET($H$3,0,0,'Données projet'!$E$13+1,1))</f>
        <v>598.12133208901378</v>
      </c>
      <c r="CZ161" s="59">
        <f t="shared" si="150"/>
        <v>246.23353541360947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73.746749554232267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73.746749554232267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266.99999999999983</v>
      </c>
      <c r="DP161" s="17">
        <f>DO161*VLOOKUP('Données projet'!$B$14,Paramètres!$A$1:$I$89,3,0)*VLOOKUP('Données projet'!$B$14,Paramètres!$A$1:$I$89,5,0)</f>
        <v>212.42519999999985</v>
      </c>
      <c r="DQ161" s="13">
        <f t="shared" si="176"/>
        <v>52.465198231787184</v>
      </c>
      <c r="DR161" s="20">
        <f t="shared" si="177"/>
        <v>461.35077692036231</v>
      </c>
      <c r="DS161" s="59">
        <f t="shared" si="125"/>
        <v>748.91130114679436</v>
      </c>
      <c r="DT161" s="59">
        <f ca="1">AVERAGE(OFFSET($DS$3,0,0,'Données projet'!$E$14+1,1))-AVERAGE(OFFSET($H$3,0,0,'Données projet'!$E$14+1,1))</f>
        <v>323.01113210765487</v>
      </c>
      <c r="DU161" s="59">
        <f t="shared" si="152"/>
        <v>311.68541696405975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6.1336040551009248</v>
      </c>
      <c r="EB161" s="21">
        <f>EXP(-LN(2)/25)*EB160+(1-EXP(-LN(2)/25))/(LN(2)/25)*Calculateur!DW161*Calculateur!DY161*VLOOKUP('Données projet'!$B$14,Paramètres!$A$1:$I$89,3,0)*0.475*44/12</f>
        <v>0.95874243583396035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7.0923464909348848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337.99164391755608</v>
      </c>
      <c r="T162" s="59">
        <f t="shared" si="142"/>
        <v>421.45428231923393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135.55128205128204</v>
      </c>
      <c r="AG162" s="12">
        <f>VLOOKUP(A162,'Données projet'!$A$61:$I$81,9,0)</f>
        <v>1.6025641025640975</v>
      </c>
      <c r="AH162" s="12">
        <f t="array" ref="AH162">INDEX(AG:AG,MIN(IF(ISNUMBER(AG162:AG358),ROW(AG162:AG358),"")))</f>
        <v>1.6025641025640975</v>
      </c>
      <c r="AI162" s="13">
        <f>IF('Données projet'!$A$62&gt;35,AI161+AH162-AQ161,IF(A162&lt;'Données projet'!$A$62,$AF$205^A162,IF(A162='Données projet'!$A$62,'Données projet'!$B$62,AI161+AH162-AQ161)))</f>
        <v>135.55128205128119</v>
      </c>
      <c r="AJ162" s="13">
        <f>AI162*VLOOKUP('Données projet'!$B$10,Paramètres!$A$1:$I$89,3,0)*VLOOKUP('Données projet'!$B$10,Paramètres!$A$1:$I$89,5,0)</f>
        <v>137.44899999999913</v>
      </c>
      <c r="AK162" s="13">
        <f t="shared" si="164"/>
        <v>35.711983227106266</v>
      </c>
      <c r="AL162" s="20">
        <f t="shared" si="165"/>
        <v>301.58871245387519</v>
      </c>
      <c r="AM162" s="59">
        <f t="shared" si="113"/>
        <v>589.24938201224415</v>
      </c>
      <c r="AN162" s="59">
        <f ca="1">AVERAGE(OFFSET($AM$3,0,0,'Données projet'!$E$10+1,1))-AVERAGE(OFFSET($H$3,0,0,'Données projet'!$E$10+1,1))</f>
        <v>596.42822894047072</v>
      </c>
      <c r="AO162" s="59">
        <f t="shared" si="144"/>
        <v>298.31525330951047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135.55128205128204</v>
      </c>
      <c r="AR162" s="16">
        <f>IF(ISNA(VLOOKUP(A162,'Données projet'!$A$61:$I$81,5,0)),0%,VLOOKUP(A162,'Données projet'!$A$61:$I$81,5,0)*VLOOKUP('Données projet'!$B$10,Paramètres!$A$1:$I$89,7,0))</f>
        <v>0.38700000000000001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250.33582854437051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250.33582854437051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243</v>
      </c>
      <c r="BE162" s="13">
        <f>BD162*VLOOKUP('Données projet'!$B$11,Paramètres!$A$1:$I$89,3,0)*VLOOKUP('Données projet'!$B$11,Paramètres!$A$1:$I$89,5,0)</f>
        <v>253.98360000000002</v>
      </c>
      <c r="BF162" s="13">
        <f t="shared" si="167"/>
        <v>61.438182405444294</v>
      </c>
      <c r="BG162" s="20">
        <f t="shared" si="168"/>
        <v>549.35960435614891</v>
      </c>
      <c r="BH162" s="59">
        <f t="shared" si="116"/>
        <v>837.02027391451793</v>
      </c>
      <c r="BI162" s="59">
        <f ca="1">AVERAGE(OFFSET($BH$3,0,0,'Données projet'!$E$11+1,1))-AVERAGE(OFFSET($H$3,0,0,'Données projet'!$E$11+1,1))</f>
        <v>446.06835300781546</v>
      </c>
      <c r="BJ162" s="59">
        <f t="shared" si="146"/>
        <v>396.46809188573138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10.135419032029178</v>
      </c>
      <c r="BQ162" s="21">
        <f>EXP(-LN(2)/25)*BQ161+(1-EXP(-LN(2)/25))/(LN(2)/25)*Calculateur!BL162*Calculateur!BN162*VLOOKUP('Données projet'!$B$11,Paramètres!$A$1:$I$89,3,0)*0.475*44/12</f>
        <v>3.4702934483308874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13.605712480360065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-3.979039320256561E-13</v>
      </c>
      <c r="BZ162" s="13">
        <f>BY162*VLOOKUP('Données projet'!$B$12,Paramètres!$A$1:$I$89,3,0)*VLOOKUP('Données projet'!$B$12,Paramètres!$A$1:$I$89,5,0)</f>
        <v>-1.8621904018800707E-13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307.52821153421951</v>
      </c>
      <c r="CE162" s="59">
        <f t="shared" si="148"/>
        <v>221.23619018904222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53.744254588356135</v>
      </c>
      <c r="CL162" s="21">
        <f>EXP(-LN(2)/25)*CL161+(1-EXP(-LN(2)/25))/(LN(2)/25)*Calculateur!CG162*Calculateur!CI162*VLOOKUP('Données projet'!$B$12,Paramètres!$A$1:$I$89,3,0)*0.475*44/12</f>
        <v>8.2721783317070923</v>
      </c>
      <c r="CM162" s="21">
        <f>EXP(-LN(2)/2)*CM161+(1-EXP(-LN(2)/2))/(LN(2)/2)*CG162*CJ162*VLOOKUP('Données projet'!$B$12,Paramètres!$A$1:$I$89,3,0)*0.475*44/12</f>
        <v>4.040991521245766E-8</v>
      </c>
      <c r="CN162" s="22">
        <f t="shared" si="172"/>
        <v>62.016432960473139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6.3403846153846128</v>
      </c>
      <c r="CT162" s="12">
        <f>IF('Données projet'!$A$140&gt;35,CT161+CS162-DB161,IF(A162&lt;'Données projet'!$A$140,$CQ$205^A162,IF(A162='Données projet'!$A$140,'Données projet'!$B$140,CT161+CS162-DB161)))</f>
        <v>361.9839743589738</v>
      </c>
      <c r="CU162" s="17">
        <f>CT162*VLOOKUP('Données projet'!$B$13,Paramètres!$A$1:$I$89,3,0)*VLOOKUP('Données projet'!$B$13,Paramètres!$A$1:$I$89,5,0)</f>
        <v>412.22734999999938</v>
      </c>
      <c r="CV162" s="13">
        <f t="shared" si="173"/>
        <v>94.251211984668672</v>
      </c>
      <c r="CW162" s="20">
        <f t="shared" si="174"/>
        <v>882.11682878996351</v>
      </c>
      <c r="CX162" s="59">
        <f t="shared" si="122"/>
        <v>1169.7774983483325</v>
      </c>
      <c r="CY162" s="59">
        <f ca="1">AVERAGE(OFFSET($CX$3,0,0,'Données projet'!$E$13+1,1))-AVERAGE(OFFSET($H$3,0,0,'Données projet'!$E$13+1,1))</f>
        <v>598.12133208901378</v>
      </c>
      <c r="CZ162" s="59">
        <f t="shared" si="150"/>
        <v>246.23353541360947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72.300620776549493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72.300620776549493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266.99999999999983</v>
      </c>
      <c r="DP162" s="17">
        <f>DO162*VLOOKUP('Données projet'!$B$14,Paramètres!$A$1:$I$89,3,0)*VLOOKUP('Données projet'!$B$14,Paramètres!$A$1:$I$89,5,0)</f>
        <v>212.42519999999985</v>
      </c>
      <c r="DQ162" s="13">
        <f t="shared" si="176"/>
        <v>52.465198231787184</v>
      </c>
      <c r="DR162" s="20">
        <f t="shared" si="177"/>
        <v>461.35077692036231</v>
      </c>
      <c r="DS162" s="59">
        <f t="shared" si="125"/>
        <v>749.01144647873127</v>
      </c>
      <c r="DT162" s="59">
        <f ca="1">AVERAGE(OFFSET($DS$3,0,0,'Données projet'!$E$14+1,1))-AVERAGE(OFFSET($H$3,0,0,'Données projet'!$E$14+1,1))</f>
        <v>323.01113210765487</v>
      </c>
      <c r="DU162" s="59">
        <f t="shared" si="152"/>
        <v>311.68541696405975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6.0133278207094634</v>
      </c>
      <c r="EB162" s="21">
        <f>EXP(-LN(2)/25)*EB161+(1-EXP(-LN(2)/25))/(LN(2)/25)*Calculateur!DW162*Calculateur!DY162*VLOOKUP('Données projet'!$B$14,Paramètres!$A$1:$I$89,3,0)*0.475*44/12</f>
        <v>0.93252557350800724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6.9458533942174707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337.99164391755608</v>
      </c>
      <c r="T163" s="59">
        <f t="shared" si="142"/>
        <v>421.45428231923393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-8.5265128291212022E-13</v>
      </c>
      <c r="AJ163" s="13">
        <f>AI163*VLOOKUP('Données projet'!$B$10,Paramètres!$A$1:$I$89,3,0)*VLOOKUP('Données projet'!$B$10,Paramètres!$A$1:$I$89,5,0)</f>
        <v>-8.6458840087288995E-13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596.42822894047072</v>
      </c>
      <c r="AO163" s="59">
        <f t="shared" si="144"/>
        <v>298.31525330951047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245.42689563639397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245.42689563639397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243</v>
      </c>
      <c r="BE163" s="13">
        <f>BD163*VLOOKUP('Données projet'!$B$11,Paramètres!$A$1:$I$89,3,0)*VLOOKUP('Données projet'!$B$11,Paramètres!$A$1:$I$89,5,0)</f>
        <v>253.98360000000002</v>
      </c>
      <c r="BF163" s="13">
        <f t="shared" si="167"/>
        <v>61.438182405444294</v>
      </c>
      <c r="BG163" s="20">
        <f t="shared" si="168"/>
        <v>549.35960435614891</v>
      </c>
      <c r="BH163" s="59">
        <f t="shared" si="116"/>
        <v>837.11868194883732</v>
      </c>
      <c r="BI163" s="59">
        <f ca="1">AVERAGE(OFFSET($BH$3,0,0,'Données projet'!$E$11+1,1))-AVERAGE(OFFSET($H$3,0,0,'Données projet'!$E$11+1,1))</f>
        <v>446.06835300781546</v>
      </c>
      <c r="BJ163" s="59">
        <f t="shared" si="146"/>
        <v>396.46809188573138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9.9366696468062745</v>
      </c>
      <c r="BQ163" s="21">
        <f>EXP(-LN(2)/25)*BQ162+(1-EXP(-LN(2)/25))/(LN(2)/25)*Calculateur!BL163*Calculateur!BN163*VLOOKUP('Données projet'!$B$11,Paramètres!$A$1:$I$89,3,0)*0.475*44/12</f>
        <v>3.3753980914914781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13.312067738297753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-3.979039320256561E-13</v>
      </c>
      <c r="BZ163" s="13">
        <f>BY163*VLOOKUP('Données projet'!$B$12,Paramètres!$A$1:$I$89,3,0)*VLOOKUP('Données projet'!$B$12,Paramètres!$A$1:$I$89,5,0)</f>
        <v>-1.8621904018800707E-13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307.52821153421951</v>
      </c>
      <c r="CE163" s="59">
        <f t="shared" si="148"/>
        <v>221.23619018904222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52.69036253663694</v>
      </c>
      <c r="CL163" s="21">
        <f>EXP(-LN(2)/25)*CL162+(1-EXP(-LN(2)/25))/(LN(2)/25)*Calculateur!CG163*Calculateur!CI163*VLOOKUP('Données projet'!$B$12,Paramètres!$A$1:$I$89,3,0)*0.475*44/12</f>
        <v>8.0459751802116095</v>
      </c>
      <c r="CM163" s="21">
        <f>EXP(-LN(2)/2)*CM162+(1-EXP(-LN(2)/2))/(LN(2)/2)*CG163*CJ163*VLOOKUP('Données projet'!$B$12,Paramètres!$A$1:$I$89,3,0)*0.475*44/12</f>
        <v>2.8574125073902237E-8</v>
      </c>
      <c r="CN163" s="22">
        <f t="shared" si="172"/>
        <v>60.736337745422681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6.3403846153846128</v>
      </c>
      <c r="CT163" s="12">
        <f>IF('Données projet'!$A$140&gt;35,CT162+CS163-DB162,IF(A163&lt;'Données projet'!$A$140,$CQ$205^A163,IF(A163='Données projet'!$A$140,'Données projet'!$B$140,CT162+CS163-DB162)))</f>
        <v>368.3243589743584</v>
      </c>
      <c r="CU163" s="17">
        <f>CT163*VLOOKUP('Données projet'!$B$13,Paramètres!$A$1:$I$89,3,0)*VLOOKUP('Données projet'!$B$13,Paramètres!$A$1:$I$89,5,0)</f>
        <v>419.44777999999934</v>
      </c>
      <c r="CV163" s="13">
        <f t="shared" si="173"/>
        <v>95.708444396019175</v>
      </c>
      <c r="CW163" s="20">
        <f t="shared" si="174"/>
        <v>897.23042415639884</v>
      </c>
      <c r="CX163" s="59">
        <f t="shared" si="122"/>
        <v>1184.9895017490871</v>
      </c>
      <c r="CY163" s="59">
        <f ca="1">AVERAGE(OFFSET($CX$3,0,0,'Données projet'!$E$13+1,1))-AVERAGE(OFFSET($H$3,0,0,'Données projet'!$E$13+1,1))</f>
        <v>598.12133208901378</v>
      </c>
      <c r="CZ163" s="59">
        <f t="shared" si="150"/>
        <v>246.23353541360947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70.88284970214562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70.88284970214562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266.99999999999983</v>
      </c>
      <c r="DP163" s="17">
        <f>DO163*VLOOKUP('Données projet'!$B$14,Paramètres!$A$1:$I$89,3,0)*VLOOKUP('Données projet'!$B$14,Paramètres!$A$1:$I$89,5,0)</f>
        <v>212.42519999999985</v>
      </c>
      <c r="DQ163" s="13">
        <f t="shared" si="176"/>
        <v>52.465198231787184</v>
      </c>
      <c r="DR163" s="20">
        <f t="shared" si="177"/>
        <v>461.35077692036231</v>
      </c>
      <c r="DS163" s="59">
        <f t="shared" si="125"/>
        <v>749.10985451305066</v>
      </c>
      <c r="DT163" s="59">
        <f ca="1">AVERAGE(OFFSET($DS$3,0,0,'Données projet'!$E$14+1,1))-AVERAGE(OFFSET($H$3,0,0,'Données projet'!$E$14+1,1))</f>
        <v>323.01113210765487</v>
      </c>
      <c r="DU163" s="59">
        <f t="shared" si="152"/>
        <v>311.68541696405975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5.8954101299131594</v>
      </c>
      <c r="EB163" s="21">
        <f>EXP(-LN(2)/25)*EB162+(1-EXP(-LN(2)/25))/(LN(2)/25)*Calculateur!DW163*Calculateur!DY163*VLOOKUP('Données projet'!$B$14,Paramètres!$A$1:$I$89,3,0)*0.475*44/12</f>
        <v>0.9070256126610422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6.8024357425742012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337.99164391755608</v>
      </c>
      <c r="T164" s="59">
        <f t="shared" si="142"/>
        <v>421.45428231923393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-8.5265128291212022E-13</v>
      </c>
      <c r="AJ164" s="13">
        <f>AI164*VLOOKUP('Données projet'!$B$10,Paramètres!$A$1:$I$89,3,0)*VLOOKUP('Données projet'!$B$10,Paramètres!$A$1:$I$89,5,0)</f>
        <v>-8.6458840087288995E-13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596.42822894047072</v>
      </c>
      <c r="AO164" s="59">
        <f t="shared" si="144"/>
        <v>298.31525330951047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240.61422390858939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240.61422390858939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243</v>
      </c>
      <c r="BE164" s="13">
        <f>BD164*VLOOKUP('Données projet'!$B$11,Paramètres!$A$1:$I$89,3,0)*VLOOKUP('Données projet'!$B$11,Paramètres!$A$1:$I$89,5,0)</f>
        <v>253.98360000000002</v>
      </c>
      <c r="BF164" s="13">
        <f t="shared" si="167"/>
        <v>61.438182405444294</v>
      </c>
      <c r="BG164" s="20">
        <f t="shared" si="168"/>
        <v>549.35960435614891</v>
      </c>
      <c r="BH164" s="59">
        <f t="shared" si="116"/>
        <v>837.21538282376855</v>
      </c>
      <c r="BI164" s="59">
        <f ca="1">AVERAGE(OFFSET($BH$3,0,0,'Données projet'!$E$11+1,1))-AVERAGE(OFFSET($H$3,0,0,'Données projet'!$E$11+1,1))</f>
        <v>446.06835300781546</v>
      </c>
      <c r="BJ164" s="59">
        <f t="shared" si="146"/>
        <v>396.46809188573138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9.7418176158024359</v>
      </c>
      <c r="BQ164" s="21">
        <f>EXP(-LN(2)/25)*BQ163+(1-EXP(-LN(2)/25))/(LN(2)/25)*Calculateur!BL164*Calculateur!BN164*VLOOKUP('Données projet'!$B$11,Paramètres!$A$1:$I$89,3,0)*0.475*44/12</f>
        <v>3.2830976531751723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13.024915268977608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-3.979039320256561E-13</v>
      </c>
      <c r="BZ164" s="13">
        <f>BY164*VLOOKUP('Données projet'!$B$12,Paramètres!$A$1:$I$89,3,0)*VLOOKUP('Données projet'!$B$12,Paramètres!$A$1:$I$89,5,0)</f>
        <v>-1.8621904018800707E-13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307.52821153421951</v>
      </c>
      <c r="CE164" s="59">
        <f t="shared" si="148"/>
        <v>221.23619018904222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51.657136665241275</v>
      </c>
      <c r="CL164" s="21">
        <f>EXP(-LN(2)/25)*CL163+(1-EXP(-LN(2)/25))/(LN(2)/25)*Calculateur!CG164*Calculateur!CI164*VLOOKUP('Données projet'!$B$12,Paramètres!$A$1:$I$89,3,0)*0.475*44/12</f>
        <v>7.8259575657892775</v>
      </c>
      <c r="CM164" s="21">
        <f>EXP(-LN(2)/2)*CM163+(1-EXP(-LN(2)/2))/(LN(2)/2)*CG164*CJ164*VLOOKUP('Données projet'!$B$12,Paramètres!$A$1:$I$89,3,0)*0.475*44/12</f>
        <v>2.020495760622883E-8</v>
      </c>
      <c r="CN164" s="22">
        <f t="shared" si="172"/>
        <v>59.483094251235507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6.3403846153846128</v>
      </c>
      <c r="CT164" s="12">
        <f>IF('Données projet'!$A$140&gt;35,CT163+CS164-DB163,IF(A164&lt;'Données projet'!$A$140,$CQ$205^A164,IF(A164='Données projet'!$A$140,'Données projet'!$B$140,CT163+CS164-DB163)))</f>
        <v>374.66474358974301</v>
      </c>
      <c r="CU164" s="17">
        <f>CT164*VLOOKUP('Données projet'!$B$13,Paramètres!$A$1:$I$89,3,0)*VLOOKUP('Données projet'!$B$13,Paramètres!$A$1:$I$89,5,0)</f>
        <v>426.66820999999931</v>
      </c>
      <c r="CV164" s="13">
        <f t="shared" si="173"/>
        <v>97.162759685251615</v>
      </c>
      <c r="CW164" s="20">
        <f t="shared" si="174"/>
        <v>912.33893886847864</v>
      </c>
      <c r="CX164" s="59">
        <f t="shared" si="122"/>
        <v>1200.1947173360984</v>
      </c>
      <c r="CY164" s="59">
        <f ca="1">AVERAGE(OFFSET($CX$3,0,0,'Données projet'!$E$13+1,1))-AVERAGE(OFFSET($H$3,0,0,'Données projet'!$E$13+1,1))</f>
        <v>598.12133208901378</v>
      </c>
      <c r="CZ164" s="59">
        <f t="shared" si="150"/>
        <v>246.23353541360947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69.492880253755828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69.492880253755828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266.99999999999983</v>
      </c>
      <c r="DP164" s="17">
        <f>DO164*VLOOKUP('Données projet'!$B$14,Paramètres!$A$1:$I$89,3,0)*VLOOKUP('Données projet'!$B$14,Paramètres!$A$1:$I$89,5,0)</f>
        <v>212.42519999999985</v>
      </c>
      <c r="DQ164" s="13">
        <f t="shared" si="176"/>
        <v>52.465198231787184</v>
      </c>
      <c r="DR164" s="20">
        <f t="shared" si="177"/>
        <v>461.35077692036231</v>
      </c>
      <c r="DS164" s="59">
        <f t="shared" si="125"/>
        <v>749.20655538798201</v>
      </c>
      <c r="DT164" s="59">
        <f ca="1">AVERAGE(OFFSET($DS$3,0,0,'Données projet'!$E$14+1,1))-AVERAGE(OFFSET($H$3,0,0,'Données projet'!$E$14+1,1))</f>
        <v>323.01113210765487</v>
      </c>
      <c r="DU164" s="59">
        <f t="shared" si="152"/>
        <v>311.68541696405975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5.779804733110681</v>
      </c>
      <c r="EB164" s="21">
        <f>EXP(-LN(2)/25)*EB163+(1-EXP(-LN(2)/25))/(LN(2)/25)*Calculateur!DW164*Calculateur!DY164*VLOOKUP('Données projet'!$B$14,Paramètres!$A$1:$I$89,3,0)*0.475*44/12</f>
        <v>0.88222294958442204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6.6620276826951033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337.99164391755608</v>
      </c>
      <c r="T165" s="59">
        <f t="shared" si="142"/>
        <v>421.45428231923393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-8.5265128291212022E-13</v>
      </c>
      <c r="AJ165" s="13">
        <f>AI165*VLOOKUP('Données projet'!$B$10,Paramètres!$A$1:$I$89,3,0)*VLOOKUP('Données projet'!$B$10,Paramètres!$A$1:$I$89,5,0)</f>
        <v>-8.6458840087288995E-13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596.42822894047072</v>
      </c>
      <c r="AO165" s="59">
        <f t="shared" si="144"/>
        <v>298.31525330951047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235.89592573792717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235.89592573792717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243</v>
      </c>
      <c r="BE165" s="13">
        <f>BD165*VLOOKUP('Données projet'!$B$11,Paramètres!$A$1:$I$89,3,0)*VLOOKUP('Données projet'!$B$11,Paramètres!$A$1:$I$89,5,0)</f>
        <v>253.98360000000002</v>
      </c>
      <c r="BF165" s="13">
        <f t="shared" si="167"/>
        <v>61.438182405444294</v>
      </c>
      <c r="BG165" s="20">
        <f t="shared" si="168"/>
        <v>549.35960435614891</v>
      </c>
      <c r="BH165" s="59">
        <f t="shared" si="116"/>
        <v>837.31040615471056</v>
      </c>
      <c r="BI165" s="59">
        <f ca="1">AVERAGE(OFFSET($BH$3,0,0,'Données projet'!$E$11+1,1))-AVERAGE(OFFSET($H$3,0,0,'Données projet'!$E$11+1,1))</f>
        <v>446.06835300781546</v>
      </c>
      <c r="BJ165" s="59">
        <f t="shared" si="146"/>
        <v>396.46809188573138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9.5507865142785793</v>
      </c>
      <c r="BQ165" s="21">
        <f>EXP(-LN(2)/25)*BQ164+(1-EXP(-LN(2)/25))/(LN(2)/25)*Calculateur!BL165*Calculateur!BN165*VLOOKUP('Données projet'!$B$11,Paramètres!$A$1:$I$89,3,0)*0.475*44/12</f>
        <v>3.1933211751984953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12.744107689477074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-3.979039320256561E-13</v>
      </c>
      <c r="BZ165" s="13">
        <f>BY165*VLOOKUP('Données projet'!$B$12,Paramètres!$A$1:$I$89,3,0)*VLOOKUP('Données projet'!$B$12,Paramètres!$A$1:$I$89,5,0)</f>
        <v>-1.8621904018800707E-13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307.52821153421951</v>
      </c>
      <c r="CE165" s="59">
        <f t="shared" si="148"/>
        <v>221.23619018904222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50.644171722978129</v>
      </c>
      <c r="CL165" s="21">
        <f>EXP(-LN(2)/25)*CL164+(1-EXP(-LN(2)/25))/(LN(2)/25)*Calculateur!CG165*Calculateur!CI165*VLOOKUP('Données projet'!$B$12,Paramètres!$A$1:$I$89,3,0)*0.475*44/12</f>
        <v>7.6119563446035476</v>
      </c>
      <c r="CM165" s="21">
        <f>EXP(-LN(2)/2)*CM164+(1-EXP(-LN(2)/2))/(LN(2)/2)*CG165*CJ165*VLOOKUP('Données projet'!$B$12,Paramètres!$A$1:$I$89,3,0)*0.475*44/12</f>
        <v>1.4287062536951118E-8</v>
      </c>
      <c r="CN165" s="22">
        <f t="shared" si="172"/>
        <v>58.256128081868738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6.3403846153846128</v>
      </c>
      <c r="CT165" s="12">
        <f>IF('Données projet'!$A$140&gt;35,CT164+CS165-DB164,IF(A165&lt;'Données projet'!$A$140,$CQ$205^A165,IF(A165='Données projet'!$A$140,'Données projet'!$B$140,CT164+CS165-DB164)))</f>
        <v>381.00512820512762</v>
      </c>
      <c r="CU165" s="17">
        <f>CT165*VLOOKUP('Données projet'!$B$13,Paramètres!$A$1:$I$89,3,0)*VLOOKUP('Données projet'!$B$13,Paramètres!$A$1:$I$89,5,0)</f>
        <v>433.88863999999938</v>
      </c>
      <c r="CV165" s="13">
        <f t="shared" si="173"/>
        <v>98.61421291555007</v>
      </c>
      <c r="CW165" s="20">
        <f t="shared" si="174"/>
        <v>927.44246882791538</v>
      </c>
      <c r="CX165" s="59">
        <f t="shared" si="122"/>
        <v>1215.393270626477</v>
      </c>
      <c r="CY165" s="59">
        <f ca="1">AVERAGE(OFFSET($CX$3,0,0,'Données projet'!$E$13+1,1))-AVERAGE(OFFSET($H$3,0,0,'Données projet'!$E$13+1,1))</f>
        <v>598.12133208901378</v>
      </c>
      <c r="CZ165" s="59">
        <f t="shared" si="150"/>
        <v>246.23353541360947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68.130167258451308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68.130167258451308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266.99999999999983</v>
      </c>
      <c r="DP165" s="17">
        <f>DO165*VLOOKUP('Données projet'!$B$14,Paramètres!$A$1:$I$89,3,0)*VLOOKUP('Données projet'!$B$14,Paramètres!$A$1:$I$89,5,0)</f>
        <v>212.42519999999985</v>
      </c>
      <c r="DQ165" s="13">
        <f t="shared" si="176"/>
        <v>52.465198231787184</v>
      </c>
      <c r="DR165" s="20">
        <f t="shared" si="177"/>
        <v>461.35077692036231</v>
      </c>
      <c r="DS165" s="59">
        <f t="shared" si="125"/>
        <v>749.30157871892402</v>
      </c>
      <c r="DT165" s="59">
        <f ca="1">AVERAGE(OFFSET($DS$3,0,0,'Données projet'!$E$14+1,1))-AVERAGE(OFFSET($H$3,0,0,'Données projet'!$E$14+1,1))</f>
        <v>323.01113210765487</v>
      </c>
      <c r="DU165" s="59">
        <f t="shared" si="152"/>
        <v>311.68541696405975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5.6664662876271699</v>
      </c>
      <c r="EB165" s="21">
        <f>EXP(-LN(2)/25)*EB164+(1-EXP(-LN(2)/25))/(LN(2)/25)*Calculateur!DW165*Calculateur!DY165*VLOOKUP('Données projet'!$B$14,Paramètres!$A$1:$I$89,3,0)*0.475*44/12</f>
        <v>0.85809851663394743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6.5245648042611171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337.99164391755608</v>
      </c>
      <c r="T166" s="59">
        <f t="shared" si="142"/>
        <v>421.45428231923393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-8.5265128291212022E-13</v>
      </c>
      <c r="AJ166" s="13">
        <f>AI166*VLOOKUP('Données projet'!$B$10,Paramètres!$A$1:$I$89,3,0)*VLOOKUP('Données projet'!$B$10,Paramètres!$A$1:$I$89,5,0)</f>
        <v>-8.6458840087288995E-13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596.42822894047072</v>
      </c>
      <c r="AO166" s="59">
        <f t="shared" si="144"/>
        <v>298.31525330951047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231.27015051651392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231.27015051651392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243</v>
      </c>
      <c r="BE166" s="13">
        <f>BD166*VLOOKUP('Données projet'!$B$11,Paramètres!$A$1:$I$89,3,0)*VLOOKUP('Données projet'!$B$11,Paramètres!$A$1:$I$89,5,0)</f>
        <v>253.98360000000002</v>
      </c>
      <c r="BF166" s="13">
        <f t="shared" si="167"/>
        <v>61.438182405444294</v>
      </c>
      <c r="BG166" s="20">
        <f t="shared" si="168"/>
        <v>549.35960435614891</v>
      </c>
      <c r="BH166" s="59">
        <f t="shared" si="116"/>
        <v>837.40378104330114</v>
      </c>
      <c r="BI166" s="59">
        <f ca="1">AVERAGE(OFFSET($BH$3,0,0,'Données projet'!$E$11+1,1))-AVERAGE(OFFSET($H$3,0,0,'Données projet'!$E$11+1,1))</f>
        <v>446.06835300781546</v>
      </c>
      <c r="BJ166" s="59">
        <f t="shared" si="146"/>
        <v>396.46809188573138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9.3635014161381385</v>
      </c>
      <c r="BQ166" s="21">
        <f>EXP(-LN(2)/25)*BQ165+(1-EXP(-LN(2)/25))/(LN(2)/25)*Calculateur!BL166*Calculateur!BN166*VLOOKUP('Données projet'!$B$11,Paramètres!$A$1:$I$89,3,0)*0.475*44/12</f>
        <v>3.1059996397332301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12.469501055871369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-3.979039320256561E-13</v>
      </c>
      <c r="BZ166" s="13">
        <f>BY166*VLOOKUP('Données projet'!$B$12,Paramètres!$A$1:$I$89,3,0)*VLOOKUP('Données projet'!$B$12,Paramètres!$A$1:$I$89,5,0)</f>
        <v>-1.8621904018800707E-13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307.52821153421951</v>
      </c>
      <c r="CE166" s="59">
        <f t="shared" si="148"/>
        <v>221.23619018904222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49.651070405385155</v>
      </c>
      <c r="CL166" s="21">
        <f>EXP(-LN(2)/25)*CL165+(1-EXP(-LN(2)/25))/(LN(2)/25)*Calculateur!CG166*Calculateur!CI166*VLOOKUP('Données projet'!$B$12,Paramètres!$A$1:$I$89,3,0)*0.475*44/12</f>
        <v>7.4038069980649768</v>
      </c>
      <c r="CM166" s="21">
        <f>EXP(-LN(2)/2)*CM165+(1-EXP(-LN(2)/2))/(LN(2)/2)*CG166*CJ166*VLOOKUP('Données projet'!$B$12,Paramètres!$A$1:$I$89,3,0)*0.475*44/12</f>
        <v>1.0102478803114415E-8</v>
      </c>
      <c r="CN166" s="22">
        <f t="shared" si="172"/>
        <v>57.05487741355261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6.3403846153846128</v>
      </c>
      <c r="CT166" s="12">
        <f>IF('Données projet'!$A$140&gt;35,CT165+CS166-DB165,IF(A166&lt;'Données projet'!$A$140,$CQ$205^A166,IF(A166='Données projet'!$A$140,'Données projet'!$B$140,CT165+CS166-DB165)))</f>
        <v>387.34551282051223</v>
      </c>
      <c r="CU166" s="17">
        <f>CT166*VLOOKUP('Données projet'!$B$13,Paramètres!$A$1:$I$89,3,0)*VLOOKUP('Données projet'!$B$13,Paramètres!$A$1:$I$89,5,0)</f>
        <v>441.10906999999935</v>
      </c>
      <c r="CV166" s="13">
        <f t="shared" si="173"/>
        <v>100.06285721241365</v>
      </c>
      <c r="CW166" s="20">
        <f t="shared" si="174"/>
        <v>942.54110656161936</v>
      </c>
      <c r="CX166" s="59">
        <f t="shared" si="122"/>
        <v>1230.5852832487717</v>
      </c>
      <c r="CY166" s="59">
        <f ca="1">AVERAGE(OFFSET($CX$3,0,0,'Données projet'!$E$13+1,1))-AVERAGE(OFFSET($H$3,0,0,'Données projet'!$E$13+1,1))</f>
        <v>598.12133208901378</v>
      </c>
      <c r="CZ166" s="59">
        <f t="shared" si="150"/>
        <v>246.23353541360947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66.794176233811868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66.794176233811868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266.99999999999983</v>
      </c>
      <c r="DP166" s="17">
        <f>DO166*VLOOKUP('Données projet'!$B$14,Paramètres!$A$1:$I$89,3,0)*VLOOKUP('Données projet'!$B$14,Paramètres!$A$1:$I$89,5,0)</f>
        <v>212.42519999999985</v>
      </c>
      <c r="DQ166" s="13">
        <f t="shared" si="176"/>
        <v>52.465198231787184</v>
      </c>
      <c r="DR166" s="20">
        <f t="shared" si="177"/>
        <v>461.35077692036231</v>
      </c>
      <c r="DS166" s="59">
        <f t="shared" si="125"/>
        <v>749.39495360751448</v>
      </c>
      <c r="DT166" s="59">
        <f ca="1">AVERAGE(OFFSET($DS$3,0,0,'Données projet'!$E$14+1,1))-AVERAGE(OFFSET($H$3,0,0,'Données projet'!$E$14+1,1))</f>
        <v>323.01113210765487</v>
      </c>
      <c r="DU166" s="59">
        <f t="shared" si="152"/>
        <v>311.68541696405975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5.5553503399299649</v>
      </c>
      <c r="EB166" s="21">
        <f>EXP(-LN(2)/25)*EB165+(1-EXP(-LN(2)/25))/(LN(2)/25)*Calculateur!DW166*Calculateur!DY166*VLOOKUP('Données projet'!$B$14,Paramètres!$A$1:$I$89,3,0)*0.475*44/12</f>
        <v>0.83463376757115237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6.3899841075011174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337.99164391755608</v>
      </c>
      <c r="T167" s="59">
        <f t="shared" si="142"/>
        <v>421.45428231923393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-8.5265128291212022E-13</v>
      </c>
      <c r="AJ167" s="13">
        <f>AI167*VLOOKUP('Données projet'!$B$10,Paramètres!$A$1:$I$89,3,0)*VLOOKUP('Données projet'!$B$10,Paramètres!$A$1:$I$89,5,0)</f>
        <v>-8.6458840087288995E-13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596.42822894047072</v>
      </c>
      <c r="AO167" s="59">
        <f t="shared" si="144"/>
        <v>298.31525330951047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226.73508392574828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226.73508392574828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243</v>
      </c>
      <c r="BE167" s="13">
        <f>BD167*VLOOKUP('Données projet'!$B$11,Paramètres!$A$1:$I$89,3,0)*VLOOKUP('Données projet'!$B$11,Paramètres!$A$1:$I$89,5,0)</f>
        <v>253.98360000000002</v>
      </c>
      <c r="BF167" s="13">
        <f t="shared" si="167"/>
        <v>61.438182405444294</v>
      </c>
      <c r="BG167" s="20">
        <f t="shared" si="168"/>
        <v>549.35960435614891</v>
      </c>
      <c r="BH167" s="59">
        <f t="shared" si="116"/>
        <v>837.49553608632959</v>
      </c>
      <c r="BI167" s="59">
        <f ca="1">AVERAGE(OFFSET($BH$3,0,0,'Données projet'!$E$11+1,1))-AVERAGE(OFFSET($H$3,0,0,'Données projet'!$E$11+1,1))</f>
        <v>446.06835300781546</v>
      </c>
      <c r="BJ167" s="59">
        <f t="shared" si="146"/>
        <v>396.46809188573138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9.1798888645396026</v>
      </c>
      <c r="BQ167" s="21">
        <f>EXP(-LN(2)/25)*BQ166+(1-EXP(-LN(2)/25))/(LN(2)/25)*Calculateur!BL167*Calculateur!BN167*VLOOKUP('Données projet'!$B$11,Paramètres!$A$1:$I$89,3,0)*0.475*44/12</f>
        <v>3.0210659162473026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12.200954780786905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-3.979039320256561E-13</v>
      </c>
      <c r="BZ167" s="13">
        <f>BY167*VLOOKUP('Données projet'!$B$12,Paramètres!$A$1:$I$89,3,0)*VLOOKUP('Données projet'!$B$12,Paramètres!$A$1:$I$89,5,0)</f>
        <v>-1.8621904018800707E-13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307.52821153421951</v>
      </c>
      <c r="CE167" s="59">
        <f t="shared" si="148"/>
        <v>221.23619018904222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48.677443198898189</v>
      </c>
      <c r="CL167" s="21">
        <f>EXP(-LN(2)/25)*CL166+(1-EXP(-LN(2)/25))/(LN(2)/25)*Calculateur!CG167*Calculateur!CI167*VLOOKUP('Données projet'!$B$12,Paramètres!$A$1:$I$89,3,0)*0.475*44/12</f>
        <v>7.2013495063536013</v>
      </c>
      <c r="CM167" s="21">
        <f>EXP(-LN(2)/2)*CM166+(1-EXP(-LN(2)/2))/(LN(2)/2)*CG167*CJ167*VLOOKUP('Données projet'!$B$12,Paramètres!$A$1:$I$89,3,0)*0.475*44/12</f>
        <v>7.1435312684755592E-9</v>
      </c>
      <c r="CN167" s="22">
        <f t="shared" si="172"/>
        <v>55.878792712395324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393.6858974358974</v>
      </c>
      <c r="CR167" s="12">
        <f>VLOOKUP(A167,'Données projet'!$A$139:$I$159,9,0)</f>
        <v>6.3403846153846128</v>
      </c>
      <c r="CS167" s="12">
        <f t="array" ref="CS167">INDEX(CR:CR,MIN(IF(ISNUMBER(CR167:CR363),ROW(CR167:CR363),"")))</f>
        <v>6.3403846153846128</v>
      </c>
      <c r="CT167" s="12">
        <f>IF('Données projet'!$A$140&gt;35,CT166+CS167-DB166,IF(A167&lt;'Données projet'!$A$140,$CQ$205^A167,IF(A167='Données projet'!$A$140,'Données projet'!$B$140,CT166+CS167-DB166)))</f>
        <v>393.68589743589683</v>
      </c>
      <c r="CU167" s="17">
        <f>CT167*VLOOKUP('Données projet'!$B$13,Paramètres!$A$1:$I$89,3,0)*VLOOKUP('Données projet'!$B$13,Paramètres!$A$1:$I$89,5,0)</f>
        <v>448.32949999999931</v>
      </c>
      <c r="CV167" s="13">
        <f t="shared" si="173"/>
        <v>101.50874386242432</v>
      </c>
      <c r="CW167" s="20">
        <f t="shared" si="174"/>
        <v>957.63494139372108</v>
      </c>
      <c r="CX167" s="59">
        <f t="shared" si="122"/>
        <v>1245.7708731239018</v>
      </c>
      <c r="CY167" s="59">
        <f ca="1">AVERAGE(OFFSET($CX$3,0,0,'Données projet'!$E$13+1,1))-AVERAGE(OFFSET($H$3,0,0,'Données projet'!$E$13+1,1))</f>
        <v>598.12133208901378</v>
      </c>
      <c r="CZ167" s="59">
        <f t="shared" si="150"/>
        <v>246.23353541360947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44.814102564102562</v>
      </c>
      <c r="DC167" s="16">
        <f>IF(ISNA(VLOOKUP(A167,'Données projet'!$A$139:$I$159,5,0)),0%,VLOOKUP(A167,'Données projet'!$A$139:$I$159,5,0)*VLOOKUP('Données projet'!$B$13,Paramètres!$A$1:$I$89,7,0))</f>
        <v>0.38700000000000001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87.317726183498337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87.317726183498337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266.99999999999983</v>
      </c>
      <c r="DP167" s="17">
        <f>DO167*VLOOKUP('Données projet'!$B$14,Paramètres!$A$1:$I$89,3,0)*VLOOKUP('Données projet'!$B$14,Paramètres!$A$1:$I$89,5,0)</f>
        <v>212.42519999999985</v>
      </c>
      <c r="DQ167" s="13">
        <f t="shared" si="176"/>
        <v>52.465198231787184</v>
      </c>
      <c r="DR167" s="20">
        <f t="shared" si="177"/>
        <v>461.35077692036231</v>
      </c>
      <c r="DS167" s="59">
        <f t="shared" si="125"/>
        <v>749.48670865054305</v>
      </c>
      <c r="DT167" s="59">
        <f ca="1">AVERAGE(OFFSET($DS$3,0,0,'Données projet'!$E$14+1,1))-AVERAGE(OFFSET($H$3,0,0,'Données projet'!$E$14+1,1))</f>
        <v>323.01113210765487</v>
      </c>
      <c r="DU167" s="59">
        <f t="shared" si="152"/>
        <v>311.68541696405975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5.4464133081930663</v>
      </c>
      <c r="EB167" s="21">
        <f>EXP(-LN(2)/25)*EB166+(1-EXP(-LN(2)/25))/(LN(2)/25)*Calculateur!DW167*Calculateur!DY167*VLOOKUP('Données projet'!$B$14,Paramètres!$A$1:$I$89,3,0)*0.475*44/12</f>
        <v>0.81181066330543694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6.2582239714985031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337.99164391755608</v>
      </c>
      <c r="T168" s="59">
        <f t="shared" si="142"/>
        <v>421.45428231923393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-8.5265128291212022E-13</v>
      </c>
      <c r="AJ168" s="13">
        <f>AI168*VLOOKUP('Données projet'!$B$10,Paramètres!$A$1:$I$89,3,0)*VLOOKUP('Données projet'!$B$10,Paramètres!$A$1:$I$89,5,0)</f>
        <v>-8.6458840087288995E-13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596.42822894047072</v>
      </c>
      <c r="AO168" s="59">
        <f t="shared" si="144"/>
        <v>298.31525330951047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222.28894722471009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222.28894722471009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243</v>
      </c>
      <c r="BE168" s="13">
        <f>BD168*VLOOKUP('Données projet'!$B$11,Paramètres!$A$1:$I$89,3,0)*VLOOKUP('Données projet'!$B$11,Paramètres!$A$1:$I$89,5,0)</f>
        <v>253.98360000000002</v>
      </c>
      <c r="BF168" s="13">
        <f t="shared" si="167"/>
        <v>61.438182405444294</v>
      </c>
      <c r="BG168" s="20">
        <f t="shared" si="168"/>
        <v>549.35960435614891</v>
      </c>
      <c r="BH168" s="59">
        <f t="shared" si="116"/>
        <v>837.585699384495</v>
      </c>
      <c r="BI168" s="59">
        <f ca="1">AVERAGE(OFFSET($BH$3,0,0,'Données projet'!$E$11+1,1))-AVERAGE(OFFSET($H$3,0,0,'Données projet'!$E$11+1,1))</f>
        <v>446.06835300781546</v>
      </c>
      <c r="BJ168" s="59">
        <f t="shared" si="146"/>
        <v>396.46809188573138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8.9998768430853158</v>
      </c>
      <c r="BQ168" s="21">
        <f>EXP(-LN(2)/25)*BQ167+(1-EXP(-LN(2)/25))/(LN(2)/25)*Calculateur!BL168*Calculateur!BN168*VLOOKUP('Données projet'!$B$11,Paramètres!$A$1:$I$89,3,0)*0.475*44/12</f>
        <v>2.9384547098965683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11.938331552981884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-3.979039320256561E-13</v>
      </c>
      <c r="BZ168" s="13">
        <f>BY168*VLOOKUP('Données projet'!$B$12,Paramètres!$A$1:$I$89,3,0)*VLOOKUP('Données projet'!$B$12,Paramètres!$A$1:$I$89,5,0)</f>
        <v>-1.8621904018800707E-13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307.52821153421951</v>
      </c>
      <c r="CE168" s="59">
        <f t="shared" si="148"/>
        <v>221.23619018904222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47.72290822807647</v>
      </c>
      <c r="CL168" s="21">
        <f>EXP(-LN(2)/25)*CL167+(1-EXP(-LN(2)/25))/(LN(2)/25)*Calculateur!CG168*Calculateur!CI168*VLOOKUP('Données projet'!$B$12,Paramètres!$A$1:$I$89,3,0)*0.475*44/12</f>
        <v>7.0044282253998507</v>
      </c>
      <c r="CM168" s="21">
        <f>EXP(-LN(2)/2)*CM167+(1-EXP(-LN(2)/2))/(LN(2)/2)*CG168*CJ168*VLOOKUP('Données projet'!$B$12,Paramètres!$A$1:$I$89,3,0)*0.475*44/12</f>
        <v>5.0512394015572075E-9</v>
      </c>
      <c r="CN168" s="22">
        <f t="shared" si="172"/>
        <v>54.72733645852756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6.4179487179487182</v>
      </c>
      <c r="CT168" s="12">
        <f>IF('Données projet'!$A$140&gt;35,CT167+CS168-DB167,IF(A168&lt;'Données projet'!$A$140,$CQ$205^A168,IF(A168='Données projet'!$A$140,'Données projet'!$B$140,CT167+CS168-DB167)))</f>
        <v>355.28974358974301</v>
      </c>
      <c r="CU168" s="17">
        <f>CT168*VLOOKUP('Données projet'!$B$13,Paramètres!$A$1:$I$89,3,0)*VLOOKUP('Données projet'!$B$13,Paramètres!$A$1:$I$89,5,0)</f>
        <v>404.6039599999994</v>
      </c>
      <c r="CV168" s="13">
        <f t="shared" si="173"/>
        <v>92.709424867817035</v>
      </c>
      <c r="CW168" s="20">
        <f t="shared" si="174"/>
        <v>866.15414531144688</v>
      </c>
      <c r="CX168" s="59">
        <f t="shared" si="122"/>
        <v>1154.3802403397931</v>
      </c>
      <c r="CY168" s="59">
        <f ca="1">AVERAGE(OFFSET($CX$3,0,0,'Données projet'!$E$13+1,1))-AVERAGE(OFFSET($H$3,0,0,'Données projet'!$E$13+1,1))</f>
        <v>598.12133208901378</v>
      </c>
      <c r="CZ168" s="59">
        <f t="shared" si="150"/>
        <v>246.23353541360947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85.605478831594056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85.605478831594056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266.99999999999983</v>
      </c>
      <c r="DP168" s="17">
        <f>DO168*VLOOKUP('Données projet'!$B$14,Paramètres!$A$1:$I$89,3,0)*VLOOKUP('Données projet'!$B$14,Paramètres!$A$1:$I$89,5,0)</f>
        <v>212.42519999999985</v>
      </c>
      <c r="DQ168" s="13">
        <f t="shared" si="176"/>
        <v>52.465198231787184</v>
      </c>
      <c r="DR168" s="20">
        <f t="shared" si="177"/>
        <v>461.35077692036231</v>
      </c>
      <c r="DS168" s="59">
        <f t="shared" si="125"/>
        <v>749.57687194870846</v>
      </c>
      <c r="DT168" s="59">
        <f ca="1">AVERAGE(OFFSET($DS$3,0,0,'Données projet'!$E$14+1,1))-AVERAGE(OFFSET($H$3,0,0,'Données projet'!$E$14+1,1))</f>
        <v>323.01113210765487</v>
      </c>
      <c r="DU168" s="59">
        <f t="shared" si="152"/>
        <v>311.68541696405975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5.3396124652034995</v>
      </c>
      <c r="EB168" s="21">
        <f>EXP(-LN(2)/25)*EB167+(1-EXP(-LN(2)/25))/(LN(2)/25)*Calculateur!DW168*Calculateur!DY168*VLOOKUP('Données projet'!$B$14,Paramètres!$A$1:$I$89,3,0)*0.475*44/12</f>
        <v>0.78961165802608235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6.1292241232295819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337.99164391755608</v>
      </c>
      <c r="T169" s="59">
        <f t="shared" si="142"/>
        <v>421.45428231923393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-8.5265128291212022E-13</v>
      </c>
      <c r="AJ169" s="13">
        <f>AI169*VLOOKUP('Données projet'!$B$10,Paramètres!$A$1:$I$89,3,0)*VLOOKUP('Données projet'!$B$10,Paramètres!$A$1:$I$89,5,0)</f>
        <v>-8.6458840087288995E-13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596.42822894047072</v>
      </c>
      <c r="AO169" s="59">
        <f t="shared" si="144"/>
        <v>298.31525330951047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217.92999655250364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217.92999655250364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243</v>
      </c>
      <c r="BE169" s="13">
        <f>BD169*VLOOKUP('Données projet'!$B$11,Paramètres!$A$1:$I$89,3,0)*VLOOKUP('Données projet'!$B$11,Paramètres!$A$1:$I$89,5,0)</f>
        <v>253.98360000000002</v>
      </c>
      <c r="BF169" s="13">
        <f t="shared" si="167"/>
        <v>61.438182405444294</v>
      </c>
      <c r="BG169" s="20">
        <f t="shared" si="168"/>
        <v>549.35960435614891</v>
      </c>
      <c r="BH169" s="59">
        <f t="shared" si="116"/>
        <v>837.67429855101227</v>
      </c>
      <c r="BI169" s="59">
        <f ca="1">AVERAGE(OFFSET($BH$3,0,0,'Données projet'!$E$11+1,1))-AVERAGE(OFFSET($H$3,0,0,'Données projet'!$E$11+1,1))</f>
        <v>446.06835300781546</v>
      </c>
      <c r="BJ169" s="59">
        <f t="shared" si="146"/>
        <v>396.46809188573138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8.8233947475752554</v>
      </c>
      <c r="BQ169" s="21">
        <f>EXP(-LN(2)/25)*BQ168+(1-EXP(-LN(2)/25))/(LN(2)/25)*Calculateur!BL169*Calculateur!BN169*VLOOKUP('Données projet'!$B$11,Paramètres!$A$1:$I$89,3,0)*0.475*44/12</f>
        <v>2.8581025113278296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11.681497258903086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-3.979039320256561E-13</v>
      </c>
      <c r="BZ169" s="13">
        <f>BY169*VLOOKUP('Données projet'!$B$12,Paramètres!$A$1:$I$89,3,0)*VLOOKUP('Données projet'!$B$12,Paramètres!$A$1:$I$89,5,0)</f>
        <v>-1.8621904018800707E-13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307.52821153421951</v>
      </c>
      <c r="CE169" s="59">
        <f t="shared" si="148"/>
        <v>221.23619018904222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46.787091105823727</v>
      </c>
      <c r="CL169" s="21">
        <f>EXP(-LN(2)/25)*CL168+(1-EXP(-LN(2)/25))/(LN(2)/25)*Calculateur!CG169*Calculateur!CI169*VLOOKUP('Données projet'!$B$12,Paramètres!$A$1:$I$89,3,0)*0.475*44/12</f>
        <v>6.81289176722942</v>
      </c>
      <c r="CM169" s="21">
        <f>EXP(-LN(2)/2)*CM168+(1-EXP(-LN(2)/2))/(LN(2)/2)*CG169*CJ169*VLOOKUP('Données projet'!$B$12,Paramètres!$A$1:$I$89,3,0)*0.475*44/12</f>
        <v>3.5717656342377796E-9</v>
      </c>
      <c r="CN169" s="22">
        <f t="shared" si="172"/>
        <v>53.599982876624914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6.4179487179487182</v>
      </c>
      <c r="CT169" s="12">
        <f>IF('Données projet'!$A$140&gt;35,CT168+CS169-DB168,IF(A169&lt;'Données projet'!$A$140,$CQ$205^A169,IF(A169='Données projet'!$A$140,'Données projet'!$B$140,CT168+CS169-DB168)))</f>
        <v>361.70769230769173</v>
      </c>
      <c r="CU169" s="17">
        <f>CT169*VLOOKUP('Données projet'!$B$13,Paramètres!$A$1:$I$89,3,0)*VLOOKUP('Données projet'!$B$13,Paramètres!$A$1:$I$89,5,0)</f>
        <v>411.9127199999993</v>
      </c>
      <c r="CV169" s="13">
        <f t="shared" si="173"/>
        <v>94.187645927331616</v>
      </c>
      <c r="CW169" s="20">
        <f t="shared" si="174"/>
        <v>881.4581373234347</v>
      </c>
      <c r="CX169" s="59">
        <f t="shared" si="122"/>
        <v>1169.7728315182981</v>
      </c>
      <c r="CY169" s="59">
        <f ca="1">AVERAGE(OFFSET($CX$3,0,0,'Données projet'!$E$13+1,1))-AVERAGE(OFFSET($H$3,0,0,'Données projet'!$E$13+1,1))</f>
        <v>598.12133208901378</v>
      </c>
      <c r="CZ169" s="59">
        <f t="shared" si="150"/>
        <v>246.23353541360947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83.926807605892861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83.926807605892861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266.99999999999983</v>
      </c>
      <c r="DP169" s="17">
        <f>DO169*VLOOKUP('Données projet'!$B$14,Paramètres!$A$1:$I$89,3,0)*VLOOKUP('Données projet'!$B$14,Paramètres!$A$1:$I$89,5,0)</f>
        <v>212.42519999999985</v>
      </c>
      <c r="DQ169" s="13">
        <f t="shared" si="176"/>
        <v>52.465198231787184</v>
      </c>
      <c r="DR169" s="20">
        <f t="shared" si="177"/>
        <v>461.35077692036231</v>
      </c>
      <c r="DS169" s="59">
        <f t="shared" si="125"/>
        <v>749.66547111522573</v>
      </c>
      <c r="DT169" s="59">
        <f ca="1">AVERAGE(OFFSET($DS$3,0,0,'Données projet'!$E$14+1,1))-AVERAGE(OFFSET($H$3,0,0,'Données projet'!$E$14+1,1))</f>
        <v>323.01113210765487</v>
      </c>
      <c r="DU169" s="59">
        <f t="shared" si="152"/>
        <v>311.68541696405975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5.2349059216028762</v>
      </c>
      <c r="EB169" s="21">
        <f>EXP(-LN(2)/25)*EB168+(1-EXP(-LN(2)/25))/(LN(2)/25)*Calculateur!DW169*Calculateur!DY169*VLOOKUP('Données projet'!$B$14,Paramètres!$A$1:$I$89,3,0)*0.475*44/12</f>
        <v>0.76801968571348667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6.0029256073163628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337.99164391755608</v>
      </c>
      <c r="T170" s="59">
        <f t="shared" si="142"/>
        <v>421.45428231923393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-8.5265128291212022E-13</v>
      </c>
      <c r="AJ170" s="13">
        <f>AI170*VLOOKUP('Données projet'!$B$10,Paramètres!$A$1:$I$89,3,0)*VLOOKUP('Données projet'!$B$10,Paramètres!$A$1:$I$89,5,0)</f>
        <v>-8.6458840087288995E-13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596.42822894047072</v>
      </c>
      <c r="AO170" s="59">
        <f t="shared" si="144"/>
        <v>298.31525330951047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213.65652224428177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213.65652224428177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243</v>
      </c>
      <c r="BE170" s="13">
        <f>BD170*VLOOKUP('Données projet'!$B$11,Paramètres!$A$1:$I$89,3,0)*VLOOKUP('Données projet'!$B$11,Paramètres!$A$1:$I$89,5,0)</f>
        <v>253.98360000000002</v>
      </c>
      <c r="BF170" s="13">
        <f t="shared" si="167"/>
        <v>61.438182405444294</v>
      </c>
      <c r="BG170" s="20">
        <f t="shared" si="168"/>
        <v>549.35960435614891</v>
      </c>
      <c r="BH170" s="59">
        <f t="shared" si="116"/>
        <v>837.76136072006852</v>
      </c>
      <c r="BI170" s="59">
        <f ca="1">AVERAGE(OFFSET($BH$3,0,0,'Données projet'!$E$11+1,1))-AVERAGE(OFFSET($H$3,0,0,'Données projet'!$E$11+1,1))</f>
        <v>446.06835300781546</v>
      </c>
      <c r="BJ170" s="59">
        <f t="shared" si="146"/>
        <v>396.46809188573138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8.6503733583146989</v>
      </c>
      <c r="BQ170" s="21">
        <f>EXP(-LN(2)/25)*BQ169+(1-EXP(-LN(2)/25))/(LN(2)/25)*Calculateur!BL170*Calculateur!BN170*VLOOKUP('Données projet'!$B$11,Paramètres!$A$1:$I$89,3,0)*0.475*44/12</f>
        <v>2.7799475478544911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11.430320906169189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-3.979039320256561E-13</v>
      </c>
      <c r="BZ170" s="13">
        <f>BY170*VLOOKUP('Données projet'!$B$12,Paramètres!$A$1:$I$89,3,0)*VLOOKUP('Données projet'!$B$12,Paramètres!$A$1:$I$89,5,0)</f>
        <v>-1.8621904018800707E-13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307.52821153421951</v>
      </c>
      <c r="CE170" s="59">
        <f t="shared" si="148"/>
        <v>221.23619018904222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45.869624786546275</v>
      </c>
      <c r="CL170" s="21">
        <f>EXP(-LN(2)/25)*CL169+(1-EXP(-LN(2)/25))/(LN(2)/25)*Calculateur!CG170*Calculateur!CI170*VLOOKUP('Données projet'!$B$12,Paramètres!$A$1:$I$89,3,0)*0.475*44/12</f>
        <v>6.6265928835801242</v>
      </c>
      <c r="CM170" s="21">
        <f>EXP(-LN(2)/2)*CM169+(1-EXP(-LN(2)/2))/(LN(2)/2)*CG170*CJ170*VLOOKUP('Données projet'!$B$12,Paramètres!$A$1:$I$89,3,0)*0.475*44/12</f>
        <v>2.5256197007786037E-9</v>
      </c>
      <c r="CN170" s="22">
        <f t="shared" si="172"/>
        <v>52.496217672652016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6.4179487179487182</v>
      </c>
      <c r="CT170" s="12">
        <f>IF('Données projet'!$A$140&gt;35,CT169+CS170-DB169,IF(A170&lt;'Données projet'!$A$140,$CQ$205^A170,IF(A170='Données projet'!$A$140,'Données projet'!$B$140,CT169+CS170-DB169)))</f>
        <v>368.12564102564045</v>
      </c>
      <c r="CU170" s="17">
        <f>CT170*VLOOKUP('Données projet'!$B$13,Paramètres!$A$1:$I$89,3,0)*VLOOKUP('Données projet'!$B$13,Paramètres!$A$1:$I$89,5,0)</f>
        <v>419.22147999999936</v>
      </c>
      <c r="CV170" s="13">
        <f t="shared" si="173"/>
        <v>95.66281693971986</v>
      </c>
      <c r="CW170" s="20">
        <f t="shared" si="174"/>
        <v>896.75681717001089</v>
      </c>
      <c r="CX170" s="59">
        <f t="shared" si="122"/>
        <v>1185.1585735339304</v>
      </c>
      <c r="CY170" s="59">
        <f ca="1">AVERAGE(OFFSET($CX$3,0,0,'Données projet'!$E$13+1,1))-AVERAGE(OFFSET($H$3,0,0,'Données projet'!$E$13+1,1))</f>
        <v>598.12133208901378</v>
      </c>
      <c r="CZ170" s="59">
        <f t="shared" si="150"/>
        <v>246.23353541360947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82.281054099039324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82.281054099039324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266.99999999999983</v>
      </c>
      <c r="DP170" s="17">
        <f>DO170*VLOOKUP('Données projet'!$B$14,Paramètres!$A$1:$I$89,3,0)*VLOOKUP('Données projet'!$B$14,Paramètres!$A$1:$I$89,5,0)</f>
        <v>212.42519999999985</v>
      </c>
      <c r="DQ170" s="13">
        <f t="shared" si="176"/>
        <v>52.465198231787184</v>
      </c>
      <c r="DR170" s="20">
        <f t="shared" si="177"/>
        <v>461.35077692036231</v>
      </c>
      <c r="DS170" s="59">
        <f t="shared" si="125"/>
        <v>749.75253328428198</v>
      </c>
      <c r="DT170" s="59">
        <f ca="1">AVERAGE(OFFSET($DS$3,0,0,'Données projet'!$E$14+1,1))-AVERAGE(OFFSET($H$3,0,0,'Données projet'!$E$14+1,1))</f>
        <v>323.01113210765487</v>
      </c>
      <c r="DU170" s="59">
        <f t="shared" si="152"/>
        <v>311.68541696405975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5.1322526094575753</v>
      </c>
      <c r="EB170" s="21">
        <f>EXP(-LN(2)/25)*EB169+(1-EXP(-LN(2)/25))/(LN(2)/25)*Calculateur!DW170*Calculateur!DY170*VLOOKUP('Données projet'!$B$14,Paramètres!$A$1:$I$89,3,0)*0.475*44/12</f>
        <v>0.7470181470192514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5.879270756476827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337.99164391755608</v>
      </c>
      <c r="T171" s="59">
        <f t="shared" si="142"/>
        <v>421.45428231923393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-8.5265128291212022E-13</v>
      </c>
      <c r="AJ171" s="13">
        <f>AI171*VLOOKUP('Données projet'!$B$10,Paramètres!$A$1:$I$89,3,0)*VLOOKUP('Données projet'!$B$10,Paramètres!$A$1:$I$89,5,0)</f>
        <v>-8.6458840087288995E-13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596.42822894047072</v>
      </c>
      <c r="AO171" s="59">
        <f t="shared" si="144"/>
        <v>298.31525330951047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209.46684816068219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209.46684816068219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243</v>
      </c>
      <c r="BE171" s="13">
        <f>BD171*VLOOKUP('Données projet'!$B$11,Paramètres!$A$1:$I$89,3,0)*VLOOKUP('Données projet'!$B$11,Paramètres!$A$1:$I$89,5,0)</f>
        <v>253.98360000000002</v>
      </c>
      <c r="BF171" s="13">
        <f t="shared" si="167"/>
        <v>61.438182405444294</v>
      </c>
      <c r="BG171" s="20">
        <f t="shared" si="168"/>
        <v>549.35960435614891</v>
      </c>
      <c r="BH171" s="59">
        <f t="shared" si="116"/>
        <v>837.84691255513349</v>
      </c>
      <c r="BI171" s="59">
        <f ca="1">AVERAGE(OFFSET($BH$3,0,0,'Données projet'!$E$11+1,1))-AVERAGE(OFFSET($H$3,0,0,'Données projet'!$E$11+1,1))</f>
        <v>446.06835300781546</v>
      </c>
      <c r="BJ171" s="59">
        <f t="shared" si="146"/>
        <v>396.46809188573138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8.4807448129649146</v>
      </c>
      <c r="BQ171" s="21">
        <f>EXP(-LN(2)/25)*BQ170+(1-EXP(-LN(2)/25))/(LN(2)/25)*Calculateur!BL171*Calculateur!BN171*VLOOKUP('Données projet'!$B$11,Paramètres!$A$1:$I$89,3,0)*0.475*44/12</f>
        <v>2.7039297359673222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11.184674548932236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-3.979039320256561E-13</v>
      </c>
      <c r="BZ171" s="13">
        <f>BY171*VLOOKUP('Données projet'!$B$12,Paramètres!$A$1:$I$89,3,0)*VLOOKUP('Données projet'!$B$12,Paramètres!$A$1:$I$89,5,0)</f>
        <v>-1.8621904018800707E-13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307.52821153421951</v>
      </c>
      <c r="CE171" s="59">
        <f t="shared" si="148"/>
        <v>221.23619018904222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44.970149422190651</v>
      </c>
      <c r="CL171" s="21">
        <f>EXP(-LN(2)/25)*CL170+(1-EXP(-LN(2)/25))/(LN(2)/25)*Calculateur!CG171*Calculateur!CI171*VLOOKUP('Données projet'!$B$12,Paramètres!$A$1:$I$89,3,0)*0.475*44/12</f>
        <v>6.4453883527012517</v>
      </c>
      <c r="CM171" s="21">
        <f>EXP(-LN(2)/2)*CM170+(1-EXP(-LN(2)/2))/(LN(2)/2)*CG171*CJ171*VLOOKUP('Données projet'!$B$12,Paramètres!$A$1:$I$89,3,0)*0.475*44/12</f>
        <v>1.7858828171188898E-9</v>
      </c>
      <c r="CN171" s="22">
        <f t="shared" si="172"/>
        <v>51.415537776677787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6.4179487179487182</v>
      </c>
      <c r="CT171" s="12">
        <f>IF('Données projet'!$A$140&gt;35,CT170+CS171-DB170,IF(A171&lt;'Données projet'!$A$140,$CQ$205^A171,IF(A171='Données projet'!$A$140,'Données projet'!$B$140,CT170+CS171-DB170)))</f>
        <v>374.54358974358917</v>
      </c>
      <c r="CU171" s="17">
        <f>CT171*VLOOKUP('Données projet'!$B$13,Paramètres!$A$1:$I$89,3,0)*VLOOKUP('Données projet'!$B$13,Paramètres!$A$1:$I$89,5,0)</f>
        <v>426.53023999999937</v>
      </c>
      <c r="CV171" s="13">
        <f t="shared" si="173"/>
        <v>97.134997215308104</v>
      </c>
      <c r="CW171" s="20">
        <f t="shared" si="174"/>
        <v>912.05028814999378</v>
      </c>
      <c r="CX171" s="59">
        <f t="shared" si="122"/>
        <v>1200.5375963489782</v>
      </c>
      <c r="CY171" s="59">
        <f ca="1">AVERAGE(OFFSET($CX$3,0,0,'Données projet'!$E$13+1,1))-AVERAGE(OFFSET($H$3,0,0,'Données projet'!$E$13+1,1))</f>
        <v>598.12133208901378</v>
      </c>
      <c r="CZ171" s="59">
        <f t="shared" si="150"/>
        <v>246.23353541360947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80.667572814644657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80.667572814644657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266.99999999999983</v>
      </c>
      <c r="DP171" s="17">
        <f>DO171*VLOOKUP('Données projet'!$B$14,Paramètres!$A$1:$I$89,3,0)*VLOOKUP('Données projet'!$B$14,Paramètres!$A$1:$I$89,5,0)</f>
        <v>212.42519999999985</v>
      </c>
      <c r="DQ171" s="13">
        <f t="shared" si="176"/>
        <v>52.465198231787184</v>
      </c>
      <c r="DR171" s="20">
        <f t="shared" si="177"/>
        <v>461.35077692036231</v>
      </c>
      <c r="DS171" s="59">
        <f t="shared" si="125"/>
        <v>749.83808511934683</v>
      </c>
      <c r="DT171" s="59">
        <f ca="1">AVERAGE(OFFSET($DS$3,0,0,'Données projet'!$E$14+1,1))-AVERAGE(OFFSET($H$3,0,0,'Données projet'!$E$14+1,1))</f>
        <v>323.01113210765487</v>
      </c>
      <c r="DU171" s="59">
        <f t="shared" si="152"/>
        <v>311.68541696405975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5.0316122661511065</v>
      </c>
      <c r="EB171" s="21">
        <f>EXP(-LN(2)/25)*EB170+(1-EXP(-LN(2)/25))/(LN(2)/25)*Calculateur!DW171*Calculateur!DY171*VLOOKUP('Données projet'!$B$14,Paramètres!$A$1:$I$89,3,0)*0.475*44/12</f>
        <v>0.72659089650503295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5.7582031626561392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337.99164391755608</v>
      </c>
      <c r="T172" s="59">
        <f t="shared" si="142"/>
        <v>421.45428231923393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-8.5265128291212022E-13</v>
      </c>
      <c r="AJ172" s="13">
        <f>AI172*VLOOKUP('Données projet'!$B$10,Paramètres!$A$1:$I$89,3,0)*VLOOKUP('Données projet'!$B$10,Paramètres!$A$1:$I$89,5,0)</f>
        <v>-8.6458840087288995E-13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596.42822894047072</v>
      </c>
      <c r="AO172" s="59">
        <f t="shared" si="144"/>
        <v>298.31525330951047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205.35933103041313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205.35933103041313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243</v>
      </c>
      <c r="BE172" s="13">
        <f>BD172*VLOOKUP('Données projet'!$B$11,Paramètres!$A$1:$I$89,3,0)*VLOOKUP('Données projet'!$B$11,Paramètres!$A$1:$I$89,5,0)</f>
        <v>253.98360000000002</v>
      </c>
      <c r="BF172" s="13">
        <f t="shared" si="167"/>
        <v>61.438182405444294</v>
      </c>
      <c r="BG172" s="20">
        <f t="shared" si="168"/>
        <v>549.35960435614891</v>
      </c>
      <c r="BH172" s="59">
        <f t="shared" si="116"/>
        <v>837.93098025712538</v>
      </c>
      <c r="BI172" s="59">
        <f ca="1">AVERAGE(OFFSET($BH$3,0,0,'Données projet'!$E$11+1,1))-AVERAGE(OFFSET($H$3,0,0,'Données projet'!$E$11+1,1))</f>
        <v>446.06835300781546</v>
      </c>
      <c r="BJ172" s="59">
        <f t="shared" si="146"/>
        <v>396.46809188573138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8.3144425799262418</v>
      </c>
      <c r="BQ172" s="21">
        <f>EXP(-LN(2)/25)*BQ171+(1-EXP(-LN(2)/25))/(LN(2)/25)*Calculateur!BL172*Calculateur!BN172*VLOOKUP('Données projet'!$B$11,Paramètres!$A$1:$I$89,3,0)*0.475*44/12</f>
        <v>2.6299906351438107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10.944433215070053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-3.979039320256561E-13</v>
      </c>
      <c r="BZ172" s="13">
        <f>BY172*VLOOKUP('Données projet'!$B$12,Paramètres!$A$1:$I$89,3,0)*VLOOKUP('Données projet'!$B$12,Paramètres!$A$1:$I$89,5,0)</f>
        <v>-1.8621904018800707E-13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307.52821153421951</v>
      </c>
      <c r="CE172" s="59">
        <f t="shared" si="148"/>
        <v>221.23619018904222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44.088312221104246</v>
      </c>
      <c r="CL172" s="21">
        <f>EXP(-LN(2)/25)*CL171+(1-EXP(-LN(2)/25))/(LN(2)/25)*Calculateur!CG172*Calculateur!CI172*VLOOKUP('Données projet'!$B$12,Paramètres!$A$1:$I$89,3,0)*0.475*44/12</f>
        <v>6.269138869248394</v>
      </c>
      <c r="CM172" s="21">
        <f>EXP(-LN(2)/2)*CM171+(1-EXP(-LN(2)/2))/(LN(2)/2)*CG172*CJ172*VLOOKUP('Données projet'!$B$12,Paramètres!$A$1:$I$89,3,0)*0.475*44/12</f>
        <v>1.2628098503893019E-9</v>
      </c>
      <c r="CN172" s="22">
        <f t="shared" si="172"/>
        <v>50.357451091615452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6.4179487179487182</v>
      </c>
      <c r="CT172" s="12">
        <f>IF('Données projet'!$A$140&gt;35,CT171+CS172-DB171,IF(A172&lt;'Données projet'!$A$140,$CQ$205^A172,IF(A172='Données projet'!$A$140,'Données projet'!$B$140,CT171+CS172-DB171)))</f>
        <v>380.96153846153788</v>
      </c>
      <c r="CU172" s="17">
        <f>CT172*VLOOKUP('Données projet'!$B$13,Paramètres!$A$1:$I$89,3,0)*VLOOKUP('Données projet'!$B$13,Paramètres!$A$1:$I$89,5,0)</f>
        <v>433.83899999999937</v>
      </c>
      <c r="CV172" s="13">
        <f t="shared" si="173"/>
        <v>98.604243915343346</v>
      </c>
      <c r="CW172" s="20">
        <f t="shared" si="174"/>
        <v>927.33864981922181</v>
      </c>
      <c r="CX172" s="59">
        <f t="shared" si="122"/>
        <v>1215.9100257201983</v>
      </c>
      <c r="CY172" s="59">
        <f ca="1">AVERAGE(OFFSET($CX$3,0,0,'Données projet'!$E$13+1,1))-AVERAGE(OFFSET($H$3,0,0,'Données projet'!$E$13+1,1))</f>
        <v>598.12133208901378</v>
      </c>
      <c r="CZ172" s="59">
        <f t="shared" si="150"/>
        <v>246.23353541360947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79.085730914110556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79.085730914110556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266.99999999999983</v>
      </c>
      <c r="DP172" s="17">
        <f>DO172*VLOOKUP('Données projet'!$B$14,Paramètres!$A$1:$I$89,3,0)*VLOOKUP('Données projet'!$B$14,Paramètres!$A$1:$I$89,5,0)</f>
        <v>212.42519999999985</v>
      </c>
      <c r="DQ172" s="13">
        <f t="shared" si="176"/>
        <v>52.465198231787184</v>
      </c>
      <c r="DR172" s="20">
        <f t="shared" si="177"/>
        <v>461.35077692036231</v>
      </c>
      <c r="DS172" s="59">
        <f t="shared" si="125"/>
        <v>749.92215282133873</v>
      </c>
      <c r="DT172" s="59">
        <f ca="1">AVERAGE(OFFSET($DS$3,0,0,'Données projet'!$E$14+1,1))-AVERAGE(OFFSET($H$3,0,0,'Données projet'!$E$14+1,1))</f>
        <v>323.01113210765487</v>
      </c>
      <c r="DU172" s="59">
        <f t="shared" si="152"/>
        <v>311.68541696405975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4.9329454185923289</v>
      </c>
      <c r="EB172" s="21">
        <f>EXP(-LN(2)/25)*EB171+(1-EXP(-LN(2)/25))/(LN(2)/25)*Calculateur!DW172*Calculateur!DY172*VLOOKUP('Données projet'!$B$14,Paramètres!$A$1:$I$89,3,0)*0.475*44/12</f>
        <v>0.70672223023034819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5.6396676488226767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337.99164391755608</v>
      </c>
      <c r="T173" s="59">
        <f t="shared" si="142"/>
        <v>421.45428231923393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-8.5265128291212022E-13</v>
      </c>
      <c r="AJ173" s="13">
        <f>AI173*VLOOKUP('Données projet'!$B$10,Paramètres!$A$1:$I$89,3,0)*VLOOKUP('Données projet'!$B$10,Paramètres!$A$1:$I$89,5,0)</f>
        <v>-8.6458840087288995E-13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596.42822894047072</v>
      </c>
      <c r="AO173" s="59">
        <f t="shared" si="144"/>
        <v>298.31525330951047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201.33235980573056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201.33235980573056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243</v>
      </c>
      <c r="BE173" s="13">
        <f>BD173*VLOOKUP('Données projet'!$B$11,Paramètres!$A$1:$I$89,3,0)*VLOOKUP('Données projet'!$B$11,Paramètres!$A$1:$I$89,5,0)</f>
        <v>253.98360000000002</v>
      </c>
      <c r="BF173" s="13">
        <f t="shared" si="167"/>
        <v>61.438182405444294</v>
      </c>
      <c r="BG173" s="20">
        <f t="shared" si="168"/>
        <v>549.35960435614891</v>
      </c>
      <c r="BH173" s="59">
        <f t="shared" si="116"/>
        <v>838.01358957243474</v>
      </c>
      <c r="BI173" s="59">
        <f ca="1">AVERAGE(OFFSET($BH$3,0,0,'Données projet'!$E$11+1,1))-AVERAGE(OFFSET($H$3,0,0,'Données projet'!$E$11+1,1))</f>
        <v>446.06835300781546</v>
      </c>
      <c r="BJ173" s="59">
        <f t="shared" si="146"/>
        <v>396.46809188573138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8.1514014322431123</v>
      </c>
      <c r="BQ173" s="21">
        <f>EXP(-LN(2)/25)*BQ172+(1-EXP(-LN(2)/25))/(LN(2)/25)*Calculateur!BL173*Calculateur!BN173*VLOOKUP('Données projet'!$B$11,Paramètres!$A$1:$I$89,3,0)*0.475*44/12</f>
        <v>2.5580734029206065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10.709474835163718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-3.979039320256561E-13</v>
      </c>
      <c r="BZ173" s="13">
        <f>BY173*VLOOKUP('Données projet'!$B$12,Paramètres!$A$1:$I$89,3,0)*VLOOKUP('Données projet'!$B$12,Paramètres!$A$1:$I$89,5,0)</f>
        <v>-1.8621904018800707E-13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307.52821153421951</v>
      </c>
      <c r="CE173" s="59">
        <f t="shared" si="148"/>
        <v>221.23619018904222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43.223767309663558</v>
      </c>
      <c r="CL173" s="21">
        <f>EXP(-LN(2)/25)*CL172+(1-EXP(-LN(2)/25))/(LN(2)/25)*Calculateur!CG173*Calculateur!CI173*VLOOKUP('Données projet'!$B$12,Paramètres!$A$1:$I$89,3,0)*0.475*44/12</f>
        <v>6.097708937189112</v>
      </c>
      <c r="CM173" s="21">
        <f>EXP(-LN(2)/2)*CM172+(1-EXP(-LN(2)/2))/(LN(2)/2)*CG173*CJ173*VLOOKUP('Données projet'!$B$12,Paramètres!$A$1:$I$89,3,0)*0.475*44/12</f>
        <v>8.929414085594449E-10</v>
      </c>
      <c r="CN173" s="22">
        <f t="shared" si="172"/>
        <v>49.321476247745608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6.4179487179487182</v>
      </c>
      <c r="CT173" s="12">
        <f>IF('Données projet'!$A$140&gt;35,CT172+CS173-DB172,IF(A173&lt;'Données projet'!$A$140,$CQ$205^A173,IF(A173='Données projet'!$A$140,'Données projet'!$B$140,CT172+CS173-DB172)))</f>
        <v>387.3794871794866</v>
      </c>
      <c r="CU173" s="17">
        <f>CT173*VLOOKUP('Données projet'!$B$13,Paramètres!$A$1:$I$89,3,0)*VLOOKUP('Données projet'!$B$13,Paramètres!$A$1:$I$89,5,0)</f>
        <v>441.14775999999932</v>
      </c>
      <c r="CV173" s="13">
        <f t="shared" si="173"/>
        <v>100.07061216473258</v>
      </c>
      <c r="CW173" s="20">
        <f t="shared" si="174"/>
        <v>942.62199818690806</v>
      </c>
      <c r="CX173" s="59">
        <f t="shared" si="122"/>
        <v>1231.275983403194</v>
      </c>
      <c r="CY173" s="59">
        <f ca="1">AVERAGE(OFFSET($CX$3,0,0,'Données projet'!$E$13+1,1))-AVERAGE(OFFSET($H$3,0,0,'Données projet'!$E$13+1,1))</f>
        <v>598.12133208901378</v>
      </c>
      <c r="CZ173" s="59">
        <f t="shared" si="150"/>
        <v>246.23353541360947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77.534907968417642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77.534907968417642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266.99999999999983</v>
      </c>
      <c r="DP173" s="17">
        <f>DO173*VLOOKUP('Données projet'!$B$14,Paramètres!$A$1:$I$89,3,0)*VLOOKUP('Données projet'!$B$14,Paramètres!$A$1:$I$89,5,0)</f>
        <v>212.42519999999985</v>
      </c>
      <c r="DQ173" s="13">
        <f t="shared" si="176"/>
        <v>52.465198231787184</v>
      </c>
      <c r="DR173" s="20">
        <f t="shared" si="177"/>
        <v>461.35077692036231</v>
      </c>
      <c r="DS173" s="59">
        <f t="shared" si="125"/>
        <v>750.0047621366482</v>
      </c>
      <c r="DT173" s="59">
        <f ca="1">AVERAGE(OFFSET($DS$3,0,0,'Données projet'!$E$14+1,1))-AVERAGE(OFFSET($H$3,0,0,'Données projet'!$E$14+1,1))</f>
        <v>323.01113210765487</v>
      </c>
      <c r="DU173" s="59">
        <f t="shared" si="152"/>
        <v>311.68541696405975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4.8362133677333441</v>
      </c>
      <c r="EB173" s="21">
        <f>EXP(-LN(2)/25)*EB172+(1-EXP(-LN(2)/25))/(LN(2)/25)*Calculateur!DW173*Calculateur!DY173*VLOOKUP('Données projet'!$B$14,Paramètres!$A$1:$I$89,3,0)*0.475*44/12</f>
        <v>0.68739687367979252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5.5236102414131363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337.99164391755608</v>
      </c>
      <c r="T174" s="59">
        <f t="shared" si="142"/>
        <v>421.45428231923393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-8.5265128291212022E-13</v>
      </c>
      <c r="AJ174" s="13">
        <f>AI174*VLOOKUP('Données projet'!$B$10,Paramètres!$A$1:$I$89,3,0)*VLOOKUP('Données projet'!$B$10,Paramètres!$A$1:$I$89,5,0)</f>
        <v>-8.6458840087288995E-13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596.42822894047072</v>
      </c>
      <c r="AO174" s="59">
        <f t="shared" si="144"/>
        <v>298.31525330951047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197.3843550305541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197.3843550305541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243</v>
      </c>
      <c r="BE174" s="13">
        <f>BD174*VLOOKUP('Données projet'!$B$11,Paramètres!$A$1:$I$89,3,0)*VLOOKUP('Données projet'!$B$11,Paramètres!$A$1:$I$89,5,0)</f>
        <v>253.98360000000002</v>
      </c>
      <c r="BF174" s="13">
        <f t="shared" si="167"/>
        <v>61.438182405444294</v>
      </c>
      <c r="BG174" s="20">
        <f t="shared" si="168"/>
        <v>549.35960435614891</v>
      </c>
      <c r="BH174" s="59">
        <f t="shared" si="116"/>
        <v>838.09476580081036</v>
      </c>
      <c r="BI174" s="59">
        <f ca="1">AVERAGE(OFFSET($BH$3,0,0,'Données projet'!$E$11+1,1))-AVERAGE(OFFSET($H$3,0,0,'Données projet'!$E$11+1,1))</f>
        <v>446.06835300781546</v>
      </c>
      <c r="BJ174" s="59">
        <f t="shared" si="146"/>
        <v>396.46809188573138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7.9915574220207679</v>
      </c>
      <c r="BQ174" s="21">
        <f>EXP(-LN(2)/25)*BQ173+(1-EXP(-LN(2)/25))/(LN(2)/25)*Calculateur!BL174*Calculateur!BN174*VLOOKUP('Données projet'!$B$11,Paramètres!$A$1:$I$89,3,0)*0.475*44/12</f>
        <v>2.488122751194509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10.479680173215277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-3.979039320256561E-13</v>
      </c>
      <c r="BZ174" s="13">
        <f>BY174*VLOOKUP('Données projet'!$B$12,Paramètres!$A$1:$I$89,3,0)*VLOOKUP('Données projet'!$B$12,Paramètres!$A$1:$I$89,5,0)</f>
        <v>-1.8621904018800707E-13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307.52821153421951</v>
      </c>
      <c r="CE174" s="59">
        <f t="shared" si="148"/>
        <v>221.23619018904222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42.376175596615894</v>
      </c>
      <c r="CL174" s="21">
        <f>EXP(-LN(2)/25)*CL173+(1-EXP(-LN(2)/25))/(LN(2)/25)*Calculateur!CG174*Calculateur!CI174*VLOOKUP('Données projet'!$B$12,Paramètres!$A$1:$I$89,3,0)*0.475*44/12</f>
        <v>5.9309667656370992</v>
      </c>
      <c r="CM174" s="21">
        <f>EXP(-LN(2)/2)*CM173+(1-EXP(-LN(2)/2))/(LN(2)/2)*CG174*CJ174*VLOOKUP('Données projet'!$B$12,Paramètres!$A$1:$I$89,3,0)*0.475*44/12</f>
        <v>6.3140492519465093E-10</v>
      </c>
      <c r="CN174" s="22">
        <f t="shared" si="172"/>
        <v>48.307142362884399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6.4179487179487182</v>
      </c>
      <c r="CT174" s="12">
        <f>IF('Données projet'!$A$140&gt;35,CT173+CS174-DB173,IF(A174&lt;'Données projet'!$A$140,$CQ$205^A174,IF(A174='Données projet'!$A$140,'Données projet'!$B$140,CT173+CS174-DB173)))</f>
        <v>393.79743589743532</v>
      </c>
      <c r="CU174" s="17">
        <f>CT174*VLOOKUP('Données projet'!$B$13,Paramètres!$A$1:$I$89,3,0)*VLOOKUP('Données projet'!$B$13,Paramètres!$A$1:$I$89,5,0)</f>
        <v>448.45651999999933</v>
      </c>
      <c r="CV174" s="13">
        <f t="shared" si="173"/>
        <v>101.53415515710012</v>
      </c>
      <c r="CW174" s="20">
        <f t="shared" si="174"/>
        <v>957.90042589861469</v>
      </c>
      <c r="CX174" s="59">
        <f t="shared" si="122"/>
        <v>1246.6355873432763</v>
      </c>
      <c r="CY174" s="59">
        <f ca="1">AVERAGE(OFFSET($CX$3,0,0,'Données projet'!$E$13+1,1))-AVERAGE(OFFSET($H$3,0,0,'Données projet'!$E$13+1,1))</f>
        <v>598.12133208901378</v>
      </c>
      <c r="CZ174" s="59">
        <f t="shared" si="150"/>
        <v>246.23353541360947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76.014495714781177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76.014495714781177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266.99999999999983</v>
      </c>
      <c r="DP174" s="17">
        <f>DO174*VLOOKUP('Données projet'!$B$14,Paramètres!$A$1:$I$89,3,0)*VLOOKUP('Données projet'!$B$14,Paramètres!$A$1:$I$89,5,0)</f>
        <v>212.42519999999985</v>
      </c>
      <c r="DQ174" s="13">
        <f t="shared" si="176"/>
        <v>52.465198231787184</v>
      </c>
      <c r="DR174" s="20">
        <f t="shared" si="177"/>
        <v>461.35077692036231</v>
      </c>
      <c r="DS174" s="59">
        <f t="shared" si="125"/>
        <v>750.08593836502382</v>
      </c>
      <c r="DT174" s="59">
        <f ca="1">AVERAGE(OFFSET($DS$3,0,0,'Données projet'!$E$14+1,1))-AVERAGE(OFFSET($H$3,0,0,'Données projet'!$E$14+1,1))</f>
        <v>323.01113210765487</v>
      </c>
      <c r="DU174" s="59">
        <f t="shared" si="152"/>
        <v>311.68541696405975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4.741378173390979</v>
      </c>
      <c r="EB174" s="21">
        <f>EXP(-LN(2)/25)*EB173+(1-EXP(-LN(2)/25))/(LN(2)/25)*Calculateur!DW174*Calculateur!DY174*VLOOKUP('Données projet'!$B$14,Paramètres!$A$1:$I$89,3,0)*0.475*44/12</f>
        <v>0.66859997002038807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5.409978143411367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337.99164391755608</v>
      </c>
      <c r="T175" s="59">
        <f t="shared" si="142"/>
        <v>421.45428231923393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-8.5265128291212022E-13</v>
      </c>
      <c r="AJ175" s="13">
        <f>AI175*VLOOKUP('Données projet'!$B$10,Paramètres!$A$1:$I$89,3,0)*VLOOKUP('Données projet'!$B$10,Paramètres!$A$1:$I$89,5,0)</f>
        <v>-8.6458840087288995E-13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596.42822894047072</v>
      </c>
      <c r="AO175" s="59">
        <f t="shared" si="144"/>
        <v>298.31525330951047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193.51376822097373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193.51376822097373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243</v>
      </c>
      <c r="BE175" s="13">
        <f>BD175*VLOOKUP('Données projet'!$B$11,Paramètres!$A$1:$I$89,3,0)*VLOOKUP('Données projet'!$B$11,Paramètres!$A$1:$I$89,5,0)</f>
        <v>253.98360000000002</v>
      </c>
      <c r="BF175" s="13">
        <f t="shared" si="167"/>
        <v>61.438182405444294</v>
      </c>
      <c r="BG175" s="20">
        <f t="shared" si="168"/>
        <v>549.35960435614891</v>
      </c>
      <c r="BH175" s="59">
        <f t="shared" si="116"/>
        <v>838.17453380310656</v>
      </c>
      <c r="BI175" s="59">
        <f ca="1">AVERAGE(OFFSET($BH$3,0,0,'Données projet'!$E$11+1,1))-AVERAGE(OFFSET($H$3,0,0,'Données projet'!$E$11+1,1))</f>
        <v>446.06835300781546</v>
      </c>
      <c r="BJ175" s="59">
        <f t="shared" si="146"/>
        <v>396.46809188573138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7.8348478553436642</v>
      </c>
      <c r="BQ175" s="21">
        <f>EXP(-LN(2)/25)*BQ174+(1-EXP(-LN(2)/25))/(LN(2)/25)*Calculateur!BL175*Calculateur!BN175*VLOOKUP('Données projet'!$B$11,Paramètres!$A$1:$I$89,3,0)*0.475*44/12</f>
        <v>2.4200849037184065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10.25493275906207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-3.979039320256561E-13</v>
      </c>
      <c r="BZ175" s="13">
        <f>BY175*VLOOKUP('Données projet'!$B$12,Paramètres!$A$1:$I$89,3,0)*VLOOKUP('Données projet'!$B$12,Paramètres!$A$1:$I$89,5,0)</f>
        <v>-1.8621904018800707E-13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307.52821153421951</v>
      </c>
      <c r="CE175" s="59">
        <f t="shared" si="148"/>
        <v>221.23619018904222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41.545204640081202</v>
      </c>
      <c r="CL175" s="21">
        <f>EXP(-LN(2)/25)*CL174+(1-EXP(-LN(2)/25))/(LN(2)/25)*Calculateur!CG175*Calculateur!CI175*VLOOKUP('Données projet'!$B$12,Paramètres!$A$1:$I$89,3,0)*0.475*44/12</f>
        <v>5.7687841675347657</v>
      </c>
      <c r="CM175" s="21">
        <f>EXP(-LN(2)/2)*CM174+(1-EXP(-LN(2)/2))/(LN(2)/2)*CG175*CJ175*VLOOKUP('Données projet'!$B$12,Paramètres!$A$1:$I$89,3,0)*0.475*44/12</f>
        <v>4.4647070427972245E-10</v>
      </c>
      <c r="CN175" s="22">
        <f t="shared" si="172"/>
        <v>47.31398880806244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6.4179487179487182</v>
      </c>
      <c r="CT175" s="12">
        <f>IF('Données projet'!$A$140&gt;35,CT174+CS175-DB174,IF(A175&lt;'Données projet'!$A$140,$CQ$205^A175,IF(A175='Données projet'!$A$140,'Données projet'!$B$140,CT174+CS175-DB174)))</f>
        <v>400.21538461538404</v>
      </c>
      <c r="CU175" s="17">
        <f>CT175*VLOOKUP('Données projet'!$B$13,Paramètres!$A$1:$I$89,3,0)*VLOOKUP('Données projet'!$B$13,Paramètres!$A$1:$I$89,5,0)</f>
        <v>455.76527999999939</v>
      </c>
      <c r="CV175" s="13">
        <f t="shared" si="173"/>
        <v>102.9949242528005</v>
      </c>
      <c r="CW175" s="20">
        <f t="shared" si="174"/>
        <v>973.17402240695981</v>
      </c>
      <c r="CX175" s="59">
        <f t="shared" si="122"/>
        <v>1261.9889518539176</v>
      </c>
      <c r="CY175" s="59">
        <f ca="1">AVERAGE(OFFSET($CX$3,0,0,'Données projet'!$E$13+1,1))-AVERAGE(OFFSET($H$3,0,0,'Données projet'!$E$13+1,1))</f>
        <v>598.12133208901378</v>
      </c>
      <c r="CZ175" s="59">
        <f t="shared" si="150"/>
        <v>246.23353541360947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74.523897818078609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74.523897818078609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266.99999999999983</v>
      </c>
      <c r="DP175" s="17">
        <f>DO175*VLOOKUP('Données projet'!$B$14,Paramètres!$A$1:$I$89,3,0)*VLOOKUP('Données projet'!$B$14,Paramètres!$A$1:$I$89,5,0)</f>
        <v>212.42519999999985</v>
      </c>
      <c r="DQ175" s="13">
        <f t="shared" si="176"/>
        <v>52.465198231787184</v>
      </c>
      <c r="DR175" s="20">
        <f t="shared" si="177"/>
        <v>461.35077692036231</v>
      </c>
      <c r="DS175" s="59">
        <f t="shared" si="125"/>
        <v>750.1657063673199</v>
      </c>
      <c r="DT175" s="59">
        <f ca="1">AVERAGE(OFFSET($DS$3,0,0,'Données projet'!$E$14+1,1))-AVERAGE(OFFSET($H$3,0,0,'Données projet'!$E$14+1,1))</f>
        <v>323.01113210765487</v>
      </c>
      <c r="DU175" s="59">
        <f t="shared" si="152"/>
        <v>311.68541696405975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4.6484026393659112</v>
      </c>
      <c r="EB175" s="21">
        <f>EXP(-LN(2)/25)*EB174+(1-EXP(-LN(2)/25))/(LN(2)/25)*Calculateur!DW175*Calculateur!DY175*VLOOKUP('Données projet'!$B$14,Paramètres!$A$1:$I$89,3,0)*0.475*44/12</f>
        <v>0.65031706868003625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5.2987197080459474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337.99164391755608</v>
      </c>
      <c r="T176" s="59">
        <f t="shared" si="142"/>
        <v>421.45428231923393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-8.5265128291212022E-13</v>
      </c>
      <c r="AJ176" s="13">
        <f>AI176*VLOOKUP('Données projet'!$B$10,Paramètres!$A$1:$I$89,3,0)*VLOOKUP('Données projet'!$B$10,Paramètres!$A$1:$I$89,5,0)</f>
        <v>-8.6458840087288995E-13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596.42822894047072</v>
      </c>
      <c r="AO176" s="59">
        <f t="shared" si="144"/>
        <v>298.31525330951047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189.71908125790438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189.71908125790438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243</v>
      </c>
      <c r="BE176" s="13">
        <f>BD176*VLOOKUP('Données projet'!$B$11,Paramètres!$A$1:$I$89,3,0)*VLOOKUP('Données projet'!$B$11,Paramètres!$A$1:$I$89,5,0)</f>
        <v>253.98360000000002</v>
      </c>
      <c r="BF176" s="13">
        <f t="shared" si="167"/>
        <v>61.438182405444294</v>
      </c>
      <c r="BG176" s="20">
        <f t="shared" si="168"/>
        <v>549.35960435614891</v>
      </c>
      <c r="BH176" s="59">
        <f t="shared" si="116"/>
        <v>838.25291800889738</v>
      </c>
      <c r="BI176" s="59">
        <f ca="1">AVERAGE(OFFSET($BH$3,0,0,'Données projet'!$E$11+1,1))-AVERAGE(OFFSET($H$3,0,0,'Données projet'!$E$11+1,1))</f>
        <v>446.06835300781546</v>
      </c>
      <c r="BJ176" s="59">
        <f t="shared" si="146"/>
        <v>396.46809188573138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7.6812112676857005</v>
      </c>
      <c r="BQ176" s="21">
        <f>EXP(-LN(2)/25)*BQ175+(1-EXP(-LN(2)/25))/(LN(2)/25)*Calculateur!BL176*Calculateur!BN176*VLOOKUP('Données projet'!$B$11,Paramètres!$A$1:$I$89,3,0)*0.475*44/12</f>
        <v>2.3539075547594925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10.035118822445193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-3.979039320256561E-13</v>
      </c>
      <c r="BZ176" s="13">
        <f>BY176*VLOOKUP('Données projet'!$B$12,Paramètres!$A$1:$I$89,3,0)*VLOOKUP('Données projet'!$B$12,Paramètres!$A$1:$I$89,5,0)</f>
        <v>-1.8621904018800707E-13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307.52821153421951</v>
      </c>
      <c r="CE176" s="59">
        <f t="shared" si="148"/>
        <v>221.23619018904222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40.730528517161915</v>
      </c>
      <c r="CL176" s="21">
        <f>EXP(-LN(2)/25)*CL175+(1-EXP(-LN(2)/25))/(LN(2)/25)*Calculateur!CG176*Calculateur!CI176*VLOOKUP('Données projet'!$B$12,Paramètres!$A$1:$I$89,3,0)*0.475*44/12</f>
        <v>5.6110364611063526</v>
      </c>
      <c r="CM176" s="21">
        <f>EXP(-LN(2)/2)*CM175+(1-EXP(-LN(2)/2))/(LN(2)/2)*CG176*CJ176*VLOOKUP('Données projet'!$B$12,Paramètres!$A$1:$I$89,3,0)*0.475*44/12</f>
        <v>3.1570246259732547E-10</v>
      </c>
      <c r="CN176" s="22">
        <f t="shared" si="172"/>
        <v>46.341564978583968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6.4179487179487182</v>
      </c>
      <c r="CT176" s="12">
        <f>IF('Données projet'!$A$140&gt;35,CT175+CS176-DB175,IF(A176&lt;'Données projet'!$A$140,$CQ$205^A176,IF(A176='Données projet'!$A$140,'Données projet'!$B$140,CT175+CS176-DB175)))</f>
        <v>406.63333333333276</v>
      </c>
      <c r="CU176" s="17">
        <f>CT176*VLOOKUP('Données projet'!$B$13,Paramètres!$A$1:$I$89,3,0)*VLOOKUP('Données projet'!$B$13,Paramètres!$A$1:$I$89,5,0)</f>
        <v>463.0740399999994</v>
      </c>
      <c r="CV176" s="13">
        <f t="shared" si="173"/>
        <v>104.4529690704677</v>
      </c>
      <c r="CW176" s="20">
        <f t="shared" si="174"/>
        <v>988.44287413106349</v>
      </c>
      <c r="CX176" s="59">
        <f t="shared" si="122"/>
        <v>1277.336187783812</v>
      </c>
      <c r="CY176" s="59">
        <f ca="1">AVERAGE(OFFSET($CX$3,0,0,'Données projet'!$E$13+1,1))-AVERAGE(OFFSET($H$3,0,0,'Données projet'!$E$13+1,1))</f>
        <v>598.12133208901378</v>
      </c>
      <c r="CZ176" s="59">
        <f t="shared" si="150"/>
        <v>246.23353541360947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73.062529636955446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73.062529636955446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266.99999999999983</v>
      </c>
      <c r="DP176" s="17">
        <f>DO176*VLOOKUP('Données projet'!$B$14,Paramètres!$A$1:$I$89,3,0)*VLOOKUP('Données projet'!$B$14,Paramètres!$A$1:$I$89,5,0)</f>
        <v>212.42519999999985</v>
      </c>
      <c r="DQ176" s="13">
        <f t="shared" si="176"/>
        <v>52.465198231787184</v>
      </c>
      <c r="DR176" s="20">
        <f t="shared" si="177"/>
        <v>461.35077692036231</v>
      </c>
      <c r="DS176" s="59">
        <f t="shared" si="125"/>
        <v>750.24409057311073</v>
      </c>
      <c r="DT176" s="59">
        <f ca="1">AVERAGE(OFFSET($DS$3,0,0,'Données projet'!$E$14+1,1))-AVERAGE(OFFSET($H$3,0,0,'Données projet'!$E$14+1,1))</f>
        <v>323.01113210765487</v>
      </c>
      <c r="DU176" s="59">
        <f t="shared" si="152"/>
        <v>311.68541696405975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4.5572502988535986</v>
      </c>
      <c r="EB176" s="21">
        <f>EXP(-LN(2)/25)*EB175+(1-EXP(-LN(2)/25))/(LN(2)/25)*Calculateur!DW176*Calculateur!DY176*VLOOKUP('Données projet'!$B$14,Paramètres!$A$1:$I$89,3,0)*0.475*44/12</f>
        <v>0.63253411423829231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5.1897844130918909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337.99164391755608</v>
      </c>
      <c r="T177" s="59">
        <f t="shared" si="142"/>
        <v>421.45428231923393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-8.5265128291212022E-13</v>
      </c>
      <c r="AJ177" s="13">
        <f>AI177*VLOOKUP('Données projet'!$B$10,Paramètres!$A$1:$I$89,3,0)*VLOOKUP('Données projet'!$B$10,Paramètres!$A$1:$I$89,5,0)</f>
        <v>-8.6458840087288995E-13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596.42822894047072</v>
      </c>
      <c r="AO177" s="59">
        <f t="shared" si="144"/>
        <v>298.31525330951047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185.99880579165031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185.99880579165031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243</v>
      </c>
      <c r="BE177" s="13">
        <f>BD177*VLOOKUP('Données projet'!$B$11,Paramètres!$A$1:$I$89,3,0)*VLOOKUP('Données projet'!$B$11,Paramètres!$A$1:$I$89,5,0)</f>
        <v>253.98360000000002</v>
      </c>
      <c r="BF177" s="13">
        <f t="shared" si="167"/>
        <v>61.438182405444294</v>
      </c>
      <c r="BG177" s="20">
        <f t="shared" si="168"/>
        <v>549.35960435614891</v>
      </c>
      <c r="BH177" s="59">
        <f t="shared" si="116"/>
        <v>838.32994242395864</v>
      </c>
      <c r="BI177" s="59">
        <f ca="1">AVERAGE(OFFSET($BH$3,0,0,'Données projet'!$E$11+1,1))-AVERAGE(OFFSET($H$3,0,0,'Données projet'!$E$11+1,1))</f>
        <v>446.06835300781546</v>
      </c>
      <c r="BJ177" s="59">
        <f t="shared" si="146"/>
        <v>396.46809188573138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7.530587399802644</v>
      </c>
      <c r="BQ177" s="21">
        <f>EXP(-LN(2)/25)*BQ176+(1-EXP(-LN(2)/25))/(LN(2)/25)*Calculateur!BL177*Calculateur!BN177*VLOOKUP('Données projet'!$B$11,Paramètres!$A$1:$I$89,3,0)*0.475*44/12</f>
        <v>2.289539828887976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9.8201272286906196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-3.979039320256561E-13</v>
      </c>
      <c r="BZ177" s="13">
        <f>BY177*VLOOKUP('Données projet'!$B$12,Paramètres!$A$1:$I$89,3,0)*VLOOKUP('Données projet'!$B$12,Paramètres!$A$1:$I$89,5,0)</f>
        <v>-1.8621904018800707E-13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307.52821153421951</v>
      </c>
      <c r="CE177" s="59">
        <f t="shared" si="148"/>
        <v>221.23619018904222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39.931827696109707</v>
      </c>
      <c r="CL177" s="21">
        <f>EXP(-LN(2)/25)*CL176+(1-EXP(-LN(2)/25))/(LN(2)/25)*Calculateur!CG177*Calculateur!CI177*VLOOKUP('Données projet'!$B$12,Paramètres!$A$1:$I$89,3,0)*0.475*44/12</f>
        <v>5.4576023740058162</v>
      </c>
      <c r="CM177" s="21">
        <f>EXP(-LN(2)/2)*CM176+(1-EXP(-LN(2)/2))/(LN(2)/2)*CG177*CJ177*VLOOKUP('Données projet'!$B$12,Paramètres!$A$1:$I$89,3,0)*0.475*44/12</f>
        <v>2.2323535213986122E-10</v>
      </c>
      <c r="CN177" s="22">
        <f t="shared" si="172"/>
        <v>45.389430070338761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413.05128205128204</v>
      </c>
      <c r="CR177" s="12">
        <f>VLOOKUP(A177,'Données projet'!$A$139:$I$159,9,0)</f>
        <v>6.4179487179487182</v>
      </c>
      <c r="CS177" s="12">
        <f t="array" ref="CS177">INDEX(CR:CR,MIN(IF(ISNUMBER(CR177:CR373),ROW(CR177:CR373),"")))</f>
        <v>6.4179487179487182</v>
      </c>
      <c r="CT177" s="12">
        <f>IF('Données projet'!$A$140&gt;35,CT176+CS177-DB176,IF(A177&lt;'Données projet'!$A$140,$CQ$205^A177,IF(A177='Données projet'!$A$140,'Données projet'!$B$140,CT176+CS177-DB176)))</f>
        <v>413.05128205128148</v>
      </c>
      <c r="CU177" s="17">
        <f>CT177*VLOOKUP('Données projet'!$B$13,Paramètres!$A$1:$I$89,3,0)*VLOOKUP('Données projet'!$B$13,Paramètres!$A$1:$I$89,5,0)</f>
        <v>470.38279999999935</v>
      </c>
      <c r="CV177" s="13">
        <f t="shared" si="173"/>
        <v>105.90833757261899</v>
      </c>
      <c r="CW177" s="20">
        <f t="shared" si="174"/>
        <v>1003.7070646056436</v>
      </c>
      <c r="CX177" s="59">
        <f t="shared" si="122"/>
        <v>1292.6774026734533</v>
      </c>
      <c r="CY177" s="59">
        <f ca="1">AVERAGE(OFFSET($CX$3,0,0,'Données projet'!$E$13+1,1))-AVERAGE(OFFSET($H$3,0,0,'Données projet'!$E$13+1,1))</f>
        <v>598.12133208901378</v>
      </c>
      <c r="CZ177" s="59">
        <f t="shared" si="150"/>
        <v>246.23353541360947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162.38461538461539</v>
      </c>
      <c r="DC177" s="16">
        <f>IF(ISNA(VLOOKUP(A177,'Données projet'!$A$139:$I$159,5,0)),0%,VLOOKUP(A177,'Données projet'!$A$139:$I$159,5,0)*VLOOKUP('Données projet'!$B$13,Paramètres!$A$1:$I$89,7,0))</f>
        <v>0.38700000000000001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150.74328459556153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150.74328459556153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266.99999999999983</v>
      </c>
      <c r="DP177" s="17">
        <f>DO177*VLOOKUP('Données projet'!$B$14,Paramètres!$A$1:$I$89,3,0)*VLOOKUP('Données projet'!$B$14,Paramètres!$A$1:$I$89,5,0)</f>
        <v>212.42519999999985</v>
      </c>
      <c r="DQ177" s="13">
        <f t="shared" si="176"/>
        <v>52.465198231787184</v>
      </c>
      <c r="DR177" s="20">
        <f t="shared" si="177"/>
        <v>461.35077692036231</v>
      </c>
      <c r="DS177" s="59">
        <f t="shared" si="125"/>
        <v>750.32111498817198</v>
      </c>
      <c r="DT177" s="59">
        <f ca="1">AVERAGE(OFFSET($DS$3,0,0,'Données projet'!$E$14+1,1))-AVERAGE(OFFSET($H$3,0,0,'Données projet'!$E$14+1,1))</f>
        <v>323.01113210765487</v>
      </c>
      <c r="DU177" s="59">
        <f t="shared" si="152"/>
        <v>311.68541696405975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4.4678854001412942</v>
      </c>
      <c r="EB177" s="21">
        <f>EXP(-LN(2)/25)*EB176+(1-EXP(-LN(2)/25))/(LN(2)/25)*Calculateur!DW177*Calculateur!DY177*VLOOKUP('Données projet'!$B$14,Paramètres!$A$1:$I$89,3,0)*0.475*44/12</f>
        <v>0.61523743562092281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5.0831228357622171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337.99164391755608</v>
      </c>
      <c r="T178" s="59">
        <f t="shared" si="142"/>
        <v>421.45428231923393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-8.5265128291212022E-13</v>
      </c>
      <c r="AJ178" s="13">
        <f>AI178*VLOOKUP('Données projet'!$B$10,Paramètres!$A$1:$I$89,3,0)*VLOOKUP('Données projet'!$B$10,Paramètres!$A$1:$I$89,5,0)</f>
        <v>-8.6458840087288995E-13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596.42822894047072</v>
      </c>
      <c r="AO178" s="59">
        <f t="shared" si="144"/>
        <v>298.31525330951047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182.35148265814553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182.35148265814553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243</v>
      </c>
      <c r="BE178" s="13">
        <f>BD178*VLOOKUP('Données projet'!$B$11,Paramètres!$A$1:$I$89,3,0)*VLOOKUP('Données projet'!$B$11,Paramètres!$A$1:$I$89,5,0)</f>
        <v>253.98360000000002</v>
      </c>
      <c r="BF178" s="13">
        <f t="shared" si="167"/>
        <v>61.438182405444294</v>
      </c>
      <c r="BG178" s="20">
        <f t="shared" si="168"/>
        <v>549.35960435614891</v>
      </c>
      <c r="BH178" s="59">
        <f t="shared" si="116"/>
        <v>838.40563063761931</v>
      </c>
      <c r="BI178" s="59">
        <f ca="1">AVERAGE(OFFSET($BH$3,0,0,'Données projet'!$E$11+1,1))-AVERAGE(OFFSET($H$3,0,0,'Données projet'!$E$11+1,1))</f>
        <v>446.06835300781546</v>
      </c>
      <c r="BJ178" s="59">
        <f t="shared" si="146"/>
        <v>396.46809188573138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7.3829171740972868</v>
      </c>
      <c r="BQ178" s="21">
        <f>EXP(-LN(2)/25)*BQ177+(1-EXP(-LN(2)/25))/(LN(2)/25)*Calculateur!BL178*Calculateur!BN178*VLOOKUP('Données projet'!$B$11,Paramètres!$A$1:$I$89,3,0)*0.475*44/12</f>
        <v>2.2269322418653674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9.6098494159626533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-3.979039320256561E-13</v>
      </c>
      <c r="BZ178" s="13">
        <f>BY178*VLOOKUP('Données projet'!$B$12,Paramètres!$A$1:$I$89,3,0)*VLOOKUP('Données projet'!$B$12,Paramètres!$A$1:$I$89,5,0)</f>
        <v>-1.8621904018800707E-13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307.52821153421951</v>
      </c>
      <c r="CE178" s="59">
        <f t="shared" si="148"/>
        <v>221.23619018904222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39.148788910998931</v>
      </c>
      <c r="CL178" s="21">
        <f>EXP(-LN(2)/25)*CL177+(1-EXP(-LN(2)/25))/(LN(2)/25)*Calculateur!CG178*Calculateur!CI178*VLOOKUP('Données projet'!$B$12,Paramètres!$A$1:$I$89,3,0)*0.475*44/12</f>
        <v>5.3083639500857922</v>
      </c>
      <c r="CM178" s="21">
        <f>EXP(-LN(2)/2)*CM177+(1-EXP(-LN(2)/2))/(LN(2)/2)*CG178*CJ178*VLOOKUP('Données projet'!$B$12,Paramètres!$A$1:$I$89,3,0)*0.475*44/12</f>
        <v>1.5785123129866273E-10</v>
      </c>
      <c r="CN178" s="22">
        <f t="shared" si="172"/>
        <v>44.457152861242577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4.0982905982905988</v>
      </c>
      <c r="CT178" s="12">
        <f>IF('Données projet'!$A$140&gt;35,CT177+CS178-DB177,IF(A178&lt;'Données projet'!$A$140,$CQ$205^A178,IF(A178='Données projet'!$A$140,'Données projet'!$B$140,CT177+CS178-DB177)))</f>
        <v>254.76495726495668</v>
      </c>
      <c r="CU178" s="17">
        <f>CT178*VLOOKUP('Données projet'!$B$13,Paramètres!$A$1:$I$89,3,0)*VLOOKUP('Données projet'!$B$13,Paramètres!$A$1:$I$89,5,0)</f>
        <v>290.1263333333327</v>
      </c>
      <c r="CV178" s="13">
        <f t="shared" si="173"/>
        <v>69.102549391417952</v>
      </c>
      <c r="CW178" s="20">
        <f t="shared" si="174"/>
        <v>625.65697074560728</v>
      </c>
      <c r="CX178" s="59">
        <f t="shared" si="122"/>
        <v>914.70299702707769</v>
      </c>
      <c r="CY178" s="59">
        <f ca="1">AVERAGE(OFFSET($CX$3,0,0,'Données projet'!$E$13+1,1))-AVERAGE(OFFSET($H$3,0,0,'Données projet'!$E$13+1,1))</f>
        <v>598.12133208901378</v>
      </c>
      <c r="CZ178" s="59">
        <f t="shared" si="150"/>
        <v>246.23353541360947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147.78730072896744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147.78730072896744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266.99999999999983</v>
      </c>
      <c r="DP178" s="17">
        <f>DO178*VLOOKUP('Données projet'!$B$14,Paramètres!$A$1:$I$89,3,0)*VLOOKUP('Données projet'!$B$14,Paramètres!$A$1:$I$89,5,0)</f>
        <v>212.42519999999985</v>
      </c>
      <c r="DQ178" s="13">
        <f t="shared" si="176"/>
        <v>52.465198231787184</v>
      </c>
      <c r="DR178" s="20">
        <f t="shared" si="177"/>
        <v>461.35077692036231</v>
      </c>
      <c r="DS178" s="59">
        <f t="shared" si="125"/>
        <v>750.39680320183265</v>
      </c>
      <c r="DT178" s="59">
        <f ca="1">AVERAGE(OFFSET($DS$3,0,0,'Données projet'!$E$14+1,1))-AVERAGE(OFFSET($H$3,0,0,'Données projet'!$E$14+1,1))</f>
        <v>323.01113210765487</v>
      </c>
      <c r="DU178" s="59">
        <f t="shared" si="152"/>
        <v>311.68541696405975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4.3802728925855323</v>
      </c>
      <c r="EB178" s="21">
        <f>EXP(-LN(2)/25)*EB177+(1-EXP(-LN(2)/25))/(LN(2)/25)*Calculateur!DW178*Calculateur!DY178*VLOOKUP('Données projet'!$B$14,Paramètres!$A$1:$I$89,3,0)*0.475*44/12</f>
        <v>0.59841373558993805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4.9786866281754705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337.99164391755608</v>
      </c>
      <c r="T179" s="59">
        <f t="shared" si="142"/>
        <v>421.45428231923393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-8.5265128291212022E-13</v>
      </c>
      <c r="AJ179" s="13">
        <f>AI179*VLOOKUP('Données projet'!$B$10,Paramètres!$A$1:$I$89,3,0)*VLOOKUP('Données projet'!$B$10,Paramètres!$A$1:$I$89,5,0)</f>
        <v>-8.6458840087288995E-13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596.42822894047072</v>
      </c>
      <c r="AO179" s="59">
        <f t="shared" si="144"/>
        <v>298.31525330951047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178.7756813066413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178.7756813066413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243</v>
      </c>
      <c r="BE179" s="13">
        <f>BD179*VLOOKUP('Données projet'!$B$11,Paramètres!$A$1:$I$89,3,0)*VLOOKUP('Données projet'!$B$11,Paramètres!$A$1:$I$89,5,0)</f>
        <v>253.98360000000002</v>
      </c>
      <c r="BF179" s="13">
        <f t="shared" si="167"/>
        <v>61.438182405444294</v>
      </c>
      <c r="BG179" s="20">
        <f t="shared" si="168"/>
        <v>549.35960435614891</v>
      </c>
      <c r="BH179" s="59">
        <f t="shared" si="116"/>
        <v>838.48000582998657</v>
      </c>
      <c r="BI179" s="59">
        <f ca="1">AVERAGE(OFFSET($BH$3,0,0,'Données projet'!$E$11+1,1))-AVERAGE(OFFSET($H$3,0,0,'Données projet'!$E$11+1,1))</f>
        <v>446.06835300781546</v>
      </c>
      <c r="BJ179" s="59">
        <f t="shared" si="146"/>
        <v>396.46809188573138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7.2381426714480677</v>
      </c>
      <c r="BQ179" s="21">
        <f>EXP(-LN(2)/25)*BQ178+(1-EXP(-LN(2)/25))/(LN(2)/25)*Calculateur!BL179*Calculateur!BN179*VLOOKUP('Données projet'!$B$11,Paramètres!$A$1:$I$89,3,0)*0.475*44/12</f>
        <v>2.166036662602282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9.4041793340503492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-3.979039320256561E-13</v>
      </c>
      <c r="BZ179" s="13">
        <f>BY179*VLOOKUP('Données projet'!$B$12,Paramètres!$A$1:$I$89,3,0)*VLOOKUP('Données projet'!$B$12,Paramètres!$A$1:$I$89,5,0)</f>
        <v>-1.8621904018800707E-13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307.52821153421951</v>
      </c>
      <c r="CE179" s="59">
        <f t="shared" si="148"/>
        <v>221.23619018904222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38.381105038857683</v>
      </c>
      <c r="CL179" s="21">
        <f>EXP(-LN(2)/25)*CL178+(1-EXP(-LN(2)/25))/(LN(2)/25)*Calculateur!CG179*Calculateur!CI179*VLOOKUP('Données projet'!$B$12,Paramètres!$A$1:$I$89,3,0)*0.475*44/12</f>
        <v>5.1632064587159689</v>
      </c>
      <c r="CM179" s="21">
        <f>EXP(-LN(2)/2)*CM178+(1-EXP(-LN(2)/2))/(LN(2)/2)*CG179*CJ179*VLOOKUP('Données projet'!$B$12,Paramètres!$A$1:$I$89,3,0)*0.475*44/12</f>
        <v>1.1161767606993061E-10</v>
      </c>
      <c r="CN179" s="22">
        <f t="shared" si="172"/>
        <v>43.544311497685271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4.0982905982905988</v>
      </c>
      <c r="CT179" s="12">
        <f>IF('Données projet'!$A$140&gt;35,CT178+CS179-DB178,IF(A179&lt;'Données projet'!$A$140,$CQ$205^A179,IF(A179='Données projet'!$A$140,'Données projet'!$B$140,CT178+CS179-DB178)))</f>
        <v>258.8632478632473</v>
      </c>
      <c r="CU179" s="17">
        <f>CT179*VLOOKUP('Données projet'!$B$13,Paramètres!$A$1:$I$89,3,0)*VLOOKUP('Données projet'!$B$13,Paramètres!$A$1:$I$89,5,0)</f>
        <v>294.79346666666606</v>
      </c>
      <c r="CV179" s="13">
        <f t="shared" si="173"/>
        <v>70.08386443960687</v>
      </c>
      <c r="CW179" s="20">
        <f t="shared" si="174"/>
        <v>635.49468501009198</v>
      </c>
      <c r="CX179" s="59">
        <f t="shared" si="122"/>
        <v>924.61508648392964</v>
      </c>
      <c r="CY179" s="59">
        <f ca="1">AVERAGE(OFFSET($CX$3,0,0,'Données projet'!$E$13+1,1))-AVERAGE(OFFSET($H$3,0,0,'Données projet'!$E$13+1,1))</f>
        <v>598.12133208901378</v>
      </c>
      <c r="CZ179" s="59">
        <f t="shared" si="150"/>
        <v>246.23353541360947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144.88928190302511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144.88928190302511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266.99999999999983</v>
      </c>
      <c r="DP179" s="17">
        <f>DO179*VLOOKUP('Données projet'!$B$14,Paramètres!$A$1:$I$89,3,0)*VLOOKUP('Données projet'!$B$14,Paramètres!$A$1:$I$89,5,0)</f>
        <v>212.42519999999985</v>
      </c>
      <c r="DQ179" s="13">
        <f t="shared" si="176"/>
        <v>52.465198231787184</v>
      </c>
      <c r="DR179" s="20">
        <f t="shared" si="177"/>
        <v>461.35077692036231</v>
      </c>
      <c r="DS179" s="59">
        <f t="shared" si="125"/>
        <v>750.47117839419991</v>
      </c>
      <c r="DT179" s="59">
        <f ca="1">AVERAGE(OFFSET($DS$3,0,0,'Données projet'!$E$14+1,1))-AVERAGE(OFFSET($H$3,0,0,'Données projet'!$E$14+1,1))</f>
        <v>323.01113210765487</v>
      </c>
      <c r="DU179" s="59">
        <f t="shared" si="152"/>
        <v>311.68541696405975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4.2943784128645861</v>
      </c>
      <c r="EB179" s="21">
        <f>EXP(-LN(2)/25)*EB178+(1-EXP(-LN(2)/25))/(LN(2)/25)*Calculateur!DW179*Calculateur!DY179*VLOOKUP('Données projet'!$B$14,Paramètres!$A$1:$I$89,3,0)*0.475*44/12</f>
        <v>0.58205008052102047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4.8764284933856068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337.99164391755608</v>
      </c>
      <c r="T180" s="59">
        <f t="shared" si="142"/>
        <v>421.45428231923393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-8.5265128291212022E-13</v>
      </c>
      <c r="AJ180" s="13">
        <f>AI180*VLOOKUP('Données projet'!$B$10,Paramètres!$A$1:$I$89,3,0)*VLOOKUP('Données projet'!$B$10,Paramètres!$A$1:$I$89,5,0)</f>
        <v>-8.6458840087288995E-13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596.42822894047072</v>
      </c>
      <c r="AO180" s="59">
        <f t="shared" si="144"/>
        <v>298.31525330951047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175.26999923861663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175.26999923861663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243</v>
      </c>
      <c r="BE180" s="13">
        <f>BD180*VLOOKUP('Données projet'!$B$11,Paramètres!$A$1:$I$89,3,0)*VLOOKUP('Données projet'!$B$11,Paramètres!$A$1:$I$89,5,0)</f>
        <v>253.98360000000002</v>
      </c>
      <c r="BF180" s="13">
        <f t="shared" si="167"/>
        <v>61.438182405444294</v>
      </c>
      <c r="BG180" s="20">
        <f t="shared" si="168"/>
        <v>549.35960435614891</v>
      </c>
      <c r="BH180" s="59">
        <f t="shared" si="116"/>
        <v>838.55309077904417</v>
      </c>
      <c r="BI180" s="59">
        <f ca="1">AVERAGE(OFFSET($BH$3,0,0,'Données projet'!$E$11+1,1))-AVERAGE(OFFSET($H$3,0,0,'Données projet'!$E$11+1,1))</f>
        <v>446.06835300781546</v>
      </c>
      <c r="BJ180" s="59">
        <f t="shared" si="146"/>
        <v>396.46809188573138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7.0962071084920719</v>
      </c>
      <c r="BQ180" s="21">
        <f>EXP(-LN(2)/25)*BQ179+(1-EXP(-LN(2)/25))/(LN(2)/25)*Calculateur!BL180*Calculateur!BN180*VLOOKUP('Données projet'!$B$11,Paramètres!$A$1:$I$89,3,0)*0.475*44/12</f>
        <v>2.106806276156505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9.2030133846485764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-3.979039320256561E-13</v>
      </c>
      <c r="BZ180" s="13">
        <f>BY180*VLOOKUP('Données projet'!$B$12,Paramètres!$A$1:$I$89,3,0)*VLOOKUP('Données projet'!$B$12,Paramètres!$A$1:$I$89,5,0)</f>
        <v>-1.8621904018800707E-13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307.52821153421951</v>
      </c>
      <c r="CE180" s="59">
        <f t="shared" si="148"/>
        <v>221.23619018904222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37.6284749792082</v>
      </c>
      <c r="CL180" s="21">
        <f>EXP(-LN(2)/25)*CL179+(1-EXP(-LN(2)/25))/(LN(2)/25)*Calculateur!CG180*Calculateur!CI180*VLOOKUP('Données projet'!$B$12,Paramètres!$A$1:$I$89,3,0)*0.475*44/12</f>
        <v>5.0220183065811534</v>
      </c>
      <c r="CM180" s="21">
        <f>EXP(-LN(2)/2)*CM179+(1-EXP(-LN(2)/2))/(LN(2)/2)*CG180*CJ180*VLOOKUP('Données projet'!$B$12,Paramètres!$A$1:$I$89,3,0)*0.475*44/12</f>
        <v>7.8925615649331366E-11</v>
      </c>
      <c r="CN180" s="22">
        <f t="shared" si="172"/>
        <v>42.650493285868279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262.96153846153845</v>
      </c>
      <c r="CR180" s="12">
        <f>VLOOKUP(A180,'Données projet'!$A$139:$I$159,9,0)</f>
        <v>4.0982905982905988</v>
      </c>
      <c r="CS180" s="12">
        <f t="array" ref="CS180">INDEX(CR:CR,MIN(IF(ISNUMBER(CR180:CR376),ROW(CR180:CR376),"")))</f>
        <v>4.0982905982905988</v>
      </c>
      <c r="CT180" s="12">
        <f>IF('Données projet'!$A$140&gt;35,CT179+CS180-DB179,IF(A180&lt;'Données projet'!$A$140,$CQ$205^A180,IF(A180='Données projet'!$A$140,'Données projet'!$B$140,CT179+CS180-DB179)))</f>
        <v>262.96153846153788</v>
      </c>
      <c r="CU180" s="17">
        <f>CT180*VLOOKUP('Données projet'!$B$13,Paramètres!$A$1:$I$89,3,0)*VLOOKUP('Données projet'!$B$13,Paramètres!$A$1:$I$89,5,0)</f>
        <v>299.46059999999937</v>
      </c>
      <c r="CV180" s="13">
        <f t="shared" si="173"/>
        <v>71.063372676191335</v>
      </c>
      <c r="CW180" s="20">
        <f t="shared" si="174"/>
        <v>645.32925241103214</v>
      </c>
      <c r="CX180" s="59">
        <f t="shared" si="122"/>
        <v>934.52273883392741</v>
      </c>
      <c r="CY180" s="59">
        <f ca="1">AVERAGE(OFFSET($CX$3,0,0,'Données projet'!$E$13+1,1))-AVERAGE(OFFSET($H$3,0,0,'Données projet'!$E$13+1,1))</f>
        <v>598.12133208901378</v>
      </c>
      <c r="CZ180" s="59">
        <f t="shared" si="150"/>
        <v>246.23353541360947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87</v>
      </c>
      <c r="DC180" s="16">
        <f>IF(ISNA(VLOOKUP(A180,'Données projet'!$A$139:$I$159,5,0)),0%,VLOOKUP(A180,'Données projet'!$A$139:$I$159,5,0)*VLOOKUP('Données projet'!$B$13,Paramètres!$A$1:$I$89,7,0))</f>
        <v>0.38700000000000001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184.43432107767654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184.43432107767654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266.99999999999983</v>
      </c>
      <c r="DP180" s="17">
        <f>DO180*VLOOKUP('Données projet'!$B$14,Paramètres!$A$1:$I$89,3,0)*VLOOKUP('Données projet'!$B$14,Paramètres!$A$1:$I$89,5,0)</f>
        <v>212.42519999999985</v>
      </c>
      <c r="DQ180" s="13">
        <f t="shared" si="176"/>
        <v>52.465198231787184</v>
      </c>
      <c r="DR180" s="20">
        <f t="shared" si="177"/>
        <v>461.35077692036231</v>
      </c>
      <c r="DS180" s="59">
        <f t="shared" si="125"/>
        <v>750.54426334325763</v>
      </c>
      <c r="DT180" s="59">
        <f ca="1">AVERAGE(OFFSET($DS$3,0,0,'Données projet'!$E$14+1,1))-AVERAGE(OFFSET($H$3,0,0,'Données projet'!$E$14+1,1))</f>
        <v>323.01113210765487</v>
      </c>
      <c r="DU180" s="59">
        <f t="shared" si="152"/>
        <v>311.68541696405975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4.2101682715005078</v>
      </c>
      <c r="EB180" s="21">
        <f>EXP(-LN(2)/25)*EB179+(1-EXP(-LN(2)/25))/(LN(2)/25)*Calculateur!DW180*Calculateur!DY180*VLOOKUP('Données projet'!$B$14,Paramètres!$A$1:$I$89,3,0)*0.475*44/12</f>
        <v>0.56613389046048967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4.7763021619609978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337.99164391755608</v>
      </c>
      <c r="T181" s="59">
        <f t="shared" si="142"/>
        <v>421.45428231923393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-8.5265128291212022E-13</v>
      </c>
      <c r="AJ181" s="13">
        <f>AI181*VLOOKUP('Données projet'!$B$10,Paramètres!$A$1:$I$89,3,0)*VLOOKUP('Données projet'!$B$10,Paramètres!$A$1:$I$89,5,0)</f>
        <v>-8.6458840087288995E-13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596.42822894047072</v>
      </c>
      <c r="AO181" s="59">
        <f t="shared" si="144"/>
        <v>298.31525330951047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171.833061457691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171.833061457691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243</v>
      </c>
      <c r="BE181" s="13">
        <f>BD181*VLOOKUP('Données projet'!$B$11,Paramètres!$A$1:$I$89,3,0)*VLOOKUP('Données projet'!$B$11,Paramètres!$A$1:$I$89,5,0)</f>
        <v>253.98360000000002</v>
      </c>
      <c r="BF181" s="13">
        <f t="shared" si="167"/>
        <v>61.438182405444294</v>
      </c>
      <c r="BG181" s="20">
        <f t="shared" si="168"/>
        <v>549.35960435614891</v>
      </c>
      <c r="BH181" s="59">
        <f t="shared" si="116"/>
        <v>838.62490786762908</v>
      </c>
      <c r="BI181" s="59">
        <f ca="1">AVERAGE(OFFSET($BH$3,0,0,'Données projet'!$E$11+1,1))-AVERAGE(OFFSET($H$3,0,0,'Données projet'!$E$11+1,1))</f>
        <v>446.06835300781546</v>
      </c>
      <c r="BJ181" s="59">
        <f t="shared" si="146"/>
        <v>396.46809188573138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6.9570548153534988</v>
      </c>
      <c r="BQ181" s="21">
        <f>EXP(-LN(2)/25)*BQ180+(1-EXP(-LN(2)/25))/(LN(2)/25)*Calculateur!BL181*Calculateur!BN181*VLOOKUP('Données projet'!$B$11,Paramètres!$A$1:$I$89,3,0)*0.475*44/12</f>
        <v>2.0491955477428783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9.0062503630963775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-3.979039320256561E-13</v>
      </c>
      <c r="BZ181" s="13">
        <f>BY181*VLOOKUP('Données projet'!$B$12,Paramètres!$A$1:$I$89,3,0)*VLOOKUP('Données projet'!$B$12,Paramètres!$A$1:$I$89,5,0)</f>
        <v>-1.8621904018800707E-13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307.52821153421951</v>
      </c>
      <c r="CE181" s="59">
        <f t="shared" si="148"/>
        <v>221.23619018904222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36.890603535969433</v>
      </c>
      <c r="CL181" s="21">
        <f>EXP(-LN(2)/25)*CL180+(1-EXP(-LN(2)/25))/(LN(2)/25)*Calculateur!CG181*Calculateur!CI181*VLOOKUP('Données projet'!$B$12,Paramètres!$A$1:$I$89,3,0)*0.475*44/12</f>
        <v>4.8846909518912272</v>
      </c>
      <c r="CM181" s="21">
        <f>EXP(-LN(2)/2)*CM180+(1-EXP(-LN(2)/2))/(LN(2)/2)*CG181*CJ181*VLOOKUP('Données projet'!$B$12,Paramètres!$A$1:$I$89,3,0)*0.475*44/12</f>
        <v>5.5808838034965306E-11</v>
      </c>
      <c r="CN181" s="22">
        <f t="shared" si="172"/>
        <v>41.775294487916469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2.5149572649572653</v>
      </c>
      <c r="CT181" s="12">
        <f>IF('Données projet'!$A$140&gt;35,CT180+CS181-DB180,IF(A181&lt;'Données projet'!$A$140,$CQ$205^A181,IF(A181='Données projet'!$A$140,'Données projet'!$B$140,CT180+CS181-DB180)))</f>
        <v>178.47649572649516</v>
      </c>
      <c r="CU181" s="17">
        <f>CT181*VLOOKUP('Données projet'!$B$13,Paramètres!$A$1:$I$89,3,0)*VLOOKUP('Données projet'!$B$13,Paramètres!$A$1:$I$89,5,0)</f>
        <v>203.24903333333268</v>
      </c>
      <c r="CV181" s="13">
        <f t="shared" si="173"/>
        <v>50.457535858399666</v>
      </c>
      <c r="CW181" s="20">
        <f t="shared" si="174"/>
        <v>441.87227467560047</v>
      </c>
      <c r="CX181" s="59">
        <f t="shared" si="122"/>
        <v>731.13757818708063</v>
      </c>
      <c r="CY181" s="59">
        <f ca="1">AVERAGE(OFFSET($CX$3,0,0,'Données projet'!$E$13+1,1))-AVERAGE(OFFSET($H$3,0,0,'Données projet'!$E$13+1,1))</f>
        <v>598.12133208901378</v>
      </c>
      <c r="CZ181" s="59">
        <f t="shared" si="150"/>
        <v>246.23353541360947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180.81767653517133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180.81767653517133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266.99999999999983</v>
      </c>
      <c r="DP181" s="17">
        <f>DO181*VLOOKUP('Données projet'!$B$14,Paramètres!$A$1:$I$89,3,0)*VLOOKUP('Données projet'!$B$14,Paramètres!$A$1:$I$89,5,0)</f>
        <v>212.42519999999985</v>
      </c>
      <c r="DQ181" s="13">
        <f t="shared" si="176"/>
        <v>52.465198231787184</v>
      </c>
      <c r="DR181" s="20">
        <f t="shared" si="177"/>
        <v>461.35077692036231</v>
      </c>
      <c r="DS181" s="59">
        <f t="shared" si="125"/>
        <v>750.61608043184242</v>
      </c>
      <c r="DT181" s="59">
        <f ca="1">AVERAGE(OFFSET($DS$3,0,0,'Données projet'!$E$14+1,1))-AVERAGE(OFFSET($H$3,0,0,'Données projet'!$E$14+1,1))</f>
        <v>323.01113210765487</v>
      </c>
      <c r="DU181" s="59">
        <f t="shared" si="152"/>
        <v>311.68541696405975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4.1276094396454646</v>
      </c>
      <c r="EB181" s="21">
        <f>EXP(-LN(2)/25)*EB180+(1-EXP(-LN(2)/25))/(LN(2)/25)*Calculateur!DW181*Calculateur!DY181*VLOOKUP('Données projet'!$B$14,Paramètres!$A$1:$I$89,3,0)*0.475*44/12</f>
        <v>0.55065292945416022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4.6782623690996248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337.99164391755608</v>
      </c>
      <c r="T182" s="59">
        <f t="shared" si="142"/>
        <v>421.45428231923393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-8.5265128291212022E-13</v>
      </c>
      <c r="AJ182" s="13">
        <f>AI182*VLOOKUP('Données projet'!$B$10,Paramètres!$A$1:$I$89,3,0)*VLOOKUP('Données projet'!$B$10,Paramètres!$A$1:$I$89,5,0)</f>
        <v>-8.6458840087288995E-13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596.42822894047072</v>
      </c>
      <c r="AO182" s="59">
        <f t="shared" si="144"/>
        <v>298.31525330951047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168.46351993032425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168.46351993032425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243</v>
      </c>
      <c r="BE182" s="13">
        <f>BD182*VLOOKUP('Données projet'!$B$11,Paramètres!$A$1:$I$89,3,0)*VLOOKUP('Données projet'!$B$11,Paramètres!$A$1:$I$89,5,0)</f>
        <v>253.98360000000002</v>
      </c>
      <c r="BF182" s="13">
        <f t="shared" si="167"/>
        <v>61.438182405444294</v>
      </c>
      <c r="BG182" s="20">
        <f t="shared" si="168"/>
        <v>549.35960435614891</v>
      </c>
      <c r="BH182" s="59">
        <f t="shared" si="116"/>
        <v>838.69547909028597</v>
      </c>
      <c r="BI182" s="59">
        <f ca="1">AVERAGE(OFFSET($BH$3,0,0,'Données projet'!$E$11+1,1))-AVERAGE(OFFSET($H$3,0,0,'Données projet'!$E$11+1,1))</f>
        <v>446.06835300781546</v>
      </c>
      <c r="BJ182" s="59">
        <f t="shared" si="146"/>
        <v>396.46809188573138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6.8206312138088547</v>
      </c>
      <c r="BQ182" s="21">
        <f>EXP(-LN(2)/25)*BQ181+(1-EXP(-LN(2)/25))/(LN(2)/25)*Calculateur!BL182*Calculateur!BN182*VLOOKUP('Données projet'!$B$11,Paramètres!$A$1:$I$89,3,0)*0.475*44/12</f>
        <v>1.9931601877273388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8.8137914015361929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-3.979039320256561E-13</v>
      </c>
      <c r="BZ182" s="13">
        <f>BY182*VLOOKUP('Données projet'!$B$12,Paramètres!$A$1:$I$89,3,0)*VLOOKUP('Données projet'!$B$12,Paramètres!$A$1:$I$89,5,0)</f>
        <v>-1.8621904018800707E-13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307.52821153421951</v>
      </c>
      <c r="CE182" s="59">
        <f t="shared" si="148"/>
        <v>221.23619018904222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36.167201301675433</v>
      </c>
      <c r="CL182" s="21">
        <f>EXP(-LN(2)/25)*CL181+(1-EXP(-LN(2)/25))/(LN(2)/25)*Calculateur!CG182*Calculateur!CI182*VLOOKUP('Données projet'!$B$12,Paramètres!$A$1:$I$89,3,0)*0.475*44/12</f>
        <v>4.7511188209370285</v>
      </c>
      <c r="CM182" s="21">
        <f>EXP(-LN(2)/2)*CM181+(1-EXP(-LN(2)/2))/(LN(2)/2)*CG182*CJ182*VLOOKUP('Données projet'!$B$12,Paramètres!$A$1:$I$89,3,0)*0.475*44/12</f>
        <v>3.9462807824665683E-11</v>
      </c>
      <c r="CN182" s="22">
        <f t="shared" si="172"/>
        <v>40.918320122651927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2.5149572649572653</v>
      </c>
      <c r="CT182" s="12">
        <f>IF('Données projet'!$A$140&gt;35,CT181+CS182-DB181,IF(A182&lt;'Données projet'!$A$140,$CQ$205^A182,IF(A182='Données projet'!$A$140,'Données projet'!$B$140,CT181+CS182-DB181)))</f>
        <v>180.99145299145243</v>
      </c>
      <c r="CU182" s="17">
        <f>CT182*VLOOKUP('Données projet'!$B$13,Paramètres!$A$1:$I$89,3,0)*VLOOKUP('Données projet'!$B$13,Paramètres!$A$1:$I$89,5,0)</f>
        <v>206.11306666666604</v>
      </c>
      <c r="CV182" s="13">
        <f t="shared" si="173"/>
        <v>51.085271610049638</v>
      </c>
      <c r="CW182" s="20">
        <f t="shared" si="174"/>
        <v>447.95377249861309</v>
      </c>
      <c r="CX182" s="59">
        <f t="shared" si="122"/>
        <v>737.28964723275021</v>
      </c>
      <c r="CY182" s="59">
        <f ca="1">AVERAGE(OFFSET($CX$3,0,0,'Données projet'!$E$13+1,1))-AVERAGE(OFFSET($H$3,0,0,'Données projet'!$E$13+1,1))</f>
        <v>598.12133208901378</v>
      </c>
      <c r="CZ182" s="59">
        <f t="shared" si="150"/>
        <v>246.23353541360947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177.27195218620929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177.27195218620929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266.99999999999983</v>
      </c>
      <c r="DP182" s="17">
        <f>DO182*VLOOKUP('Données projet'!$B$14,Paramètres!$A$1:$I$89,3,0)*VLOOKUP('Données projet'!$B$14,Paramètres!$A$1:$I$89,5,0)</f>
        <v>212.42519999999985</v>
      </c>
      <c r="DQ182" s="13">
        <f t="shared" si="176"/>
        <v>52.465198231787184</v>
      </c>
      <c r="DR182" s="20">
        <f t="shared" si="177"/>
        <v>461.35077692036231</v>
      </c>
      <c r="DS182" s="59">
        <f t="shared" si="125"/>
        <v>750.68665165449943</v>
      </c>
      <c r="DT182" s="59">
        <f ca="1">AVERAGE(OFFSET($DS$3,0,0,'Données projet'!$E$14+1,1))-AVERAGE(OFFSET($H$3,0,0,'Données projet'!$E$14+1,1))</f>
        <v>323.01113210765487</v>
      </c>
      <c r="DU182" s="59">
        <f t="shared" si="152"/>
        <v>311.68541696405975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4.0466695361271832</v>
      </c>
      <c r="EB182" s="21">
        <f>EXP(-LN(2)/25)*EB181+(1-EXP(-LN(2)/25))/(LN(2)/25)*Calculateur!DW182*Calculateur!DY182*VLOOKUP('Données projet'!$B$14,Paramètres!$A$1:$I$89,3,0)*0.475*44/12</f>
        <v>0.53559529614065715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4.5822648322678408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337.99164391755608</v>
      </c>
      <c r="T183" s="59">
        <f t="shared" si="142"/>
        <v>421.45428231923393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-8.5265128291212022E-13</v>
      </c>
      <c r="AJ183" s="13">
        <f>AI183*VLOOKUP('Données projet'!$B$10,Paramètres!$A$1:$I$89,3,0)*VLOOKUP('Données projet'!$B$10,Paramètres!$A$1:$I$89,5,0)</f>
        <v>-8.6458840087288995E-13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596.42822894047072</v>
      </c>
      <c r="AO183" s="59">
        <f t="shared" si="144"/>
        <v>298.31525330951047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165.16005305709177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165.16005305709177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243</v>
      </c>
      <c r="BE183" s="13">
        <f>BD183*VLOOKUP('Données projet'!$B$11,Paramètres!$A$1:$I$89,3,0)*VLOOKUP('Données projet'!$B$11,Paramètres!$A$1:$I$89,5,0)</f>
        <v>253.98360000000002</v>
      </c>
      <c r="BF183" s="13">
        <f t="shared" si="167"/>
        <v>61.438182405444294</v>
      </c>
      <c r="BG183" s="20">
        <f t="shared" si="168"/>
        <v>549.35960435614891</v>
      </c>
      <c r="BH183" s="59">
        <f t="shared" si="116"/>
        <v>838.76482606000354</v>
      </c>
      <c r="BI183" s="59">
        <f ca="1">AVERAGE(OFFSET($BH$3,0,0,'Données projet'!$E$11+1,1))-AVERAGE(OFFSET($H$3,0,0,'Données projet'!$E$11+1,1))</f>
        <v>446.06835300781546</v>
      </c>
      <c r="BJ183" s="59">
        <f t="shared" si="146"/>
        <v>396.46809188573138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6.6868827958803205</v>
      </c>
      <c r="BQ183" s="21">
        <f>EXP(-LN(2)/25)*BQ182+(1-EXP(-LN(2)/25))/(LN(2)/25)*Calculateur!BL183*Calculateur!BN183*VLOOKUP('Données projet'!$B$11,Paramètres!$A$1:$I$89,3,0)*0.475*44/12</f>
        <v>1.9386571175781959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8.6255399134585158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-3.979039320256561E-13</v>
      </c>
      <c r="BZ183" s="13">
        <f>BY183*VLOOKUP('Données projet'!$B$12,Paramètres!$A$1:$I$89,3,0)*VLOOKUP('Données projet'!$B$12,Paramètres!$A$1:$I$89,5,0)</f>
        <v>-1.8621904018800707E-13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307.52821153421951</v>
      </c>
      <c r="CE183" s="59">
        <f t="shared" si="148"/>
        <v>221.23619018904222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35.457984543964145</v>
      </c>
      <c r="CL183" s="21">
        <f>EXP(-LN(2)/25)*CL182+(1-EXP(-LN(2)/25))/(LN(2)/25)*Calculateur!CG183*Calculateur!CI183*VLOOKUP('Données projet'!$B$12,Paramètres!$A$1:$I$89,3,0)*0.475*44/12</f>
        <v>4.6211992269280255</v>
      </c>
      <c r="CM183" s="21">
        <f>EXP(-LN(2)/2)*CM182+(1-EXP(-LN(2)/2))/(LN(2)/2)*CG183*CJ183*VLOOKUP('Données projet'!$B$12,Paramètres!$A$1:$I$89,3,0)*0.475*44/12</f>
        <v>2.7904419017482653E-11</v>
      </c>
      <c r="CN183" s="22">
        <f t="shared" si="172"/>
        <v>40.079183770920075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183.50641025641025</v>
      </c>
      <c r="CR183" s="12">
        <f>VLOOKUP(A183,'Données projet'!$A$139:$I$159,9,0)</f>
        <v>2.5149572649572653</v>
      </c>
      <c r="CS183" s="12">
        <f t="array" ref="CS183">INDEX(CR:CR,MIN(IF(ISNUMBER(CR183:CR379),ROW(CR183:CR379),"")))</f>
        <v>2.5149572649572653</v>
      </c>
      <c r="CT183" s="12">
        <f>IF('Données projet'!$A$140&gt;35,CT182+CS183-DB182,IF(A183&lt;'Données projet'!$A$140,$CQ$205^A183,IF(A183='Données projet'!$A$140,'Données projet'!$B$140,CT182+CS183-DB182)))</f>
        <v>183.50641025640971</v>
      </c>
      <c r="CU183" s="17">
        <f>CT183*VLOOKUP('Données projet'!$B$13,Paramètres!$A$1:$I$89,3,0)*VLOOKUP('Données projet'!$B$13,Paramètres!$A$1:$I$89,5,0)</f>
        <v>208.97709999999935</v>
      </c>
      <c r="CV183" s="13">
        <f t="shared" si="173"/>
        <v>51.711992829132981</v>
      </c>
      <c r="CW183" s="20">
        <f t="shared" si="174"/>
        <v>454.03350334407213</v>
      </c>
      <c r="CX183" s="59">
        <f t="shared" si="122"/>
        <v>743.43872504792671</v>
      </c>
      <c r="CY183" s="59">
        <f ca="1">AVERAGE(OFFSET($CX$3,0,0,'Données projet'!$E$13+1,1))-AVERAGE(OFFSET($H$3,0,0,'Données projet'!$E$13+1,1))</f>
        <v>598.12133208901378</v>
      </c>
      <c r="CZ183" s="59">
        <f t="shared" si="150"/>
        <v>246.23353541360947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58.794871794871796</v>
      </c>
      <c r="DC183" s="16">
        <f>IF(ISNA(VLOOKUP(A183,'Données projet'!$A$139:$I$159,5,0)),0%,VLOOKUP(A183,'Données projet'!$A$139:$I$159,5,0)*VLOOKUP('Données projet'!$B$13,Paramètres!$A$1:$I$89,7,0))</f>
        <v>0.38700000000000001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202.44050372352453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202.44050372352453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266.99999999999983</v>
      </c>
      <c r="DP183" s="17">
        <f>DO183*VLOOKUP('Données projet'!$B$14,Paramètres!$A$1:$I$89,3,0)*VLOOKUP('Données projet'!$B$14,Paramètres!$A$1:$I$89,5,0)</f>
        <v>212.42519999999985</v>
      </c>
      <c r="DQ183" s="13">
        <f t="shared" si="176"/>
        <v>52.465198231787184</v>
      </c>
      <c r="DR183" s="20">
        <f t="shared" si="177"/>
        <v>461.35077692036231</v>
      </c>
      <c r="DS183" s="59">
        <f t="shared" si="125"/>
        <v>750.755998624217</v>
      </c>
      <c r="DT183" s="59">
        <f ca="1">AVERAGE(OFFSET($DS$3,0,0,'Données projet'!$E$14+1,1))-AVERAGE(OFFSET($H$3,0,0,'Données projet'!$E$14+1,1))</f>
        <v>323.01113210765487</v>
      </c>
      <c r="DU183" s="59">
        <f t="shared" si="152"/>
        <v>311.68541696405975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3.967316814748429</v>
      </c>
      <c r="EB183" s="21">
        <f>EXP(-LN(2)/25)*EB182+(1-EXP(-LN(2)/25))/(LN(2)/25)*Calculateur!DW183*Calculateur!DY183*VLOOKUP('Données projet'!$B$14,Paramètres!$A$1:$I$89,3,0)*0.475*44/12</f>
        <v>0.52094941460195843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4.488266229350387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337.99164391755608</v>
      </c>
      <c r="T184" s="59">
        <f t="shared" si="142"/>
        <v>421.45428231923393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-8.5265128291212022E-13</v>
      </c>
      <c r="AJ184" s="13">
        <f>AI184*VLOOKUP('Données projet'!$B$10,Paramètres!$A$1:$I$89,3,0)*VLOOKUP('Données projet'!$B$10,Paramètres!$A$1:$I$89,5,0)</f>
        <v>-8.6458840087288995E-13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596.42822894047072</v>
      </c>
      <c r="AO184" s="59">
        <f t="shared" si="144"/>
        <v>298.31525330951047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161.92136515432756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161.92136515432756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243</v>
      </c>
      <c r="BE184" s="13">
        <f>BD184*VLOOKUP('Données projet'!$B$11,Paramètres!$A$1:$I$89,3,0)*VLOOKUP('Données projet'!$B$11,Paramètres!$A$1:$I$89,5,0)</f>
        <v>253.98360000000002</v>
      </c>
      <c r="BF184" s="13">
        <f t="shared" si="167"/>
        <v>61.438182405444294</v>
      </c>
      <c r="BG184" s="20">
        <f t="shared" si="168"/>
        <v>549.35960435614891</v>
      </c>
      <c r="BH184" s="59">
        <f t="shared" si="116"/>
        <v>838.83297001483299</v>
      </c>
      <c r="BI184" s="59">
        <f ca="1">AVERAGE(OFFSET($BH$3,0,0,'Données projet'!$E$11+1,1))-AVERAGE(OFFSET($H$3,0,0,'Données projet'!$E$11+1,1))</f>
        <v>446.06835300781546</v>
      </c>
      <c r="BJ184" s="59">
        <f t="shared" si="146"/>
        <v>396.46809188573138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6.5557571028488848</v>
      </c>
      <c r="BQ184" s="21">
        <f>EXP(-LN(2)/25)*BQ183+(1-EXP(-LN(2)/25))/(LN(2)/25)*Calculateur!BL184*Calculateur!BN184*VLOOKUP('Données projet'!$B$11,Paramètres!$A$1:$I$89,3,0)*0.475*44/12</f>
        <v>1.8856444367484733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8.4414015395973578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-3.979039320256561E-13</v>
      </c>
      <c r="BZ184" s="13">
        <f>BY184*VLOOKUP('Données projet'!$B$12,Paramètres!$A$1:$I$89,3,0)*VLOOKUP('Données projet'!$B$12,Paramètres!$A$1:$I$89,5,0)</f>
        <v>-1.8621904018800707E-13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307.52821153421951</v>
      </c>
      <c r="CE184" s="59">
        <f t="shared" si="148"/>
        <v>221.23619018904222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34.762675094292071</v>
      </c>
      <c r="CL184" s="21">
        <f>EXP(-LN(2)/25)*CL183+(1-EXP(-LN(2)/25))/(LN(2)/25)*Calculateur!CG184*Calculateur!CI184*VLOOKUP('Données projet'!$B$12,Paramètres!$A$1:$I$89,3,0)*0.475*44/12</f>
        <v>4.4948322910493737</v>
      </c>
      <c r="CM184" s="21">
        <f>EXP(-LN(2)/2)*CM183+(1-EXP(-LN(2)/2))/(LN(2)/2)*CG184*CJ184*VLOOKUP('Données projet'!$B$12,Paramètres!$A$1:$I$89,3,0)*0.475*44/12</f>
        <v>1.9731403912332842E-11</v>
      </c>
      <c r="CN184" s="22">
        <f t="shared" si="172"/>
        <v>39.257507385361173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1.5384615384615377</v>
      </c>
      <c r="CT184" s="12">
        <f>IF('Données projet'!$A$140&gt;35,CT183+CS184-DB183,IF(A184&lt;'Données projet'!$A$140,$CQ$205^A184,IF(A184='Données projet'!$A$140,'Données projet'!$B$140,CT183+CS184-DB183)))</f>
        <v>126.24999999999946</v>
      </c>
      <c r="CU184" s="17">
        <f>CT184*VLOOKUP('Données projet'!$B$13,Paramètres!$A$1:$I$89,3,0)*VLOOKUP('Données projet'!$B$13,Paramètres!$A$1:$I$89,5,0)</f>
        <v>143.77349999999939</v>
      </c>
      <c r="CV184" s="13">
        <f t="shared" si="173"/>
        <v>37.160118696765068</v>
      </c>
      <c r="CW184" s="20">
        <f t="shared" si="174"/>
        <v>315.1260525635314</v>
      </c>
      <c r="CX184" s="59">
        <f t="shared" si="122"/>
        <v>604.59941822221549</v>
      </c>
      <c r="CY184" s="59">
        <f ca="1">AVERAGE(OFFSET($CX$3,0,0,'Données projet'!$E$13+1,1))-AVERAGE(OFFSET($H$3,0,0,'Données projet'!$E$13+1,1))</f>
        <v>598.12133208901378</v>
      </c>
      <c r="CZ184" s="59">
        <f t="shared" si="150"/>
        <v>246.23353541360947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198.47076892202119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198.47076892202119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266.99999999999983</v>
      </c>
      <c r="DP184" s="17">
        <f>DO184*VLOOKUP('Données projet'!$B$14,Paramètres!$A$1:$I$89,3,0)*VLOOKUP('Données projet'!$B$14,Paramètres!$A$1:$I$89,5,0)</f>
        <v>212.42519999999985</v>
      </c>
      <c r="DQ184" s="13">
        <f t="shared" si="176"/>
        <v>52.465198231787184</v>
      </c>
      <c r="DR184" s="20">
        <f t="shared" si="177"/>
        <v>461.35077692036231</v>
      </c>
      <c r="DS184" s="59">
        <f t="shared" si="125"/>
        <v>750.82414257904634</v>
      </c>
      <c r="DT184" s="59">
        <f ca="1">AVERAGE(OFFSET($DS$3,0,0,'Données projet'!$E$14+1,1))-AVERAGE(OFFSET($H$3,0,0,'Données projet'!$E$14+1,1))</f>
        <v>323.01113210765487</v>
      </c>
      <c r="DU184" s="59">
        <f t="shared" si="152"/>
        <v>311.68541696405975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3.8895201518355313</v>
      </c>
      <c r="EB184" s="21">
        <f>EXP(-LN(2)/25)*EB183+(1-EXP(-LN(2)/25))/(LN(2)/25)*Calculateur!DW184*Calculateur!DY184*VLOOKUP('Données projet'!$B$14,Paramètres!$A$1:$I$89,3,0)*0.475*44/12</f>
        <v>0.50670402546412885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4.3962241772996604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337.99164391755608</v>
      </c>
      <c r="T185" s="59">
        <f t="shared" si="142"/>
        <v>421.45428231923393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-8.5265128291212022E-13</v>
      </c>
      <c r="AJ185" s="13">
        <f>AI185*VLOOKUP('Données projet'!$B$10,Paramètres!$A$1:$I$89,3,0)*VLOOKUP('Données projet'!$B$10,Paramètres!$A$1:$I$89,5,0)</f>
        <v>-8.6458840087288995E-13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596.42822894047072</v>
      </c>
      <c r="AO185" s="59">
        <f t="shared" si="144"/>
        <v>298.31525330951047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158.74618594593198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158.74618594593198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243</v>
      </c>
      <c r="BE185" s="13">
        <f>BD185*VLOOKUP('Données projet'!$B$11,Paramètres!$A$1:$I$89,3,0)*VLOOKUP('Données projet'!$B$11,Paramètres!$A$1:$I$89,5,0)</f>
        <v>253.98360000000002</v>
      </c>
      <c r="BF185" s="13">
        <f t="shared" si="167"/>
        <v>61.438182405444294</v>
      </c>
      <c r="BG185" s="20">
        <f t="shared" si="168"/>
        <v>549.35960435614891</v>
      </c>
      <c r="BH185" s="59">
        <f t="shared" si="116"/>
        <v>838.89993182439332</v>
      </c>
      <c r="BI185" s="59">
        <f ca="1">AVERAGE(OFFSET($BH$3,0,0,'Données projet'!$E$11+1,1))-AVERAGE(OFFSET($H$3,0,0,'Données projet'!$E$11+1,1))</f>
        <v>446.06835300781546</v>
      </c>
      <c r="BJ185" s="59">
        <f t="shared" si="146"/>
        <v>396.46809188573138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6.4272027046790203</v>
      </c>
      <c r="BQ185" s="21">
        <f>EXP(-LN(2)/25)*BQ184+(1-EXP(-LN(2)/25))/(LN(2)/25)*Calculateur!BL185*Calculateur!BN185*VLOOKUP('Données projet'!$B$11,Paramètres!$A$1:$I$89,3,0)*0.475*44/12</f>
        <v>1.8340813904638551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8.2612840951428748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-3.979039320256561E-13</v>
      </c>
      <c r="BZ185" s="13">
        <f>BY185*VLOOKUP('Données projet'!$B$12,Paramètres!$A$1:$I$89,3,0)*VLOOKUP('Données projet'!$B$12,Paramètres!$A$1:$I$89,5,0)</f>
        <v>-1.8621904018800707E-13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307.52821153421951</v>
      </c>
      <c r="CE185" s="59">
        <f t="shared" si="148"/>
        <v>221.23619018904222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34.081000238831173</v>
      </c>
      <c r="CL185" s="21">
        <f>EXP(-LN(2)/25)*CL184+(1-EXP(-LN(2)/25))/(LN(2)/25)*Calculateur!CG185*Calculateur!CI185*VLOOKUP('Données projet'!$B$12,Paramètres!$A$1:$I$89,3,0)*0.475*44/12</f>
        <v>4.3719208656776711</v>
      </c>
      <c r="CM185" s="21">
        <f>EXP(-LN(2)/2)*CM184+(1-EXP(-LN(2)/2))/(LN(2)/2)*CG185*CJ185*VLOOKUP('Données projet'!$B$12,Paramètres!$A$1:$I$89,3,0)*0.475*44/12</f>
        <v>1.3952209508741327E-11</v>
      </c>
      <c r="CN185" s="22">
        <f t="shared" si="172"/>
        <v>38.452921104522801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1.5384615384615377</v>
      </c>
      <c r="CT185" s="12">
        <f>IF('Données projet'!$A$140&gt;35,CT184+CS185-DB184,IF(A185&lt;'Données projet'!$A$140,$CQ$205^A185,IF(A185='Données projet'!$A$140,'Données projet'!$B$140,CT184+CS185-DB184)))</f>
        <v>127.78846153846099</v>
      </c>
      <c r="CU185" s="17">
        <f>CT185*VLOOKUP('Données projet'!$B$13,Paramètres!$A$1:$I$89,3,0)*VLOOKUP('Données projet'!$B$13,Paramètres!$A$1:$I$89,5,0)</f>
        <v>145.52549999999937</v>
      </c>
      <c r="CV185" s="13">
        <f t="shared" si="173"/>
        <v>37.559954175078929</v>
      </c>
      <c r="CW185" s="20">
        <f t="shared" si="174"/>
        <v>318.87383268826136</v>
      </c>
      <c r="CX185" s="59">
        <f t="shared" si="122"/>
        <v>608.41416015650577</v>
      </c>
      <c r="CY185" s="59">
        <f ca="1">AVERAGE(OFFSET($CX$3,0,0,'Données projet'!$E$13+1,1))-AVERAGE(OFFSET($H$3,0,0,'Données projet'!$E$13+1,1))</f>
        <v>598.12133208901378</v>
      </c>
      <c r="CZ185" s="59">
        <f t="shared" si="150"/>
        <v>246.23353541360947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194.57887819867619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194.57887819867619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266.99999999999983</v>
      </c>
      <c r="DP185" s="17">
        <f>DO185*VLOOKUP('Données projet'!$B$14,Paramètres!$A$1:$I$89,3,0)*VLOOKUP('Données projet'!$B$14,Paramètres!$A$1:$I$89,5,0)</f>
        <v>212.42519999999985</v>
      </c>
      <c r="DQ185" s="13">
        <f t="shared" si="176"/>
        <v>52.465198231787184</v>
      </c>
      <c r="DR185" s="20">
        <f t="shared" si="177"/>
        <v>461.35077692036231</v>
      </c>
      <c r="DS185" s="59">
        <f t="shared" si="125"/>
        <v>750.89110438860666</v>
      </c>
      <c r="DT185" s="59">
        <f ca="1">AVERAGE(OFFSET($DS$3,0,0,'Données projet'!$E$14+1,1))-AVERAGE(OFFSET($H$3,0,0,'Données projet'!$E$14+1,1))</f>
        <v>323.01113210765487</v>
      </c>
      <c r="DU185" s="59">
        <f t="shared" si="152"/>
        <v>311.68541696405975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3.813249034031077</v>
      </c>
      <c r="EB185" s="21">
        <f>EXP(-LN(2)/25)*EB184+(1-EXP(-LN(2)/25))/(LN(2)/25)*Calculateur!DW185*Calculateur!DY185*VLOOKUP('Données projet'!$B$14,Paramètres!$A$1:$I$89,3,0)*0.475*44/12</f>
        <v>0.49284817724140562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4.3060972112724825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337.99164391755608</v>
      </c>
      <c r="T186" s="59">
        <f t="shared" si="142"/>
        <v>421.45428231923393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-8.5265128291212022E-13</v>
      </c>
      <c r="AJ186" s="13">
        <f>AI186*VLOOKUP('Données projet'!$B$10,Paramètres!$A$1:$I$89,3,0)*VLOOKUP('Données projet'!$B$10,Paramètres!$A$1:$I$89,5,0)</f>
        <v>-8.6458840087288995E-13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596.42822894047072</v>
      </c>
      <c r="AO186" s="59">
        <f t="shared" si="144"/>
        <v>298.31525330951047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155.63327006514496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155.63327006514496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243</v>
      </c>
      <c r="BE186" s="13">
        <f>BD186*VLOOKUP('Données projet'!$B$11,Paramètres!$A$1:$I$89,3,0)*VLOOKUP('Données projet'!$B$11,Paramètres!$A$1:$I$89,5,0)</f>
        <v>253.98360000000002</v>
      </c>
      <c r="BF186" s="13">
        <f t="shared" si="167"/>
        <v>61.438182405444294</v>
      </c>
      <c r="BG186" s="20">
        <f t="shared" si="168"/>
        <v>549.35960435614891</v>
      </c>
      <c r="BH186" s="59">
        <f t="shared" si="116"/>
        <v>838.96573199626187</v>
      </c>
      <c r="BI186" s="59">
        <f ca="1">AVERAGE(OFFSET($BH$3,0,0,'Données projet'!$E$11+1,1))-AVERAGE(OFFSET($H$3,0,0,'Données projet'!$E$11+1,1))</f>
        <v>446.06835300781546</v>
      </c>
      <c r="BJ186" s="59">
        <f t="shared" si="146"/>
        <v>396.46809188573138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6.3011691798468261</v>
      </c>
      <c r="BQ186" s="21">
        <f>EXP(-LN(2)/25)*BQ185+(1-EXP(-LN(2)/25))/(LN(2)/25)*Calculateur!BL186*Calculateur!BN186*VLOOKUP('Données projet'!$B$11,Paramètres!$A$1:$I$89,3,0)*0.475*44/12</f>
        <v>1.7839283383914726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8.0850975182382996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-3.979039320256561E-13</v>
      </c>
      <c r="BZ186" s="13">
        <f>BY186*VLOOKUP('Données projet'!$B$12,Paramètres!$A$1:$I$89,3,0)*VLOOKUP('Données projet'!$B$12,Paramètres!$A$1:$I$89,5,0)</f>
        <v>-1.8621904018800707E-13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307.52821153421951</v>
      </c>
      <c r="CE186" s="59">
        <f t="shared" si="148"/>
        <v>221.23619018904222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33.412692611505257</v>
      </c>
      <c r="CL186" s="21">
        <f>EXP(-LN(2)/25)*CL185+(1-EXP(-LN(2)/25))/(LN(2)/25)*Calculateur!CG186*Calculateur!CI186*VLOOKUP('Données projet'!$B$12,Paramètres!$A$1:$I$89,3,0)*0.475*44/12</f>
        <v>4.2523704596963894</v>
      </c>
      <c r="CM186" s="21">
        <f>EXP(-LN(2)/2)*CM185+(1-EXP(-LN(2)/2))/(LN(2)/2)*CG186*CJ186*VLOOKUP('Données projet'!$B$12,Paramètres!$A$1:$I$89,3,0)*0.475*44/12</f>
        <v>9.8657019561664208E-12</v>
      </c>
      <c r="CN186" s="22">
        <f t="shared" si="172"/>
        <v>37.665063071211506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129.32692307692307</v>
      </c>
      <c r="CR186" s="12">
        <f>VLOOKUP(A186,'Données projet'!$A$139:$I$159,9,0)</f>
        <v>1.5384615384615377</v>
      </c>
      <c r="CS186" s="12">
        <f t="array" ref="CS186">INDEX(CR:CR,MIN(IF(ISNUMBER(CR186:CR382),ROW(CR186:CR382),"")))</f>
        <v>1.5384615384615377</v>
      </c>
      <c r="CT186" s="12">
        <f>IF('Données projet'!$A$140&gt;35,CT185+CS186-DB185,IF(A186&lt;'Données projet'!$A$140,$CQ$205^A186,IF(A186='Données projet'!$A$140,'Données projet'!$B$140,CT185+CS186-DB185)))</f>
        <v>129.32692307692253</v>
      </c>
      <c r="CU186" s="17">
        <f>CT186*VLOOKUP('Données projet'!$B$13,Paramètres!$A$1:$I$89,3,0)*VLOOKUP('Données projet'!$B$13,Paramètres!$A$1:$I$89,5,0)</f>
        <v>147.27749999999938</v>
      </c>
      <c r="CV186" s="13">
        <f t="shared" si="173"/>
        <v>37.959229720295355</v>
      </c>
      <c r="CW186" s="20">
        <f t="shared" si="174"/>
        <v>322.62063759617996</v>
      </c>
      <c r="CX186" s="59">
        <f t="shared" si="122"/>
        <v>612.22676523629298</v>
      </c>
      <c r="CY186" s="59">
        <f ca="1">AVERAGE(OFFSET($CX$3,0,0,'Données projet'!$E$13+1,1))-AVERAGE(OFFSET($H$3,0,0,'Données projet'!$E$13+1,1))</f>
        <v>598.12133208901378</v>
      </c>
      <c r="CZ186" s="59">
        <f t="shared" si="150"/>
        <v>246.23353541360947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129.32692307692307</v>
      </c>
      <c r="DC186" s="16">
        <f>IF(ISNA(VLOOKUP(A186,'Données projet'!$A$139:$I$159,5,0)),0%,VLOOKUP(A186,'Données projet'!$A$139:$I$159,5,0)*VLOOKUP('Données projet'!$B$13,Paramètres!$A$1:$I$89,7,0))</f>
        <v>0.38700000000000001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253.77112872758102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253.77112872758102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266.99999999999983</v>
      </c>
      <c r="DP186" s="17">
        <f>DO186*VLOOKUP('Données projet'!$B$14,Paramètres!$A$1:$I$89,3,0)*VLOOKUP('Données projet'!$B$14,Paramètres!$A$1:$I$89,5,0)</f>
        <v>212.42519999999985</v>
      </c>
      <c r="DQ186" s="13">
        <f t="shared" si="176"/>
        <v>52.465198231787184</v>
      </c>
      <c r="DR186" s="20">
        <f t="shared" si="177"/>
        <v>461.35077692036231</v>
      </c>
      <c r="DS186" s="59">
        <f t="shared" si="125"/>
        <v>750.95690456047532</v>
      </c>
      <c r="DT186" s="59">
        <f ca="1">AVERAGE(OFFSET($DS$3,0,0,'Données projet'!$E$14+1,1))-AVERAGE(OFFSET($H$3,0,0,'Données projet'!$E$14+1,1))</f>
        <v>323.01113210765487</v>
      </c>
      <c r="DU186" s="59">
        <f t="shared" si="152"/>
        <v>311.68541696405975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3.7384735463259795</v>
      </c>
      <c r="EB186" s="21">
        <f>EXP(-LN(2)/25)*EB185+(1-EXP(-LN(2)/25))/(LN(2)/25)*Calculateur!DW186*Calculateur!DY186*VLOOKUP('Données projet'!$B$14,Paramètres!$A$1:$I$89,3,0)*0.475*44/12</f>
        <v>0.47937121791698017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4.21784476424296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337.99164391755608</v>
      </c>
      <c r="T187" s="59">
        <f t="shared" si="142"/>
        <v>421.45428231923393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-8.5265128291212022E-13</v>
      </c>
      <c r="AJ187" s="13">
        <f>AI187*VLOOKUP('Données projet'!$B$10,Paramètres!$A$1:$I$89,3,0)*VLOOKUP('Données projet'!$B$10,Paramètres!$A$1:$I$89,5,0)</f>
        <v>-8.6458840087288995E-13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596.42822894047072</v>
      </c>
      <c r="AO187" s="59">
        <f t="shared" si="144"/>
        <v>298.31525330951047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152.58139656608896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152.58139656608896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243</v>
      </c>
      <c r="BE187" s="13">
        <f>BD187*VLOOKUP('Données projet'!$B$11,Paramètres!$A$1:$I$89,3,0)*VLOOKUP('Données projet'!$B$11,Paramètres!$A$1:$I$89,5,0)</f>
        <v>253.98360000000002</v>
      </c>
      <c r="BF187" s="13">
        <f t="shared" si="167"/>
        <v>61.438182405444294</v>
      </c>
      <c r="BG187" s="20">
        <f t="shared" si="168"/>
        <v>549.35960435614891</v>
      </c>
      <c r="BH187" s="59">
        <f t="shared" si="116"/>
        <v>839.03039068225564</v>
      </c>
      <c r="BI187" s="59">
        <f ca="1">AVERAGE(OFFSET($BH$3,0,0,'Données projet'!$E$11+1,1))-AVERAGE(OFFSET($H$3,0,0,'Données projet'!$E$11+1,1))</f>
        <v>446.06835300781546</v>
      </c>
      <c r="BJ187" s="59">
        <f t="shared" si="146"/>
        <v>396.46809188573138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6.1776070955637321</v>
      </c>
      <c r="BQ187" s="21">
        <f>EXP(-LN(2)/25)*BQ186+(1-EXP(-LN(2)/25))/(LN(2)/25)*Calculateur!BL187*Calculateur!BN187*VLOOKUP('Données projet'!$B$11,Paramètres!$A$1:$I$89,3,0)*0.475*44/12</f>
        <v>1.7351467241654437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7.9127538197291756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-3.979039320256561E-13</v>
      </c>
      <c r="BZ187" s="13">
        <f>BY187*VLOOKUP('Données projet'!$B$12,Paramètres!$A$1:$I$89,3,0)*VLOOKUP('Données projet'!$B$12,Paramètres!$A$1:$I$89,5,0)</f>
        <v>-1.8621904018800707E-13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307.52821153421951</v>
      </c>
      <c r="CE187" s="59">
        <f t="shared" si="148"/>
        <v>221.23619018904222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32.757490089123799</v>
      </c>
      <c r="CL187" s="21">
        <f>EXP(-LN(2)/25)*CL186+(1-EXP(-LN(2)/25))/(LN(2)/25)*Calculateur!CG187*Calculateur!CI187*VLOOKUP('Données projet'!$B$12,Paramètres!$A$1:$I$89,3,0)*0.475*44/12</f>
        <v>4.1360891658535479</v>
      </c>
      <c r="CM187" s="21">
        <f>EXP(-LN(2)/2)*CM186+(1-EXP(-LN(2)/2))/(LN(2)/2)*CG187*CJ187*VLOOKUP('Données projet'!$B$12,Paramètres!$A$1:$I$89,3,0)*0.475*44/12</f>
        <v>6.9761047543706633E-12</v>
      </c>
      <c r="CN187" s="22">
        <f t="shared" si="172"/>
        <v>36.893579254984324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-5.4001247917767614E-13</v>
      </c>
      <c r="CU187" s="17">
        <f>CT187*VLOOKUP('Données projet'!$B$13,Paramètres!$A$1:$I$89,3,0)*VLOOKUP('Données projet'!$B$13,Paramètres!$A$1:$I$89,5,0)</f>
        <v>-6.1496621128753759E-13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598.12133208901378</v>
      </c>
      <c r="CZ187" s="59">
        <f t="shared" si="150"/>
        <v>246.23353541360947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248.79483167833791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248.79483167833791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266.99999999999983</v>
      </c>
      <c r="DP187" s="17">
        <f>DO187*VLOOKUP('Données projet'!$B$14,Paramètres!$A$1:$I$89,3,0)*VLOOKUP('Données projet'!$B$14,Paramètres!$A$1:$I$89,5,0)</f>
        <v>212.42519999999985</v>
      </c>
      <c r="DQ187" s="13">
        <f t="shared" si="176"/>
        <v>52.465198231787184</v>
      </c>
      <c r="DR187" s="20">
        <f t="shared" si="177"/>
        <v>461.35077692036231</v>
      </c>
      <c r="DS187" s="59">
        <f t="shared" si="125"/>
        <v>751.02156324646899</v>
      </c>
      <c r="DT187" s="59">
        <f ca="1">AVERAGE(OFFSET($DS$3,0,0,'Données projet'!$E$14+1,1))-AVERAGE(OFFSET($H$3,0,0,'Données projet'!$E$14+1,1))</f>
        <v>323.01113210765487</v>
      </c>
      <c r="DU187" s="59">
        <f t="shared" si="152"/>
        <v>311.68541696405975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3.6651643603262349</v>
      </c>
      <c r="EB187" s="21">
        <f>EXP(-LN(2)/25)*EB186+(1-EXP(-LN(2)/25))/(LN(2)/25)*Calculateur!DW187*Calculateur!DY187*VLOOKUP('Données projet'!$B$14,Paramètres!$A$1:$I$89,3,0)*0.475*44/12</f>
        <v>0.46626278675400362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4.1314271470802382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337.99164391755608</v>
      </c>
      <c r="T188" s="59">
        <f t="shared" si="142"/>
        <v>421.45428231923393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-8.5265128291212022E-13</v>
      </c>
      <c r="AJ188" s="13">
        <f>AI188*VLOOKUP('Données projet'!$B$10,Paramètres!$A$1:$I$89,3,0)*VLOOKUP('Données projet'!$B$10,Paramètres!$A$1:$I$89,5,0)</f>
        <v>-8.6458840087288995E-13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596.42822894047072</v>
      </c>
      <c r="AO188" s="59">
        <f t="shared" si="144"/>
        <v>298.31525330951047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149.5893684448904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149.5893684448904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243</v>
      </c>
      <c r="BE188" s="13">
        <f>BD188*VLOOKUP('Données projet'!$B$11,Paramètres!$A$1:$I$89,3,0)*VLOOKUP('Données projet'!$B$11,Paramètres!$A$1:$I$89,5,0)</f>
        <v>253.98360000000002</v>
      </c>
      <c r="BF188" s="13">
        <f t="shared" si="167"/>
        <v>61.438182405444294</v>
      </c>
      <c r="BG188" s="20">
        <f t="shared" si="168"/>
        <v>549.35960435614891</v>
      </c>
      <c r="BH188" s="59">
        <f t="shared" si="116"/>
        <v>839.0939276846027</v>
      </c>
      <c r="BI188" s="59">
        <f ca="1">AVERAGE(OFFSET($BH$3,0,0,'Données projet'!$E$11+1,1))-AVERAGE(OFFSET($H$3,0,0,'Données projet'!$E$11+1,1))</f>
        <v>446.06835300781546</v>
      </c>
      <c r="BJ188" s="59">
        <f t="shared" si="146"/>
        <v>396.46809188573138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6.0564679883879995</v>
      </c>
      <c r="BQ188" s="21">
        <f>EXP(-LN(2)/25)*BQ187+(1-EXP(-LN(2)/25))/(LN(2)/25)*Calculateur!BL188*Calculateur!BN188*VLOOKUP('Données projet'!$B$11,Paramètres!$A$1:$I$89,3,0)*0.475*44/12</f>
        <v>1.687699045745739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7.7441670341337385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-3.979039320256561E-13</v>
      </c>
      <c r="BZ188" s="13">
        <f>BY188*VLOOKUP('Données projet'!$B$12,Paramètres!$A$1:$I$89,3,0)*VLOOKUP('Données projet'!$B$12,Paramètres!$A$1:$I$89,5,0)</f>
        <v>-1.8621904018800707E-13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307.52821153421951</v>
      </c>
      <c r="CE188" s="59">
        <f t="shared" si="148"/>
        <v>221.23619018904222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32.115135688572167</v>
      </c>
      <c r="CL188" s="21">
        <f>EXP(-LN(2)/25)*CL187+(1-EXP(-LN(2)/25))/(LN(2)/25)*Calculateur!CG188*Calculateur!CI188*VLOOKUP('Données projet'!$B$12,Paramètres!$A$1:$I$89,3,0)*0.475*44/12</f>
        <v>4.0229875901058065</v>
      </c>
      <c r="CM188" s="21">
        <f>EXP(-LN(2)/2)*CM187+(1-EXP(-LN(2)/2))/(LN(2)/2)*CG188*CJ188*VLOOKUP('Données projet'!$B$12,Paramètres!$A$1:$I$89,3,0)*0.475*44/12</f>
        <v>4.9328509780832104E-12</v>
      </c>
      <c r="CN188" s="22">
        <f t="shared" si="172"/>
        <v>36.138123278682905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-5.4001247917767614E-13</v>
      </c>
      <c r="CU188" s="17">
        <f>CT188*VLOOKUP('Données projet'!$B$13,Paramètres!$A$1:$I$89,3,0)*VLOOKUP('Données projet'!$B$13,Paramètres!$A$1:$I$89,5,0)</f>
        <v>-6.1496621128753759E-13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598.12133208901378</v>
      </c>
      <c r="CZ188" s="59">
        <f t="shared" si="150"/>
        <v>246.23353541360947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243.91611677898896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243.91611677898896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266.99999999999983</v>
      </c>
      <c r="DP188" s="17">
        <f>DO188*VLOOKUP('Données projet'!$B$14,Paramètres!$A$1:$I$89,3,0)*VLOOKUP('Données projet'!$B$14,Paramètres!$A$1:$I$89,5,0)</f>
        <v>212.42519999999985</v>
      </c>
      <c r="DQ188" s="13">
        <f t="shared" si="176"/>
        <v>52.465198231787184</v>
      </c>
      <c r="DR188" s="20">
        <f t="shared" si="177"/>
        <v>461.35077692036231</v>
      </c>
      <c r="DS188" s="59">
        <f t="shared" si="125"/>
        <v>751.08510024881605</v>
      </c>
      <c r="DT188" s="59">
        <f ca="1">AVERAGE(OFFSET($DS$3,0,0,'Données projet'!$E$14+1,1))-AVERAGE(OFFSET($H$3,0,0,'Données projet'!$E$14+1,1))</f>
        <v>323.01113210765487</v>
      </c>
      <c r="DU188" s="59">
        <f t="shared" si="152"/>
        <v>311.68541696405975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3.5932927227497569</v>
      </c>
      <c r="EB188" s="21">
        <f>EXP(-LN(2)/25)*EB187+(1-EXP(-LN(2)/25))/(LN(2)/25)*Calculateur!DW188*Calculateur!DY188*VLOOKUP('Données projet'!$B$14,Paramètres!$A$1:$I$89,3,0)*0.475*44/12</f>
        <v>0.4535128063305211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4.0468055290802782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337.99164391755608</v>
      </c>
      <c r="T189" s="59">
        <f t="shared" si="142"/>
        <v>421.45428231923393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-8.5265128291212022E-13</v>
      </c>
      <c r="AJ189" s="13">
        <f>AI189*VLOOKUP('Données projet'!$B$10,Paramètres!$A$1:$I$89,3,0)*VLOOKUP('Données projet'!$B$10,Paramètres!$A$1:$I$89,5,0)</f>
        <v>-8.6458840087288995E-13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596.42822894047072</v>
      </c>
      <c r="AO189" s="59">
        <f t="shared" si="144"/>
        <v>298.31525330951047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146.65601217019159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146.65601217019159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243</v>
      </c>
      <c r="BE189" s="13">
        <f>BD189*VLOOKUP('Données projet'!$B$11,Paramètres!$A$1:$I$89,3,0)*VLOOKUP('Données projet'!$B$11,Paramètres!$A$1:$I$89,5,0)</f>
        <v>253.98360000000002</v>
      </c>
      <c r="BF189" s="13">
        <f t="shared" si="167"/>
        <v>61.438182405444294</v>
      </c>
      <c r="BG189" s="20">
        <f t="shared" si="168"/>
        <v>549.35960435614891</v>
      </c>
      <c r="BH189" s="59">
        <f t="shared" si="116"/>
        <v>839.15636246200631</v>
      </c>
      <c r="BI189" s="59">
        <f ca="1">AVERAGE(OFFSET($BH$3,0,0,'Données projet'!$E$11+1,1))-AVERAGE(OFFSET($H$3,0,0,'Données projet'!$E$11+1,1))</f>
        <v>446.06835300781546</v>
      </c>
      <c r="BJ189" s="59">
        <f t="shared" si="146"/>
        <v>396.46809188573138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5.9377043452164235</v>
      </c>
      <c r="BQ189" s="21">
        <f>EXP(-LN(2)/25)*BQ188+(1-EXP(-LN(2)/25))/(LN(2)/25)*Calculateur!BL189*Calculateur!BN189*VLOOKUP('Données projet'!$B$11,Paramètres!$A$1:$I$89,3,0)*0.475*44/12</f>
        <v>1.6415488265875862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7.5792531718040097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-3.979039320256561E-13</v>
      </c>
      <c r="BZ189" s="13">
        <f>BY189*VLOOKUP('Données projet'!$B$12,Paramètres!$A$1:$I$89,3,0)*VLOOKUP('Données projet'!$B$12,Paramètres!$A$1:$I$89,5,0)</f>
        <v>-1.8621904018800707E-13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307.52821153421951</v>
      </c>
      <c r="CE189" s="59">
        <f t="shared" si="148"/>
        <v>221.23619018904222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31.485377466017852</v>
      </c>
      <c r="CL189" s="21">
        <f>EXP(-LN(2)/25)*CL188+(1-EXP(-LN(2)/25))/(LN(2)/25)*Calculateur!CG189*Calculateur!CI189*VLOOKUP('Données projet'!$B$12,Paramètres!$A$1:$I$89,3,0)*0.475*44/12</f>
        <v>3.9129787828946405</v>
      </c>
      <c r="CM189" s="21">
        <f>EXP(-LN(2)/2)*CM188+(1-EXP(-LN(2)/2))/(LN(2)/2)*CG189*CJ189*VLOOKUP('Données projet'!$B$12,Paramètres!$A$1:$I$89,3,0)*0.475*44/12</f>
        <v>3.4880523771853316E-12</v>
      </c>
      <c r="CN189" s="22">
        <f t="shared" si="172"/>
        <v>35.398356248915981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-5.4001247917767614E-13</v>
      </c>
      <c r="CU189" s="17">
        <f>CT189*VLOOKUP('Données projet'!$B$13,Paramètres!$A$1:$I$89,3,0)*VLOOKUP('Données projet'!$B$13,Paramètres!$A$1:$I$89,5,0)</f>
        <v>-6.1496621128753759E-13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598.12133208901378</v>
      </c>
      <c r="CZ189" s="59">
        <f t="shared" si="150"/>
        <v>246.23353541360947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239.13307050309399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239.13307050309399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266.99999999999983</v>
      </c>
      <c r="DP189" s="17">
        <f>DO189*VLOOKUP('Données projet'!$B$14,Paramètres!$A$1:$I$89,3,0)*VLOOKUP('Données projet'!$B$14,Paramètres!$A$1:$I$89,5,0)</f>
        <v>212.42519999999985</v>
      </c>
      <c r="DQ189" s="13">
        <f t="shared" si="176"/>
        <v>52.465198231787184</v>
      </c>
      <c r="DR189" s="20">
        <f t="shared" si="177"/>
        <v>461.35077692036231</v>
      </c>
      <c r="DS189" s="59">
        <f t="shared" si="125"/>
        <v>751.14753502621966</v>
      </c>
      <c r="DT189" s="59">
        <f ca="1">AVERAGE(OFFSET($DS$3,0,0,'Données projet'!$E$14+1,1))-AVERAGE(OFFSET($H$3,0,0,'Données projet'!$E$14+1,1))</f>
        <v>323.01113210765487</v>
      </c>
      <c r="DU189" s="59">
        <f t="shared" si="152"/>
        <v>311.68541696405975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3.5228304441487834</v>
      </c>
      <c r="EB189" s="21">
        <f>EXP(-LN(2)/25)*EB188+(1-EXP(-LN(2)/25))/(LN(2)/25)*Calculateur!DW189*Calculateur!DY189*VLOOKUP('Données projet'!$B$14,Paramètres!$A$1:$I$89,3,0)*0.475*44/12</f>
        <v>0.44111147479221102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3.9639419189409946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337.99164391755608</v>
      </c>
      <c r="T190" s="59">
        <f t="shared" si="142"/>
        <v>421.45428231923393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-8.5265128291212022E-13</v>
      </c>
      <c r="AJ190" s="13">
        <f>AI190*VLOOKUP('Données projet'!$B$10,Paramètres!$A$1:$I$89,3,0)*VLOOKUP('Données projet'!$B$10,Paramètres!$A$1:$I$89,5,0)</f>
        <v>-8.6458840087288995E-13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596.42822894047072</v>
      </c>
      <c r="AO190" s="59">
        <f t="shared" si="144"/>
        <v>298.31525330951047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143.78017722286896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143.78017722286896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243</v>
      </c>
      <c r="BE190" s="13">
        <f>BD190*VLOOKUP('Données projet'!$B$11,Paramètres!$A$1:$I$89,3,0)*VLOOKUP('Données projet'!$B$11,Paramètres!$A$1:$I$89,5,0)</f>
        <v>253.98360000000002</v>
      </c>
      <c r="BF190" s="13">
        <f t="shared" si="167"/>
        <v>61.438182405444294</v>
      </c>
      <c r="BG190" s="20">
        <f t="shared" si="168"/>
        <v>549.35960435614891</v>
      </c>
      <c r="BH190" s="59">
        <f t="shared" si="116"/>
        <v>839.21771413560532</v>
      </c>
      <c r="BI190" s="59">
        <f ca="1">AVERAGE(OFFSET($BH$3,0,0,'Données projet'!$E$11+1,1))-AVERAGE(OFFSET($H$3,0,0,'Données projet'!$E$11+1,1))</f>
        <v>446.06835300781546</v>
      </c>
      <c r="BJ190" s="59">
        <f t="shared" si="146"/>
        <v>396.46809188573138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5.821269584648773</v>
      </c>
      <c r="BQ190" s="21">
        <f>EXP(-LN(2)/25)*BQ189+(1-EXP(-LN(2)/25))/(LN(2)/25)*Calculateur!BL190*Calculateur!BN190*VLOOKUP('Données projet'!$B$11,Paramètres!$A$1:$I$89,3,0)*0.475*44/12</f>
        <v>1.5966605875992477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7.4179301722480204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-3.979039320256561E-13</v>
      </c>
      <c r="BZ190" s="13">
        <f>BY190*VLOOKUP('Données projet'!$B$12,Paramètres!$A$1:$I$89,3,0)*VLOOKUP('Données projet'!$B$12,Paramètres!$A$1:$I$89,5,0)</f>
        <v>-1.8621904018800707E-13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307.52821153421951</v>
      </c>
      <c r="CE190" s="59">
        <f t="shared" si="148"/>
        <v>221.23619018904222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30.867968418093241</v>
      </c>
      <c r="CL190" s="21">
        <f>EXP(-LN(2)/25)*CL189+(1-EXP(-LN(2)/25))/(LN(2)/25)*Calculateur!CG190*Calculateur!CI190*VLOOKUP('Données projet'!$B$12,Paramètres!$A$1:$I$89,3,0)*0.475*44/12</f>
        <v>3.8059781723017756</v>
      </c>
      <c r="CM190" s="21">
        <f>EXP(-LN(2)/2)*CM189+(1-EXP(-LN(2)/2))/(LN(2)/2)*CG190*CJ190*VLOOKUP('Données projet'!$B$12,Paramètres!$A$1:$I$89,3,0)*0.475*44/12</f>
        <v>2.4664254890416052E-12</v>
      </c>
      <c r="CN190" s="22">
        <f t="shared" si="172"/>
        <v>34.673946590397485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-5.4001247917767614E-13</v>
      </c>
      <c r="CU190" s="17">
        <f>CT190*VLOOKUP('Données projet'!$B$13,Paramètres!$A$1:$I$89,3,0)*VLOOKUP('Données projet'!$B$13,Paramètres!$A$1:$I$89,5,0)</f>
        <v>-6.1496621128753759E-13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598.12133208901378</v>
      </c>
      <c r="CZ190" s="59">
        <f t="shared" si="150"/>
        <v>246.23353541360947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234.44381684729916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234.44381684729916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266.99999999999983</v>
      </c>
      <c r="DP190" s="17">
        <f>DO190*VLOOKUP('Données projet'!$B$14,Paramètres!$A$1:$I$89,3,0)*VLOOKUP('Données projet'!$B$14,Paramètres!$A$1:$I$89,5,0)</f>
        <v>212.42519999999985</v>
      </c>
      <c r="DQ190" s="13">
        <f t="shared" si="176"/>
        <v>52.465198231787184</v>
      </c>
      <c r="DR190" s="20">
        <f t="shared" si="177"/>
        <v>461.35077692036231</v>
      </c>
      <c r="DS190" s="59">
        <f t="shared" si="125"/>
        <v>751.20888669981878</v>
      </c>
      <c r="DT190" s="59">
        <f ca="1">AVERAGE(OFFSET($DS$3,0,0,'Données projet'!$E$14+1,1))-AVERAGE(OFFSET($H$3,0,0,'Données projet'!$E$14+1,1))</f>
        <v>323.01113210765487</v>
      </c>
      <c r="DU190" s="59">
        <f t="shared" si="152"/>
        <v>311.68541696405975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3.4537498878534287</v>
      </c>
      <c r="EB190" s="21">
        <f>EXP(-LN(2)/25)*EB189+(1-EXP(-LN(2)/25))/(LN(2)/25)*Calculateur!DW190*Calculateur!DY190*VLOOKUP('Données projet'!$B$14,Paramètres!$A$1:$I$89,3,0)*0.475*44/12</f>
        <v>0.42904925831697371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3.8827991461704023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337.99164391755608</v>
      </c>
      <c r="T191" s="59">
        <f t="shared" si="142"/>
        <v>421.45428231923393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-8.5265128291212022E-13</v>
      </c>
      <c r="AJ191" s="13">
        <f>AI191*VLOOKUP('Données projet'!$B$10,Paramètres!$A$1:$I$89,3,0)*VLOOKUP('Données projet'!$B$10,Paramètres!$A$1:$I$89,5,0)</f>
        <v>-8.6458840087288995E-13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596.42822894047072</v>
      </c>
      <c r="AO191" s="59">
        <f t="shared" si="144"/>
        <v>298.31525330951047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140.96073564477723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140.96073564477723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243</v>
      </c>
      <c r="BE191" s="13">
        <f>BD191*VLOOKUP('Données projet'!$B$11,Paramètres!$A$1:$I$89,3,0)*VLOOKUP('Données projet'!$B$11,Paramètres!$A$1:$I$89,5,0)</f>
        <v>253.98360000000002</v>
      </c>
      <c r="BF191" s="13">
        <f t="shared" si="167"/>
        <v>61.438182405444294</v>
      </c>
      <c r="BG191" s="20">
        <f t="shared" si="168"/>
        <v>549.35960435614891</v>
      </c>
      <c r="BH191" s="59">
        <f t="shared" si="116"/>
        <v>839.27800149482914</v>
      </c>
      <c r="BI191" s="59">
        <f ca="1">AVERAGE(OFFSET($BH$3,0,0,'Données projet'!$E$11+1,1))-AVERAGE(OFFSET($H$3,0,0,'Données projet'!$E$11+1,1))</f>
        <v>446.06835300781546</v>
      </c>
      <c r="BJ191" s="59">
        <f t="shared" si="146"/>
        <v>396.46809188573138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5.7071180387176623</v>
      </c>
      <c r="BQ191" s="21">
        <f>EXP(-LN(2)/25)*BQ190+(1-EXP(-LN(2)/25))/(LN(2)/25)*Calculateur!BL191*Calculateur!BN191*VLOOKUP('Données projet'!$B$11,Paramètres!$A$1:$I$89,3,0)*0.475*44/12</f>
        <v>1.5529998198666151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7.2601178585842776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-3.979039320256561E-13</v>
      </c>
      <c r="BZ191" s="13">
        <f>BY191*VLOOKUP('Données projet'!$B$12,Paramètres!$A$1:$I$89,3,0)*VLOOKUP('Données projet'!$B$12,Paramètres!$A$1:$I$89,5,0)</f>
        <v>-1.8621904018800707E-13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307.52821153421951</v>
      </c>
      <c r="CE191" s="59">
        <f t="shared" si="148"/>
        <v>221.23619018904222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30.262666385016097</v>
      </c>
      <c r="CL191" s="21">
        <f>EXP(-LN(2)/25)*CL190+(1-EXP(-LN(2)/25))/(LN(2)/25)*Calculateur!CG191*Calculateur!CI191*VLOOKUP('Données projet'!$B$12,Paramètres!$A$1:$I$89,3,0)*0.475*44/12</f>
        <v>3.7019034990324902</v>
      </c>
      <c r="CM191" s="21">
        <f>EXP(-LN(2)/2)*CM190+(1-EXP(-LN(2)/2))/(LN(2)/2)*CG191*CJ191*VLOOKUP('Données projet'!$B$12,Paramètres!$A$1:$I$89,3,0)*0.475*44/12</f>
        <v>1.7440261885926658E-12</v>
      </c>
      <c r="CN191" s="22">
        <f t="shared" si="172"/>
        <v>33.964569884050327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-5.4001247917767614E-13</v>
      </c>
      <c r="CU191" s="17">
        <f>CT191*VLOOKUP('Données projet'!$B$13,Paramètres!$A$1:$I$89,3,0)*VLOOKUP('Données projet'!$B$13,Paramètres!$A$1:$I$89,5,0)</f>
        <v>-6.1496621128753759E-13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598.12133208901378</v>
      </c>
      <c r="CZ191" s="59">
        <f t="shared" si="150"/>
        <v>246.23353541360947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229.84651659553217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229.84651659553217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266.99999999999983</v>
      </c>
      <c r="DP191" s="17">
        <f>DO191*VLOOKUP('Données projet'!$B$14,Paramètres!$A$1:$I$89,3,0)*VLOOKUP('Données projet'!$B$14,Paramètres!$A$1:$I$89,5,0)</f>
        <v>212.42519999999985</v>
      </c>
      <c r="DQ191" s="13">
        <f t="shared" si="176"/>
        <v>52.465198231787184</v>
      </c>
      <c r="DR191" s="20">
        <f t="shared" si="177"/>
        <v>461.35077692036231</v>
      </c>
      <c r="DS191" s="59">
        <f t="shared" si="125"/>
        <v>751.2691740590426</v>
      </c>
      <c r="DT191" s="59">
        <f ca="1">AVERAGE(OFFSET($DS$3,0,0,'Données projet'!$E$14+1,1))-AVERAGE(OFFSET($H$3,0,0,'Données projet'!$E$14+1,1))</f>
        <v>323.01113210765487</v>
      </c>
      <c r="DU191" s="59">
        <f t="shared" si="152"/>
        <v>311.68541696405975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3.3860239591320473</v>
      </c>
      <c r="EB191" s="21">
        <f>EXP(-LN(2)/25)*EB190+(1-EXP(-LN(2)/25))/(LN(2)/25)*Calculateur!DW191*Calculateur!DY191*VLOOKUP('Données projet'!$B$14,Paramètres!$A$1:$I$89,3,0)*0.475*44/12</f>
        <v>0.41731688378557619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3.8033408429176236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337.99164391755608</v>
      </c>
      <c r="T192" s="59">
        <f t="shared" si="142"/>
        <v>421.45428231923393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-8.5265128291212022E-13</v>
      </c>
      <c r="AJ192" s="13">
        <f>AI192*VLOOKUP('Données projet'!$B$10,Paramètres!$A$1:$I$89,3,0)*VLOOKUP('Données projet'!$B$10,Paramètres!$A$1:$I$89,5,0)</f>
        <v>-8.6458840087288995E-13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596.42822894047072</v>
      </c>
      <c r="AO192" s="59">
        <f t="shared" si="144"/>
        <v>298.31525330951047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138.19658159634233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138.19658159634233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243</v>
      </c>
      <c r="BE192" s="13">
        <f>BD192*VLOOKUP('Données projet'!$B$11,Paramètres!$A$1:$I$89,3,0)*VLOOKUP('Données projet'!$B$11,Paramètres!$A$1:$I$89,5,0)</f>
        <v>253.98360000000002</v>
      </c>
      <c r="BF192" s="13">
        <f t="shared" si="167"/>
        <v>61.438182405444294</v>
      </c>
      <c r="BG192" s="20">
        <f t="shared" si="168"/>
        <v>549.35960435614891</v>
      </c>
      <c r="BH192" s="59">
        <f t="shared" si="116"/>
        <v>839.33724300315271</v>
      </c>
      <c r="BI192" s="59">
        <f ca="1">AVERAGE(OFFSET($BH$3,0,0,'Données projet'!$E$11+1,1))-AVERAGE(OFFSET($H$3,0,0,'Données projet'!$E$11+1,1))</f>
        <v>446.06835300781546</v>
      </c>
      <c r="BJ192" s="59">
        <f t="shared" si="146"/>
        <v>396.46809188573138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5.5952049349766924</v>
      </c>
      <c r="BQ192" s="21">
        <f>EXP(-LN(2)/25)*BQ191+(1-EXP(-LN(2)/25))/(LN(2)/25)*Calculateur!BL192*Calculateur!BN192*VLOOKUP('Données projet'!$B$11,Paramètres!$A$1:$I$89,3,0)*0.475*44/12</f>
        <v>1.5105329581236513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7.1057378931003434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-3.979039320256561E-13</v>
      </c>
      <c r="BZ192" s="13">
        <f>BY192*VLOOKUP('Données projet'!$B$12,Paramètres!$A$1:$I$89,3,0)*VLOOKUP('Données projet'!$B$12,Paramètres!$A$1:$I$89,5,0)</f>
        <v>-1.8621904018800707E-13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307.52821153421951</v>
      </c>
      <c r="CE192" s="59">
        <f t="shared" si="148"/>
        <v>221.23619018904222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29.669233955609808</v>
      </c>
      <c r="CL192" s="21">
        <f>EXP(-LN(2)/25)*CL191+(1-EXP(-LN(2)/25))/(LN(2)/25)*Calculateur!CG192*Calculateur!CI192*VLOOKUP('Données projet'!$B$12,Paramètres!$A$1:$I$89,3,0)*0.475*44/12</f>
        <v>3.6006747531768024</v>
      </c>
      <c r="CM192" s="21">
        <f>EXP(-LN(2)/2)*CM191+(1-EXP(-LN(2)/2))/(LN(2)/2)*CG192*CJ192*VLOOKUP('Données projet'!$B$12,Paramètres!$A$1:$I$89,3,0)*0.475*44/12</f>
        <v>1.2332127445208026E-12</v>
      </c>
      <c r="CN192" s="22">
        <f t="shared" si="172"/>
        <v>33.269908708787845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-5.4001247917767614E-13</v>
      </c>
      <c r="CU192" s="17">
        <f>CT192*VLOOKUP('Données projet'!$B$13,Paramètres!$A$1:$I$89,3,0)*VLOOKUP('Données projet'!$B$13,Paramètres!$A$1:$I$89,5,0)</f>
        <v>-6.1496621128753759E-13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598.12133208901378</v>
      </c>
      <c r="CZ192" s="59">
        <f t="shared" si="150"/>
        <v>246.23353541360947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225.33936659762605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225.33936659762605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266.99999999999983</v>
      </c>
      <c r="DP192" s="17">
        <f>DO192*VLOOKUP('Données projet'!$B$14,Paramètres!$A$1:$I$89,3,0)*VLOOKUP('Données projet'!$B$14,Paramètres!$A$1:$I$89,5,0)</f>
        <v>212.42519999999985</v>
      </c>
      <c r="DQ192" s="13">
        <f t="shared" si="176"/>
        <v>52.465198231787184</v>
      </c>
      <c r="DR192" s="20">
        <f t="shared" si="177"/>
        <v>461.35077692036231</v>
      </c>
      <c r="DS192" s="59">
        <f t="shared" si="125"/>
        <v>751.32841556736616</v>
      </c>
      <c r="DT192" s="59">
        <f ca="1">AVERAGE(OFFSET($DS$3,0,0,'Données projet'!$E$14+1,1))-AVERAGE(OFFSET($H$3,0,0,'Données projet'!$E$14+1,1))</f>
        <v>323.01113210765487</v>
      </c>
      <c r="DU192" s="59">
        <f t="shared" si="152"/>
        <v>311.68541696405975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3.3196260945641543</v>
      </c>
      <c r="EB192" s="21">
        <f>EXP(-LN(2)/25)*EB191+(1-EXP(-LN(2)/25))/(LN(2)/25)*Calculateur!DW192*Calculateur!DY192*VLOOKUP('Données projet'!$B$14,Paramètres!$A$1:$I$89,3,0)*0.475*44/12</f>
        <v>0.40590533165271847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3.7255314262168726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337.99164391755608</v>
      </c>
      <c r="T193" s="59">
        <f t="shared" si="142"/>
        <v>421.45428231923393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-8.5265128291212022E-13</v>
      </c>
      <c r="AJ193" s="13">
        <f>AI193*VLOOKUP('Données projet'!$B$10,Paramètres!$A$1:$I$89,3,0)*VLOOKUP('Données projet'!$B$10,Paramètres!$A$1:$I$89,5,0)</f>
        <v>-8.6458840087288995E-13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596.42822894047072</v>
      </c>
      <c r="AO193" s="59">
        <f t="shared" si="144"/>
        <v>298.31525330951047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135.48663092282973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135.48663092282973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243</v>
      </c>
      <c r="BE193" s="13">
        <f>BD193*VLOOKUP('Données projet'!$B$11,Paramètres!$A$1:$I$89,3,0)*VLOOKUP('Données projet'!$B$11,Paramètres!$A$1:$I$89,5,0)</f>
        <v>253.98360000000002</v>
      </c>
      <c r="BF193" s="13">
        <f t="shared" si="167"/>
        <v>61.438182405444294</v>
      </c>
      <c r="BG193" s="20">
        <f t="shared" si="168"/>
        <v>549.35960435614891</v>
      </c>
      <c r="BH193" s="59">
        <f t="shared" si="116"/>
        <v>839.39545680375113</v>
      </c>
      <c r="BI193" s="59">
        <f ca="1">AVERAGE(OFFSET($BH$3,0,0,'Données projet'!$E$11+1,1))-AVERAGE(OFFSET($H$3,0,0,'Données projet'!$E$11+1,1))</f>
        <v>446.06835300781546</v>
      </c>
      <c r="BJ193" s="59">
        <f t="shared" si="146"/>
        <v>396.46809188573138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5.4854863789398296</v>
      </c>
      <c r="BQ193" s="21">
        <f>EXP(-LN(2)/25)*BQ192+(1-EXP(-LN(2)/25))/(LN(2)/25)*Calculateur!BL193*Calculateur!BN193*VLOOKUP('Données projet'!$B$11,Paramètres!$A$1:$I$89,3,0)*0.475*44/12</f>
        <v>1.4692273549482842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6.9547137338881138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-3.979039320256561E-13</v>
      </c>
      <c r="BZ193" s="13">
        <f>BY193*VLOOKUP('Données projet'!$B$12,Paramètres!$A$1:$I$89,3,0)*VLOOKUP('Données projet'!$B$12,Paramètres!$A$1:$I$89,5,0)</f>
        <v>-1.8621904018800707E-13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307.52821153421951</v>
      </c>
      <c r="CE193" s="59">
        <f t="shared" si="148"/>
        <v>221.23619018904222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29.087438374186139</v>
      </c>
      <c r="CL193" s="21">
        <f>EXP(-LN(2)/25)*CL192+(1-EXP(-LN(2)/25))/(LN(2)/25)*Calculateur!CG193*Calculateur!CI193*VLOOKUP('Données projet'!$B$12,Paramètres!$A$1:$I$89,3,0)*0.475*44/12</f>
        <v>3.5022141126999271</v>
      </c>
      <c r="CM193" s="21">
        <f>EXP(-LN(2)/2)*CM192+(1-EXP(-LN(2)/2))/(LN(2)/2)*CG193*CJ193*VLOOKUP('Données projet'!$B$12,Paramètres!$A$1:$I$89,3,0)*0.475*44/12</f>
        <v>8.7201309429633291E-13</v>
      </c>
      <c r="CN193" s="22">
        <f t="shared" si="172"/>
        <v>32.589652486886941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-5.4001247917767614E-13</v>
      </c>
      <c r="CU193" s="17">
        <f>CT193*VLOOKUP('Données projet'!$B$13,Paramètres!$A$1:$I$89,3,0)*VLOOKUP('Données projet'!$B$13,Paramètres!$A$1:$I$89,5,0)</f>
        <v>-6.1496621128753759E-13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598.12133208901378</v>
      </c>
      <c r="CZ193" s="59">
        <f t="shared" si="150"/>
        <v>246.23353541360947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220.92059906208883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220.92059906208883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266.99999999999983</v>
      </c>
      <c r="DP193" s="17">
        <f>DO193*VLOOKUP('Données projet'!$B$14,Paramètres!$A$1:$I$89,3,0)*VLOOKUP('Données projet'!$B$14,Paramètres!$A$1:$I$89,5,0)</f>
        <v>212.42519999999985</v>
      </c>
      <c r="DQ193" s="13">
        <f t="shared" si="176"/>
        <v>52.465198231787184</v>
      </c>
      <c r="DR193" s="20">
        <f t="shared" si="177"/>
        <v>461.35077692036231</v>
      </c>
      <c r="DS193" s="59">
        <f t="shared" si="125"/>
        <v>751.38662936796459</v>
      </c>
      <c r="DT193" s="59">
        <f ca="1">AVERAGE(OFFSET($DS$3,0,0,'Données projet'!$E$14+1,1))-AVERAGE(OFFSET($H$3,0,0,'Données projet'!$E$14+1,1))</f>
        <v>323.01113210765487</v>
      </c>
      <c r="DU193" s="59">
        <f t="shared" si="152"/>
        <v>311.68541696405975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3.2545302516217394</v>
      </c>
      <c r="EB193" s="21">
        <f>EXP(-LN(2)/25)*EB192+(1-EXP(-LN(2)/25))/(LN(2)/25)*Calculateur!DW193*Calculateur!DY193*VLOOKUP('Données projet'!$B$14,Paramètres!$A$1:$I$89,3,0)*0.475*44/12</f>
        <v>0.39480582901304118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3.6493360806347805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337.99164391755608</v>
      </c>
      <c r="T194" s="59">
        <f t="shared" si="142"/>
        <v>421.45428231923393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-8.5265128291212022E-13</v>
      </c>
      <c r="AJ194" s="13">
        <f>AI194*VLOOKUP('Données projet'!$B$10,Paramètres!$A$1:$I$89,3,0)*VLOOKUP('Données projet'!$B$10,Paramètres!$A$1:$I$89,5,0)</f>
        <v>-8.6458840087288995E-13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596.42822894047072</v>
      </c>
      <c r="AO194" s="59">
        <f t="shared" si="144"/>
        <v>298.31525330951047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132.82982072911801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132.82982072911801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243</v>
      </c>
      <c r="BE194" s="13">
        <f>BD194*VLOOKUP('Données projet'!$B$11,Paramètres!$A$1:$I$89,3,0)*VLOOKUP('Données projet'!$B$11,Paramètres!$A$1:$I$89,5,0)</f>
        <v>253.98360000000002</v>
      </c>
      <c r="BF194" s="13">
        <f t="shared" si="167"/>
        <v>61.438182405444294</v>
      </c>
      <c r="BG194" s="20">
        <f t="shared" si="168"/>
        <v>549.35960435614891</v>
      </c>
      <c r="BH194" s="59">
        <f t="shared" si="116"/>
        <v>839.45266072505569</v>
      </c>
      <c r="BI194" s="59">
        <f ca="1">AVERAGE(OFFSET($BH$3,0,0,'Données projet'!$E$11+1,1))-AVERAGE(OFFSET($H$3,0,0,'Données projet'!$E$11+1,1))</f>
        <v>446.06835300781546</v>
      </c>
      <c r="BJ194" s="59">
        <f t="shared" si="146"/>
        <v>396.46809188573138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5.3779193368651388</v>
      </c>
      <c r="BQ194" s="21">
        <f>EXP(-LN(2)/25)*BQ193+(1-EXP(-LN(2)/25))/(LN(2)/25)*Calculateur!BL194*Calculateur!BN194*VLOOKUP('Données projet'!$B$11,Paramètres!$A$1:$I$89,3,0)*0.475*44/12</f>
        <v>1.4290512556639148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6.8069705925290531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-3.979039320256561E-13</v>
      </c>
      <c r="BZ194" s="13">
        <f>BY194*VLOOKUP('Données projet'!$B$12,Paramètres!$A$1:$I$89,3,0)*VLOOKUP('Données projet'!$B$12,Paramètres!$A$1:$I$89,5,0)</f>
        <v>-1.8621904018800707E-13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307.52821153421951</v>
      </c>
      <c r="CE194" s="59">
        <f t="shared" si="148"/>
        <v>221.23619018904222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28.51705144925392</v>
      </c>
      <c r="CL194" s="21">
        <f>EXP(-LN(2)/25)*CL193+(1-EXP(-LN(2)/25))/(LN(2)/25)*Calculateur!CG194*Calculateur!CI194*VLOOKUP('Données projet'!$B$12,Paramètres!$A$1:$I$89,3,0)*0.475*44/12</f>
        <v>3.4064458836147118</v>
      </c>
      <c r="CM194" s="21">
        <f>EXP(-LN(2)/2)*CM193+(1-EXP(-LN(2)/2))/(LN(2)/2)*CG194*CJ194*VLOOKUP('Données projet'!$B$12,Paramètres!$A$1:$I$89,3,0)*0.475*44/12</f>
        <v>6.166063722604013E-13</v>
      </c>
      <c r="CN194" s="22">
        <f t="shared" si="172"/>
        <v>31.92349733286925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-5.4001247917767614E-13</v>
      </c>
      <c r="CU194" s="17">
        <f>CT194*VLOOKUP('Données projet'!$B$13,Paramètres!$A$1:$I$89,3,0)*VLOOKUP('Données projet'!$B$13,Paramètres!$A$1:$I$89,5,0)</f>
        <v>-6.1496621128753759E-13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598.12133208901378</v>
      </c>
      <c r="CZ194" s="59">
        <f t="shared" si="150"/>
        <v>246.23353541360947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216.58848086274142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216.58848086274142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266.99999999999983</v>
      </c>
      <c r="DP194" s="17">
        <f>DO194*VLOOKUP('Données projet'!$B$14,Paramètres!$A$1:$I$89,3,0)*VLOOKUP('Données projet'!$B$14,Paramètres!$A$1:$I$89,5,0)</f>
        <v>212.42519999999985</v>
      </c>
      <c r="DQ194" s="13">
        <f t="shared" si="176"/>
        <v>52.465198231787184</v>
      </c>
      <c r="DR194" s="20">
        <f t="shared" si="177"/>
        <v>461.35077692036231</v>
      </c>
      <c r="DS194" s="59">
        <f t="shared" si="125"/>
        <v>751.44383328926915</v>
      </c>
      <c r="DT194" s="59">
        <f ca="1">AVERAGE(OFFSET($DS$3,0,0,'Données projet'!$E$14+1,1))-AVERAGE(OFFSET($H$3,0,0,'Données projet'!$E$14+1,1))</f>
        <v>323.01113210765487</v>
      </c>
      <c r="DU194" s="59">
        <f t="shared" si="152"/>
        <v>311.68541696405975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3.1907108984548813</v>
      </c>
      <c r="EB194" s="21">
        <f>EXP(-LN(2)/25)*EB193+(1-EXP(-LN(2)/25))/(LN(2)/25)*Calculateur!DW194*Calculateur!DY194*VLOOKUP('Données projet'!$B$14,Paramètres!$A$1:$I$89,3,0)*0.475*44/12</f>
        <v>0.38400984285674333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3.5747207413116246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337.99164391755608</v>
      </c>
      <c r="T195" s="59">
        <f t="shared" si="142"/>
        <v>421.45428231923393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-8.5265128291212022E-13</v>
      </c>
      <c r="AJ195" s="13">
        <f>AI195*VLOOKUP('Données projet'!$B$10,Paramètres!$A$1:$I$89,3,0)*VLOOKUP('Données projet'!$B$10,Paramètres!$A$1:$I$89,5,0)</f>
        <v>-8.6458840087288995E-13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596.42822894047072</v>
      </c>
      <c r="AO195" s="59">
        <f t="shared" si="144"/>
        <v>298.31525330951047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130.22510896281076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130.22510896281076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243</v>
      </c>
      <c r="BE195" s="13">
        <f>BD195*VLOOKUP('Données projet'!$B$11,Paramètres!$A$1:$I$89,3,0)*VLOOKUP('Données projet'!$B$11,Paramètres!$A$1:$I$89,5,0)</f>
        <v>253.98360000000002</v>
      </c>
      <c r="BF195" s="13">
        <f t="shared" si="167"/>
        <v>61.438182405444294</v>
      </c>
      <c r="BG195" s="20">
        <f t="shared" si="168"/>
        <v>549.35960435614891</v>
      </c>
      <c r="BH195" s="59">
        <f t="shared" si="116"/>
        <v>839.50887228621457</v>
      </c>
      <c r="BI195" s="59">
        <f ca="1">AVERAGE(OFFSET($BH$3,0,0,'Données projet'!$E$11+1,1))-AVERAGE(OFFSET($H$3,0,0,'Données projet'!$E$11+1,1))</f>
        <v>446.06835300781546</v>
      </c>
      <c r="BJ195" s="59">
        <f t="shared" si="146"/>
        <v>396.46809188573138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5.2724616188761155</v>
      </c>
      <c r="BQ195" s="21">
        <f>EXP(-LN(2)/25)*BQ194+(1-EXP(-LN(2)/25))/(LN(2)/25)*Calculateur!BL195*Calculateur!BN195*VLOOKUP('Données projet'!$B$11,Paramètres!$A$1:$I$89,3,0)*0.475*44/12</f>
        <v>1.3899737739272455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6.6624353928033608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-3.979039320256561E-13</v>
      </c>
      <c r="BZ195" s="13">
        <f>BY195*VLOOKUP('Données projet'!$B$12,Paramètres!$A$1:$I$89,3,0)*VLOOKUP('Données projet'!$B$12,Paramètres!$A$1:$I$89,5,0)</f>
        <v>-1.8621904018800707E-13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307.52821153421951</v>
      </c>
      <c r="CE195" s="59">
        <f t="shared" si="148"/>
        <v>221.23619018904222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27.957849464017951</v>
      </c>
      <c r="CL195" s="21">
        <f>EXP(-LN(2)/25)*CL194+(1-EXP(-LN(2)/25))/(LN(2)/25)*Calculateur!CG195*Calculateur!CI195*VLOOKUP('Données projet'!$B$12,Paramètres!$A$1:$I$89,3,0)*0.475*44/12</f>
        <v>3.3132964417900639</v>
      </c>
      <c r="CM195" s="21">
        <f>EXP(-LN(2)/2)*CM194+(1-EXP(-LN(2)/2))/(LN(2)/2)*CG195*CJ195*VLOOKUP('Données projet'!$B$12,Paramètres!$A$1:$I$89,3,0)*0.475*44/12</f>
        <v>4.3600654714816645E-13</v>
      </c>
      <c r="CN195" s="22">
        <f t="shared" si="172"/>
        <v>31.271145905808453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-5.4001247917767614E-13</v>
      </c>
      <c r="CU195" s="17">
        <f>CT195*VLOOKUP('Données projet'!$B$13,Paramètres!$A$1:$I$89,3,0)*VLOOKUP('Données projet'!$B$13,Paramètres!$A$1:$I$89,5,0)</f>
        <v>-6.1496621128753759E-13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598.12133208901378</v>
      </c>
      <c r="CZ195" s="59">
        <f t="shared" si="150"/>
        <v>246.23353541360947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212.34131285895202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212.34131285895202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266.99999999999983</v>
      </c>
      <c r="DP195" s="17">
        <f>DO195*VLOOKUP('Données projet'!$B$14,Paramètres!$A$1:$I$89,3,0)*VLOOKUP('Données projet'!$B$14,Paramètres!$A$1:$I$89,5,0)</f>
        <v>212.42519999999985</v>
      </c>
      <c r="DQ195" s="13">
        <f t="shared" si="176"/>
        <v>52.465198231787184</v>
      </c>
      <c r="DR195" s="20">
        <f t="shared" si="177"/>
        <v>461.35077692036231</v>
      </c>
      <c r="DS195" s="59">
        <f t="shared" si="125"/>
        <v>751.50004485042791</v>
      </c>
      <c r="DT195" s="59">
        <f ca="1">AVERAGE(OFFSET($DS$3,0,0,'Données projet'!$E$14+1,1))-AVERAGE(OFFSET($H$3,0,0,'Données projet'!$E$14+1,1))</f>
        <v>323.01113210765487</v>
      </c>
      <c r="DU195" s="59">
        <f t="shared" si="152"/>
        <v>311.68541696405975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3.1281430038776636</v>
      </c>
      <c r="EB195" s="21">
        <f>EXP(-LN(2)/25)*EB194+(1-EXP(-LN(2)/25))/(LN(2)/25)*Calculateur!DW195*Calculateur!DY195*VLOOKUP('Données projet'!$B$14,Paramètres!$A$1:$I$89,3,0)*0.475*44/12</f>
        <v>0.3735090735096257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3.5016520773872895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337.99164391755608</v>
      </c>
      <c r="T196" s="59">
        <f t="shared" si="142"/>
        <v>421.45428231923393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-8.5265128291212022E-13</v>
      </c>
      <c r="AJ196" s="13">
        <f>AI196*VLOOKUP('Données projet'!$B$10,Paramètres!$A$1:$I$89,3,0)*VLOOKUP('Données projet'!$B$10,Paramètres!$A$1:$I$89,5,0)</f>
        <v>-8.6458840087288995E-13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596.42822894047072</v>
      </c>
      <c r="AO196" s="59">
        <f t="shared" si="144"/>
        <v>298.31525330951047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127.67147400552351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127.67147400552351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243</v>
      </c>
      <c r="BE196" s="13">
        <f>BD196*VLOOKUP('Données projet'!$B$11,Paramètres!$A$1:$I$89,3,0)*VLOOKUP('Données projet'!$B$11,Paramètres!$A$1:$I$89,5,0)</f>
        <v>253.98360000000002</v>
      </c>
      <c r="BF196" s="13">
        <f t="shared" si="167"/>
        <v>61.438182405444294</v>
      </c>
      <c r="BG196" s="20">
        <f t="shared" si="168"/>
        <v>549.35960435614891</v>
      </c>
      <c r="BH196" s="59">
        <f t="shared" ref="BH196:BH203" si="194">BG196+(AY196+AZ196)*44/12</f>
        <v>839.56410870245736</v>
      </c>
      <c r="BI196" s="59">
        <f ca="1">AVERAGE(OFFSET($BH$3,0,0,'Données projet'!$E$11+1,1))-AVERAGE(OFFSET($H$3,0,0,'Données projet'!$E$11+1,1))</f>
        <v>446.06835300781546</v>
      </c>
      <c r="BJ196" s="59">
        <f t="shared" si="146"/>
        <v>396.46809188573138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5.1690718624140004</v>
      </c>
      <c r="BQ196" s="21">
        <f>EXP(-LN(2)/25)*BQ195+(1-EXP(-LN(2)/25))/(LN(2)/25)*Calculateur!BL196*Calculateur!BN196*VLOOKUP('Données projet'!$B$11,Paramètres!$A$1:$I$89,3,0)*0.475*44/12</f>
        <v>1.3519648679836611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6.5210367303976611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-3.979039320256561E-13</v>
      </c>
      <c r="BZ196" s="13">
        <f>BY196*VLOOKUP('Données projet'!$B$12,Paramètres!$A$1:$I$89,3,0)*VLOOKUP('Données projet'!$B$12,Paramètres!$A$1:$I$89,5,0)</f>
        <v>-1.8621904018800707E-13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307.52821153421951</v>
      </c>
      <c r="CE196" s="59">
        <f t="shared" si="148"/>
        <v>221.23619018904222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27.409613088632927</v>
      </c>
      <c r="CL196" s="21">
        <f>EXP(-LN(2)/25)*CL195+(1-EXP(-LN(2)/25))/(LN(2)/25)*Calculateur!CG196*Calculateur!CI196*VLOOKUP('Données projet'!$B$12,Paramètres!$A$1:$I$89,3,0)*0.475*44/12</f>
        <v>3.2226941763506272</v>
      </c>
      <c r="CM196" s="21">
        <f>EXP(-LN(2)/2)*CM195+(1-EXP(-LN(2)/2))/(LN(2)/2)*CG196*CJ196*VLOOKUP('Données projet'!$B$12,Paramètres!$A$1:$I$89,3,0)*0.475*44/12</f>
        <v>3.0830318613020065E-13</v>
      </c>
      <c r="CN196" s="22">
        <f t="shared" si="172"/>
        <v>30.632307264983861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-5.4001247917767614E-13</v>
      </c>
      <c r="CU196" s="17">
        <f>CT196*VLOOKUP('Données projet'!$B$13,Paramètres!$A$1:$I$89,3,0)*VLOOKUP('Données projet'!$B$13,Paramètres!$A$1:$I$89,5,0)</f>
        <v>-6.1496621128753759E-13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598.12133208901378</v>
      </c>
      <c r="CZ196" s="59">
        <f t="shared" si="150"/>
        <v>246.23353541360947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208.17742922920024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208.17742922920024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266.99999999999983</v>
      </c>
      <c r="DP196" s="17">
        <f>DO196*VLOOKUP('Données projet'!$B$14,Paramètres!$A$1:$I$89,3,0)*VLOOKUP('Données projet'!$B$14,Paramètres!$A$1:$I$89,5,0)</f>
        <v>212.42519999999985</v>
      </c>
      <c r="DQ196" s="13">
        <f t="shared" si="176"/>
        <v>52.465198231787184</v>
      </c>
      <c r="DR196" s="20">
        <f t="shared" si="177"/>
        <v>461.35077692036231</v>
      </c>
      <c r="DS196" s="59">
        <f t="shared" ref="DS196:DS203" si="197">DR196+(DJ196+DK196)*44/12</f>
        <v>751.55528126667082</v>
      </c>
      <c r="DT196" s="59">
        <f ca="1">AVERAGE(OFFSET($DS$3,0,0,'Données projet'!$E$14+1,1))-AVERAGE(OFFSET($H$3,0,0,'Données projet'!$E$14+1,1))</f>
        <v>323.01113210765487</v>
      </c>
      <c r="DU196" s="59">
        <f t="shared" si="152"/>
        <v>311.68541696405975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3.0668020275504579</v>
      </c>
      <c r="EB196" s="21">
        <f>EXP(-LN(2)/25)*EB195+(1-EXP(-LN(2)/25))/(LN(2)/25)*Calculateur!DW196*Calculateur!DY196*VLOOKUP('Données projet'!$B$14,Paramètres!$A$1:$I$89,3,0)*0.475*44/12</f>
        <v>0.36329544825251647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3.4300974758029743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337.99164391755608</v>
      </c>
      <c r="T197" s="59">
        <f t="shared" ref="T197:T203" si="204">$T$3</f>
        <v>421.45428231923393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-8.5265128291212022E-13</v>
      </c>
      <c r="AJ197" s="13">
        <f>AI197*VLOOKUP('Données projet'!$B$10,Paramètres!$A$1:$I$89,3,0)*VLOOKUP('Données projet'!$B$10,Paramètres!$A$1:$I$89,5,0)</f>
        <v>-8.6458840087288995E-13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596.42822894047072</v>
      </c>
      <c r="AO197" s="59">
        <f t="shared" ref="AO197:AO203" si="205">$AO$3</f>
        <v>298.31525330951047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125.16791427218512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125.16791427218512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243</v>
      </c>
      <c r="BE197" s="13">
        <f>BD197*VLOOKUP('Données projet'!$B$11,Paramètres!$A$1:$I$89,3,0)*VLOOKUP('Données projet'!$B$11,Paramètres!$A$1:$I$89,5,0)</f>
        <v>253.98360000000002</v>
      </c>
      <c r="BF197" s="13">
        <f t="shared" si="167"/>
        <v>61.438182405444294</v>
      </c>
      <c r="BG197" s="20">
        <f t="shared" si="168"/>
        <v>549.35960435614891</v>
      </c>
      <c r="BH197" s="59">
        <f t="shared" si="194"/>
        <v>839.61838689036858</v>
      </c>
      <c r="BI197" s="59">
        <f ca="1">AVERAGE(OFFSET($BH$3,0,0,'Données projet'!$E$11+1,1))-AVERAGE(OFFSET($H$3,0,0,'Données projet'!$E$11+1,1))</f>
        <v>446.06835300781546</v>
      </c>
      <c r="BJ197" s="59">
        <f t="shared" ref="BJ197:BJ203" si="206">$BJ$3</f>
        <v>396.46809188573138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5.0677095160145829</v>
      </c>
      <c r="BQ197" s="21">
        <f>EXP(-LN(2)/25)*BQ196+(1-EXP(-LN(2)/25))/(LN(2)/25)*Calculateur!BL197*Calculateur!BN197*VLOOKUP('Données projet'!$B$11,Paramètres!$A$1:$I$89,3,0)*0.475*44/12</f>
        <v>1.3149953175719054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6.3827048335864882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-3.979039320256561E-13</v>
      </c>
      <c r="BZ197" s="13">
        <f>BY197*VLOOKUP('Données projet'!$B$12,Paramètres!$A$1:$I$89,3,0)*VLOOKUP('Données projet'!$B$12,Paramètres!$A$1:$I$89,5,0)</f>
        <v>-1.8621904018800707E-13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307.52821153421951</v>
      </c>
      <c r="CE197" s="59">
        <f t="shared" ref="CE197:CE203" si="207">$CE$3</f>
        <v>221.23619018904222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26.872127294178032</v>
      </c>
      <c r="CL197" s="21">
        <f>EXP(-LN(2)/25)*CL196+(1-EXP(-LN(2)/25))/(LN(2)/25)*Calculateur!CG197*Calculateur!CI197*VLOOKUP('Données projet'!$B$12,Paramètres!$A$1:$I$89,3,0)*0.475*44/12</f>
        <v>3.1345694346241979</v>
      </c>
      <c r="CM197" s="21">
        <f>EXP(-LN(2)/2)*CM196+(1-EXP(-LN(2)/2))/(LN(2)/2)*CG197*CJ197*VLOOKUP('Données projet'!$B$12,Paramètres!$A$1:$I$89,3,0)*0.475*44/12</f>
        <v>2.1800327357408323E-13</v>
      </c>
      <c r="CN197" s="22">
        <f t="shared" si="172"/>
        <v>30.006696728802446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-5.4001247917767614E-13</v>
      </c>
      <c r="CU197" s="17">
        <f>CT197*VLOOKUP('Données projet'!$B$13,Paramètres!$A$1:$I$89,3,0)*VLOOKUP('Données projet'!$B$13,Paramètres!$A$1:$I$89,5,0)</f>
        <v>-6.1496621128753759E-13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598.12133208901378</v>
      </c>
      <c r="CZ197" s="59">
        <f t="shared" ref="CZ197:CZ203" si="208">$CZ$3</f>
        <v>246.23353541360947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204.09519681770965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204.09519681770965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266.99999999999983</v>
      </c>
      <c r="DP197" s="17">
        <f>DO197*VLOOKUP('Données projet'!$B$14,Paramètres!$A$1:$I$89,3,0)*VLOOKUP('Données projet'!$B$14,Paramètres!$A$1:$I$89,5,0)</f>
        <v>212.42519999999985</v>
      </c>
      <c r="DQ197" s="13">
        <f t="shared" si="176"/>
        <v>52.465198231787184</v>
      </c>
      <c r="DR197" s="20">
        <f t="shared" si="177"/>
        <v>461.35077692036231</v>
      </c>
      <c r="DS197" s="59">
        <f t="shared" si="197"/>
        <v>751.60955945458204</v>
      </c>
      <c r="DT197" s="59">
        <f ca="1">AVERAGE(OFFSET($DS$3,0,0,'Données projet'!$E$14+1,1))-AVERAGE(OFFSET($H$3,0,0,'Données projet'!$E$14+1,1))</f>
        <v>323.01113210765487</v>
      </c>
      <c r="DU197" s="59">
        <f t="shared" ref="DU197:DU203" si="209">$DU$3</f>
        <v>311.68541696405975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3.0066639103547272</v>
      </c>
      <c r="EB197" s="21">
        <f>EXP(-LN(2)/25)*EB196+(1-EXP(-LN(2)/25))/(LN(2)/25)*Calculateur!DW197*Calculateur!DY197*VLOOKUP('Données projet'!$B$14,Paramètres!$A$1:$I$89,3,0)*0.475*44/12</f>
        <v>0.3533611151151741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3.3600250254699011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337.99164391755608</v>
      </c>
      <c r="T198" s="59">
        <f t="shared" si="204"/>
        <v>421.45428231923393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-8.5265128291212022E-13</v>
      </c>
      <c r="AJ198" s="13">
        <f>AI198*VLOOKUP('Données projet'!$B$10,Paramètres!$A$1:$I$89,3,0)*VLOOKUP('Données projet'!$B$10,Paramètres!$A$1:$I$89,5,0)</f>
        <v>-8.6458840087288995E-13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596.42822894047072</v>
      </c>
      <c r="AO198" s="59">
        <f t="shared" si="205"/>
        <v>298.31525330951047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122.71344781819684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122.71344781819684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243</v>
      </c>
      <c r="BE198" s="13">
        <f>BD198*VLOOKUP('Données projet'!$B$11,Paramètres!$A$1:$I$89,3,0)*VLOOKUP('Données projet'!$B$11,Paramètres!$A$1:$I$89,5,0)</f>
        <v>253.98360000000002</v>
      </c>
      <c r="BF198" s="13">
        <f t="shared" si="167"/>
        <v>61.438182405444294</v>
      </c>
      <c r="BG198" s="20">
        <f t="shared" si="168"/>
        <v>549.35960435614891</v>
      </c>
      <c r="BH198" s="59">
        <f t="shared" si="194"/>
        <v>839.67172347306746</v>
      </c>
      <c r="BI198" s="59">
        <f ca="1">AVERAGE(OFFSET($BH$3,0,0,'Données projet'!$E$11+1,1))-AVERAGE(OFFSET($H$3,0,0,'Données projet'!$E$11+1,1))</f>
        <v>446.06835300781546</v>
      </c>
      <c r="BJ198" s="59">
        <f t="shared" si="206"/>
        <v>396.46809188573138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4.968334823403131</v>
      </c>
      <c r="BQ198" s="21">
        <f>EXP(-LN(2)/25)*BQ197+(1-EXP(-LN(2)/25))/(LN(2)/25)*Calculateur!BL198*Calculateur!BN198*VLOOKUP('Données projet'!$B$11,Paramètres!$A$1:$I$89,3,0)*0.475*44/12</f>
        <v>1.2790367014603032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6.2473715248634338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-3.979039320256561E-13</v>
      </c>
      <c r="BZ198" s="13">
        <f>BY198*VLOOKUP('Données projet'!$B$12,Paramètres!$A$1:$I$89,3,0)*VLOOKUP('Données projet'!$B$12,Paramètres!$A$1:$I$89,5,0)</f>
        <v>-1.8621904018800707E-13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307.52821153421951</v>
      </c>
      <c r="CE198" s="59">
        <f t="shared" si="207"/>
        <v>221.23619018904222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26.345181268318434</v>
      </c>
      <c r="CL198" s="21">
        <f>EXP(-LN(2)/25)*CL197+(1-EXP(-LN(2)/25))/(LN(2)/25)*Calculateur!CG198*Calculateur!CI198*VLOOKUP('Données projet'!$B$12,Paramètres!$A$1:$I$89,3,0)*0.475*44/12</f>
        <v>3.0488544685945569</v>
      </c>
      <c r="CM198" s="21">
        <f>EXP(-LN(2)/2)*CM197+(1-EXP(-LN(2)/2))/(LN(2)/2)*CG198*CJ198*VLOOKUP('Données projet'!$B$12,Paramètres!$A$1:$I$89,3,0)*0.475*44/12</f>
        <v>1.5415159306510033E-13</v>
      </c>
      <c r="CN198" s="22">
        <f t="shared" si="172"/>
        <v>29.394035736913143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-5.4001247917767614E-13</v>
      </c>
      <c r="CU198" s="17">
        <f>CT198*VLOOKUP('Données projet'!$B$13,Paramètres!$A$1:$I$89,3,0)*VLOOKUP('Données projet'!$B$13,Paramètres!$A$1:$I$89,5,0)</f>
        <v>-6.1496621128753759E-13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598.12133208901378</v>
      </c>
      <c r="CZ198" s="59">
        <f t="shared" si="208"/>
        <v>246.23353541360947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200.09301449389247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200.09301449389247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266.99999999999983</v>
      </c>
      <c r="DP198" s="17">
        <f>DO198*VLOOKUP('Données projet'!$B$14,Paramètres!$A$1:$I$89,3,0)*VLOOKUP('Données projet'!$B$14,Paramètres!$A$1:$I$89,5,0)</f>
        <v>212.42519999999985</v>
      </c>
      <c r="DQ198" s="13">
        <f t="shared" si="176"/>
        <v>52.465198231787184</v>
      </c>
      <c r="DR198" s="20">
        <f t="shared" si="177"/>
        <v>461.35077692036231</v>
      </c>
      <c r="DS198" s="59">
        <f t="shared" si="197"/>
        <v>751.6628960372808</v>
      </c>
      <c r="DT198" s="59">
        <f ca="1">AVERAGE(OFFSET($DS$3,0,0,'Données projet'!$E$14+1,1))-AVERAGE(OFFSET($H$3,0,0,'Données projet'!$E$14+1,1))</f>
        <v>323.01113210765487</v>
      </c>
      <c r="DU198" s="59">
        <f t="shared" si="209"/>
        <v>311.68541696405975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2.9477050649565752</v>
      </c>
      <c r="EB198" s="21">
        <f>EXP(-LN(2)/25)*EB197+(1-EXP(-LN(2)/25))/(LN(2)/25)*Calculateur!DW198*Calculateur!DY198*VLOOKUP('Données projet'!$B$14,Paramètres!$A$1:$I$89,3,0)*0.475*44/12</f>
        <v>0.34369843683989626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3.2914035017964713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337.99164391755608</v>
      </c>
      <c r="T199" s="59">
        <f t="shared" si="204"/>
        <v>421.45428231923393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-8.5265128291212022E-13</v>
      </c>
      <c r="AJ199" s="13">
        <f>AI199*VLOOKUP('Données projet'!$B$10,Paramètres!$A$1:$I$89,3,0)*VLOOKUP('Données projet'!$B$10,Paramètres!$A$1:$I$89,5,0)</f>
        <v>-8.6458840087288995E-13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596.42822894047072</v>
      </c>
      <c r="AO199" s="59">
        <f t="shared" si="205"/>
        <v>298.31525330951047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120.30711195429456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120.30711195429456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243</v>
      </c>
      <c r="BE199" s="13">
        <f>BD199*VLOOKUP('Données projet'!$B$11,Paramètres!$A$1:$I$89,3,0)*VLOOKUP('Données projet'!$B$11,Paramètres!$A$1:$I$89,5,0)</f>
        <v>253.98360000000002</v>
      </c>
      <c r="BF199" s="13">
        <f t="shared" si="167"/>
        <v>61.438182405444294</v>
      </c>
      <c r="BG199" s="20">
        <f t="shared" si="168"/>
        <v>549.35960435614891</v>
      </c>
      <c r="BH199" s="59">
        <f t="shared" si="194"/>
        <v>839.72413478529916</v>
      </c>
      <c r="BI199" s="59">
        <f ca="1">AVERAGE(OFFSET($BH$3,0,0,'Données projet'!$E$11+1,1))-AVERAGE(OFFSET($H$3,0,0,'Données projet'!$E$11+1,1))</f>
        <v>446.06835300781546</v>
      </c>
      <c r="BJ199" s="59">
        <f t="shared" si="206"/>
        <v>396.46809188573138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4.8709088079012126</v>
      </c>
      <c r="BQ199" s="21">
        <f>EXP(-LN(2)/25)*BQ198+(1-EXP(-LN(2)/25))/(LN(2)/25)*Calculateur!BL199*Calculateur!BN199*VLOOKUP('Données projet'!$B$11,Paramètres!$A$1:$I$89,3,0)*0.475*44/12</f>
        <v>1.2440613755972545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6.1149701834984675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-3.979039320256561E-13</v>
      </c>
      <c r="BZ199" s="13">
        <f>BY199*VLOOKUP('Données projet'!$B$12,Paramètres!$A$1:$I$89,3,0)*VLOOKUP('Données projet'!$B$12,Paramètres!$A$1:$I$89,5,0)</f>
        <v>-1.8621904018800707E-13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307.52821153421951</v>
      </c>
      <c r="CE199" s="59">
        <f t="shared" si="207"/>
        <v>221.23619018904222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25.828568332620605</v>
      </c>
      <c r="CL199" s="21">
        <f>EXP(-LN(2)/25)*CL198+(1-EXP(-LN(2)/25))/(LN(2)/25)*Calculateur!CG199*Calculateur!CI199*VLOOKUP('Données projet'!$B$12,Paramètres!$A$1:$I$89,3,0)*0.475*44/12</f>
        <v>2.9654833828185505</v>
      </c>
      <c r="CM199" s="21">
        <f>EXP(-LN(2)/2)*CM198+(1-EXP(-LN(2)/2))/(LN(2)/2)*CG199*CJ199*VLOOKUP('Données projet'!$B$12,Paramètres!$A$1:$I$89,3,0)*0.475*44/12</f>
        <v>1.0900163678704161E-13</v>
      </c>
      <c r="CN199" s="22">
        <f t="shared" si="172"/>
        <v>28.794051715439267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-5.4001247917767614E-13</v>
      </c>
      <c r="CU199" s="17">
        <f>CT199*VLOOKUP('Données projet'!$B$13,Paramètres!$A$1:$I$89,3,0)*VLOOKUP('Données projet'!$B$13,Paramètres!$A$1:$I$89,5,0)</f>
        <v>-6.1496621128753759E-13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598.12133208901378</v>
      </c>
      <c r="CZ199" s="59">
        <f t="shared" si="208"/>
        <v>246.23353541360947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196.16931252435518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196.16931252435518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266.99999999999983</v>
      </c>
      <c r="DP199" s="17">
        <f>DO199*VLOOKUP('Données projet'!$B$14,Paramètres!$A$1:$I$89,3,0)*VLOOKUP('Données projet'!$B$14,Paramètres!$A$1:$I$89,5,0)</f>
        <v>212.42519999999985</v>
      </c>
      <c r="DQ199" s="13">
        <f t="shared" si="176"/>
        <v>52.465198231787184</v>
      </c>
      <c r="DR199" s="20">
        <f t="shared" si="177"/>
        <v>461.35077692036231</v>
      </c>
      <c r="DS199" s="59">
        <f t="shared" si="197"/>
        <v>751.7153073495125</v>
      </c>
      <c r="DT199" s="59">
        <f ca="1">AVERAGE(OFFSET($DS$3,0,0,'Données projet'!$E$14+1,1))-AVERAGE(OFFSET($H$3,0,0,'Données projet'!$E$14+1,1))</f>
        <v>323.01113210765487</v>
      </c>
      <c r="DU199" s="59">
        <f t="shared" si="209"/>
        <v>311.68541696405975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2.8899023665553365</v>
      </c>
      <c r="EB199" s="21">
        <f>EXP(-LN(2)/25)*EB198+(1-EXP(-LN(2)/25))/(LN(2)/25)*Calculateur!DW199*Calculateur!DY199*VLOOKUP('Données projet'!$B$14,Paramètres!$A$1:$I$89,3,0)*0.475*44/12</f>
        <v>0.33429998501019403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3.2242023515655305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337.99164391755608</v>
      </c>
      <c r="T200" s="59">
        <f t="shared" si="204"/>
        <v>421.45428231923393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-8.5265128291212022E-13</v>
      </c>
      <c r="AJ200" s="13">
        <f>AI200*VLOOKUP('Données projet'!$B$10,Paramètres!$A$1:$I$89,3,0)*VLOOKUP('Données projet'!$B$10,Paramètres!$A$1:$I$89,5,0)</f>
        <v>-8.6458840087288995E-13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596.42822894047072</v>
      </c>
      <c r="AO200" s="59">
        <f t="shared" si="205"/>
        <v>298.31525330951047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117.94796286896344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117.94796286896344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243</v>
      </c>
      <c r="BE200" s="13">
        <f>BD200*VLOOKUP('Données projet'!$B$11,Paramètres!$A$1:$I$89,3,0)*VLOOKUP('Données projet'!$B$11,Paramètres!$A$1:$I$89,5,0)</f>
        <v>253.98360000000002</v>
      </c>
      <c r="BF200" s="13">
        <f t="shared" si="167"/>
        <v>61.438182405444294</v>
      </c>
      <c r="BG200" s="20">
        <f t="shared" si="168"/>
        <v>549.35960435614891</v>
      </c>
      <c r="BH200" s="59">
        <f t="shared" si="194"/>
        <v>839.77563687843769</v>
      </c>
      <c r="BI200" s="59">
        <f ca="1">AVERAGE(OFFSET($BH$3,0,0,'Données projet'!$E$11+1,1))-AVERAGE(OFFSET($H$3,0,0,'Données projet'!$E$11+1,1))</f>
        <v>446.06835300781546</v>
      </c>
      <c r="BJ200" s="59">
        <f t="shared" si="206"/>
        <v>396.46809188573138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4.7753932571392843</v>
      </c>
      <c r="BQ200" s="21">
        <f>EXP(-LN(2)/25)*BQ199+(1-EXP(-LN(2)/25))/(LN(2)/25)*Calculateur!BL200*Calculateur!BN200*VLOOKUP('Données projet'!$B$11,Paramètres!$A$1:$I$89,3,0)*0.475*44/12</f>
        <v>1.2100424518592032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5.9854357089984873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-3.979039320256561E-13</v>
      </c>
      <c r="BZ200" s="13">
        <f>BY200*VLOOKUP('Données projet'!$B$12,Paramètres!$A$1:$I$89,3,0)*VLOOKUP('Données projet'!$B$12,Paramètres!$A$1:$I$89,5,0)</f>
        <v>-1.8621904018800707E-13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307.52821153421951</v>
      </c>
      <c r="CE200" s="59">
        <f t="shared" si="207"/>
        <v>221.23619018904222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25.322085861489033</v>
      </c>
      <c r="CL200" s="21">
        <f>EXP(-LN(2)/25)*CL199+(1-EXP(-LN(2)/25))/(LN(2)/25)*Calculateur!CG200*Calculateur!CI200*VLOOKUP('Données projet'!$B$12,Paramètres!$A$1:$I$89,3,0)*0.475*44/12</f>
        <v>2.8843920837673838</v>
      </c>
      <c r="CM200" s="21">
        <f>EXP(-LN(2)/2)*CM199+(1-EXP(-LN(2)/2))/(LN(2)/2)*CG200*CJ200*VLOOKUP('Données projet'!$B$12,Paramètres!$A$1:$I$89,3,0)*0.475*44/12</f>
        <v>7.7075796532550163E-14</v>
      </c>
      <c r="CN200" s="22">
        <f t="shared" si="172"/>
        <v>28.206477945256495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-5.4001247917767614E-13</v>
      </c>
      <c r="CU200" s="17">
        <f>CT200*VLOOKUP('Données projet'!$B$13,Paramètres!$A$1:$I$89,3,0)*VLOOKUP('Données projet'!$B$13,Paramètres!$A$1:$I$89,5,0)</f>
        <v>-6.1496621128753759E-13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598.12133208901378</v>
      </c>
      <c r="CZ200" s="59">
        <f t="shared" si="208"/>
        <v>246.23353541360947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192.32255195721862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192.32255195721862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266.99999999999983</v>
      </c>
      <c r="DP200" s="17">
        <f>DO200*VLOOKUP('Données projet'!$B$14,Paramètres!$A$1:$I$89,3,0)*VLOOKUP('Données projet'!$B$14,Paramètres!$A$1:$I$89,5,0)</f>
        <v>212.42519999999985</v>
      </c>
      <c r="DQ200" s="13">
        <f t="shared" si="176"/>
        <v>52.465198231787184</v>
      </c>
      <c r="DR200" s="20">
        <f t="shared" si="177"/>
        <v>461.35077692036231</v>
      </c>
      <c r="DS200" s="59">
        <f t="shared" si="197"/>
        <v>751.76680944265104</v>
      </c>
      <c r="DT200" s="59">
        <f ca="1">AVERAGE(OFFSET($DS$3,0,0,'Données projet'!$E$14+1,1))-AVERAGE(OFFSET($H$3,0,0,'Données projet'!$E$14+1,1))</f>
        <v>323.01113210765487</v>
      </c>
      <c r="DU200" s="59">
        <f t="shared" si="209"/>
        <v>311.68541696405975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2.8332331438135809</v>
      </c>
      <c r="EB200" s="21">
        <f>EXP(-LN(2)/25)*EB199+(1-EXP(-LN(2)/25))/(LN(2)/25)*Calculateur!DW200*Calculateur!DY200*VLOOKUP('Données projet'!$B$14,Paramètres!$A$1:$I$89,3,0)*0.475*44/12</f>
        <v>0.32515853434001812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3.158391678153599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337.99164391755608</v>
      </c>
      <c r="T201" s="59">
        <f t="shared" si="204"/>
        <v>421.45428231923393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-8.5265128291212022E-13</v>
      </c>
      <c r="AJ201" s="13">
        <f>AI201*VLOOKUP('Données projet'!$B$10,Paramètres!$A$1:$I$89,3,0)*VLOOKUP('Données projet'!$B$10,Paramètres!$A$1:$I$89,5,0)</f>
        <v>-8.6458840087288995E-13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596.42822894047072</v>
      </c>
      <c r="AO201" s="59">
        <f t="shared" si="205"/>
        <v>298.31525330951047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115.63507525825682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115.63507525825682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243</v>
      </c>
      <c r="BE201" s="13">
        <f>BD201*VLOOKUP('Données projet'!$B$11,Paramètres!$A$1:$I$89,3,0)*VLOOKUP('Données projet'!$B$11,Paramètres!$A$1:$I$89,5,0)</f>
        <v>253.98360000000002</v>
      </c>
      <c r="BF201" s="13">
        <f t="shared" si="167"/>
        <v>61.438182405444294</v>
      </c>
      <c r="BG201" s="20">
        <f t="shared" si="168"/>
        <v>549.35960435614891</v>
      </c>
      <c r="BH201" s="59">
        <f t="shared" si="194"/>
        <v>839.82624552540187</v>
      </c>
      <c r="BI201" s="59">
        <f ca="1">AVERAGE(OFFSET($BH$3,0,0,'Données projet'!$E$11+1,1))-AVERAGE(OFFSET($H$3,0,0,'Données projet'!$E$11+1,1))</f>
        <v>446.06835300781546</v>
      </c>
      <c r="BJ201" s="59">
        <f t="shared" si="206"/>
        <v>396.46809188573138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4.6817507080690639</v>
      </c>
      <c r="BQ201" s="21">
        <f>EXP(-LN(2)/25)*BQ200+(1-EXP(-LN(2)/25))/(LN(2)/25)*Calculateur!BL201*Calculateur!BN201*VLOOKUP('Données projet'!$B$11,Paramètres!$A$1:$I$89,3,0)*0.475*44/12</f>
        <v>1.1769537773797463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5.8587044854488104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-3.979039320256561E-13</v>
      </c>
      <c r="BZ201" s="13">
        <f>BY201*VLOOKUP('Données projet'!$B$12,Paramètres!$A$1:$I$89,3,0)*VLOOKUP('Données projet'!$B$12,Paramètres!$A$1:$I$89,5,0)</f>
        <v>-1.8621904018800707E-13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307.52821153421951</v>
      </c>
      <c r="CE201" s="59">
        <f t="shared" si="207"/>
        <v>221.23619018904222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24.825535202692546</v>
      </c>
      <c r="CL201" s="21">
        <f>EXP(-LN(2)/25)*CL200+(1-EXP(-LN(2)/25))/(LN(2)/25)*Calculateur!CG201*Calculateur!CI201*VLOOKUP('Données projet'!$B$12,Paramètres!$A$1:$I$89,3,0)*0.475*44/12</f>
        <v>2.8055182305531772</v>
      </c>
      <c r="CM201" s="21">
        <f>EXP(-LN(2)/2)*CM200+(1-EXP(-LN(2)/2))/(LN(2)/2)*CG201*CJ201*VLOOKUP('Données projet'!$B$12,Paramètres!$A$1:$I$89,3,0)*0.475*44/12</f>
        <v>5.4500818393520807E-14</v>
      </c>
      <c r="CN201" s="22">
        <f t="shared" si="172"/>
        <v>27.631053433245775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-5.4001247917767614E-13</v>
      </c>
      <c r="CU201" s="17">
        <f>CT201*VLOOKUP('Données projet'!$B$13,Paramètres!$A$1:$I$89,3,0)*VLOOKUP('Données projet'!$B$13,Paramètres!$A$1:$I$89,5,0)</f>
        <v>-6.1496621128753759E-13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598.12133208901378</v>
      </c>
      <c r="CZ201" s="59">
        <f t="shared" si="208"/>
        <v>246.23353541360947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188.55122401851133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188.55122401851133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266.99999999999983</v>
      </c>
      <c r="DP201" s="17">
        <f>DO201*VLOOKUP('Données projet'!$B$14,Paramètres!$A$1:$I$89,3,0)*VLOOKUP('Données projet'!$B$14,Paramètres!$A$1:$I$89,5,0)</f>
        <v>212.42519999999985</v>
      </c>
      <c r="DQ201" s="13">
        <f t="shared" si="176"/>
        <v>52.465198231787184</v>
      </c>
      <c r="DR201" s="20">
        <f t="shared" si="177"/>
        <v>461.35077692036231</v>
      </c>
      <c r="DS201" s="59">
        <f t="shared" si="197"/>
        <v>751.81741808961522</v>
      </c>
      <c r="DT201" s="59">
        <f ca="1">AVERAGE(OFFSET($DS$3,0,0,'Données projet'!$E$14+1,1))-AVERAGE(OFFSET($H$3,0,0,'Données projet'!$E$14+1,1))</f>
        <v>323.01113210765487</v>
      </c>
      <c r="DU201" s="59">
        <f t="shared" si="209"/>
        <v>311.68541696405975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2.7776751699649784</v>
      </c>
      <c r="EB201" s="21">
        <f>EXP(-LN(2)/25)*EB200+(1-EXP(-LN(2)/25))/(LN(2)/25)*Calculateur!DW201*Calculateur!DY201*VLOOKUP('Données projet'!$B$14,Paramètres!$A$1:$I$89,3,0)*0.475*44/12</f>
        <v>0.31626705711914616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3.0939422270841246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337.99164391755608</v>
      </c>
      <c r="T202" s="59">
        <f t="shared" si="204"/>
        <v>421.45428231923393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-8.5265128291212022E-13</v>
      </c>
      <c r="AJ202" s="13">
        <f>AI202*VLOOKUP('Données projet'!$B$10,Paramètres!$A$1:$I$89,3,0)*VLOOKUP('Données projet'!$B$10,Paramètres!$A$1:$I$89,5,0)</f>
        <v>-8.6458840087288995E-13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596.42822894047072</v>
      </c>
      <c r="AO202" s="59">
        <f t="shared" si="205"/>
        <v>298.31525330951047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113.36754196287401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113.36754196287401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243</v>
      </c>
      <c r="BE202" s="13">
        <f>BD202*VLOOKUP('Données projet'!$B$11,Paramètres!$A$1:$I$89,3,0)*VLOOKUP('Données projet'!$B$11,Paramètres!$A$1:$I$89,5,0)</f>
        <v>253.98360000000002</v>
      </c>
      <c r="BF202" s="13">
        <f t="shared" si="167"/>
        <v>61.438182405444294</v>
      </c>
      <c r="BG202" s="20">
        <f t="shared" si="168"/>
        <v>549.35960435614891</v>
      </c>
      <c r="BH202" s="59">
        <f t="shared" si="194"/>
        <v>839.87597622548503</v>
      </c>
      <c r="BI202" s="59">
        <f ca="1">AVERAGE(OFFSET($BH$3,0,0,'Données projet'!$E$11+1,1))-AVERAGE(OFFSET($H$3,0,0,'Données projet'!$E$11+1,1))</f>
        <v>446.06835300781546</v>
      </c>
      <c r="BJ202" s="59">
        <f t="shared" si="206"/>
        <v>396.46809188573138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4.589944432269796</v>
      </c>
      <c r="BQ202" s="21">
        <f>EXP(-LN(2)/25)*BQ201+(1-EXP(-LN(2)/25))/(LN(2)/25)*Calculateur!BL202*Calculateur!BN202*VLOOKUP('Données projet'!$B$11,Paramètres!$A$1:$I$89,3,0)*0.475*44/12</f>
        <v>1.144769914443988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5.7347143467137842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-3.979039320256561E-13</v>
      </c>
      <c r="BZ202" s="13">
        <f>BY202*VLOOKUP('Données projet'!$B$12,Paramètres!$A$1:$I$89,3,0)*VLOOKUP('Données projet'!$B$12,Paramètres!$A$1:$I$89,5,0)</f>
        <v>-1.8621904018800707E-13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307.52821153421951</v>
      </c>
      <c r="CE202" s="59">
        <f t="shared" si="207"/>
        <v>221.23619018904222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24.338721599449062</v>
      </c>
      <c r="CL202" s="21">
        <f>EXP(-LN(2)/25)*CL201+(1-EXP(-LN(2)/25))/(LN(2)/25)*Calculateur!CG202*Calculateur!CI202*VLOOKUP('Données projet'!$B$12,Paramètres!$A$1:$I$89,3,0)*0.475*44/12</f>
        <v>2.728801187002909</v>
      </c>
      <c r="CM202" s="21">
        <f>EXP(-LN(2)/2)*CM201+(1-EXP(-LN(2)/2))/(LN(2)/2)*CG202*CJ202*VLOOKUP('Données projet'!$B$12,Paramètres!$A$1:$I$89,3,0)*0.475*44/12</f>
        <v>3.8537898266275081E-14</v>
      </c>
      <c r="CN202" s="22">
        <f t="shared" si="172"/>
        <v>27.06752278645201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-5.4001247917767614E-13</v>
      </c>
      <c r="CU202" s="17">
        <f>CT202*VLOOKUP('Données projet'!$B$13,Paramètres!$A$1:$I$89,3,0)*VLOOKUP('Données projet'!$B$13,Paramètres!$A$1:$I$89,5,0)</f>
        <v>-6.1496621128753759E-13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598.12133208901378</v>
      </c>
      <c r="CZ202" s="59">
        <f t="shared" si="208"/>
        <v>246.23353541360947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184.85384952039919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184.85384952039919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266.99999999999983</v>
      </c>
      <c r="DP202" s="17">
        <f>DO202*VLOOKUP('Données projet'!$B$14,Paramètres!$A$1:$I$89,3,0)*VLOOKUP('Données projet'!$B$14,Paramètres!$A$1:$I$89,5,0)</f>
        <v>212.42519999999985</v>
      </c>
      <c r="DQ202" s="13">
        <f t="shared" si="176"/>
        <v>52.465198231787184</v>
      </c>
      <c r="DR202" s="20">
        <f t="shared" si="177"/>
        <v>461.35077692036231</v>
      </c>
      <c r="DS202" s="59">
        <f t="shared" si="197"/>
        <v>751.86714878969838</v>
      </c>
      <c r="DT202" s="59">
        <f ca="1">AVERAGE(OFFSET($DS$3,0,0,'Données projet'!$E$14+1,1))-AVERAGE(OFFSET($H$3,0,0,'Données projet'!$E$14+1,1))</f>
        <v>323.01113210765487</v>
      </c>
      <c r="DU202" s="59">
        <f t="shared" si="209"/>
        <v>311.68541696405975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2.7232066540965292</v>
      </c>
      <c r="EB202" s="21">
        <f>EXP(-LN(2)/25)*EB201+(1-EXP(-LN(2)/25))/(LN(2)/25)*Calculateur!DW202*Calculateur!DY202*VLOOKUP('Données projet'!$B$14,Paramètres!$A$1:$I$89,3,0)*0.475*44/12</f>
        <v>0.30761871781046141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3.0308253719069906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337.99164391755608</v>
      </c>
      <c r="T203" s="59">
        <f t="shared" si="204"/>
        <v>421.45428231923393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-8.5265128291212022E-13</v>
      </c>
      <c r="AJ203" s="13">
        <f>AI203*VLOOKUP('Données projet'!$B$10,Paramètres!$A$1:$I$89,3,0)*VLOOKUP('Données projet'!$B$10,Paramètres!$A$1:$I$89,5,0)</f>
        <v>-8.6458840087288995E-13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596.42822894047072</v>
      </c>
      <c r="AO203" s="59">
        <f t="shared" si="205"/>
        <v>298.31525330951047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111.14447361235491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111.14447361235491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243</v>
      </c>
      <c r="BE203" s="13">
        <f>BD203*VLOOKUP('Données projet'!$B$11,Paramètres!$A$1:$I$89,3,0)*VLOOKUP('Données projet'!$B$11,Paramètres!$A$1:$I$89,5,0)</f>
        <v>253.98360000000002</v>
      </c>
      <c r="BF203" s="13">
        <f t="shared" si="167"/>
        <v>61.438182405444294</v>
      </c>
      <c r="BG203" s="20">
        <f t="shared" si="168"/>
        <v>549.35960435614891</v>
      </c>
      <c r="BH203" s="59">
        <f t="shared" si="194"/>
        <v>839.92484420910296</v>
      </c>
      <c r="BI203" s="59">
        <f ca="1">AVERAGE(OFFSET($BH$3,0,0,'Données projet'!$E$11+1,1))-AVERAGE(OFFSET($H$3,0,0,'Données projet'!$E$11+1,1))</f>
        <v>446.06835300781546</v>
      </c>
      <c r="BJ203" s="59">
        <f t="shared" si="206"/>
        <v>396.46809188573138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4.4999384215426526</v>
      </c>
      <c r="BQ203" s="21">
        <f>EXP(-LN(2)/25)*BQ202+(1-EXP(-LN(2)/25))/(LN(2)/25)*Calculateur!BL203*Calculateur!BN203*VLOOKUP('Données projet'!$B$11,Paramètres!$A$1:$I$89,3,0)*0.475*44/12</f>
        <v>1.1134661209326837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5.6134045424753367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-3.979039320256561E-13</v>
      </c>
      <c r="BZ203" s="13">
        <f>BY203*VLOOKUP('Données projet'!$B$12,Paramètres!$A$1:$I$89,3,0)*VLOOKUP('Données projet'!$B$12,Paramètres!$A$1:$I$89,5,0)</f>
        <v>-1.8621904018800707E-13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307.52821153421951</v>
      </c>
      <c r="CE203" s="59">
        <f t="shared" si="207"/>
        <v>221.23619018904222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23.861454114038203</v>
      </c>
      <c r="CL203" s="21">
        <f>EXP(-LN(2)/25)*CL202+(1-EXP(-LN(2)/25))/(LN(2)/25)*Calculateur!CG203*Calculateur!CI203*VLOOKUP('Données projet'!$B$12,Paramètres!$A$1:$I$89,3,0)*0.475*44/12</f>
        <v>2.6541819750428965</v>
      </c>
      <c r="CM203" s="21">
        <f>EXP(-LN(2)/2)*CM202+(1-EXP(-LN(2)/2))/(LN(2)/2)*CG203*CJ203*VLOOKUP('Données projet'!$B$12,Paramètres!$A$1:$I$89,3,0)*0.475*44/12</f>
        <v>2.7250409196760403E-14</v>
      </c>
      <c r="CN203" s="22">
        <f t="shared" si="172"/>
        <v>26.515636089081127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-5.4001247917767614E-13</v>
      </c>
      <c r="CU203" s="17">
        <f>CT203*VLOOKUP('Données projet'!$B$13,Paramètres!$A$1:$I$89,3,0)*VLOOKUP('Données projet'!$B$13,Paramètres!$A$1:$I$89,5,0)</f>
        <v>-6.1496621128753759E-13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598.12133208901378</v>
      </c>
      <c r="CZ203" s="59">
        <f t="shared" si="208"/>
        <v>246.23353541360947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181.22897828101927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181.22897828101927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266.99999999999983</v>
      </c>
      <c r="DP203" s="17">
        <f>DO203*VLOOKUP('Données projet'!$B$14,Paramètres!$A$1:$I$89,3,0)*VLOOKUP('Données projet'!$B$14,Paramètres!$A$1:$I$89,5,0)</f>
        <v>212.42519999999985</v>
      </c>
      <c r="DQ203" s="13">
        <f t="shared" si="176"/>
        <v>52.465198231787184</v>
      </c>
      <c r="DR203" s="20">
        <f t="shared" si="177"/>
        <v>461.35077692036231</v>
      </c>
      <c r="DS203" s="59">
        <f t="shared" si="197"/>
        <v>751.91601677331641</v>
      </c>
      <c r="DT203" s="59">
        <f ca="1">AVERAGE(OFFSET($DS$3,0,0,'Données projet'!$E$14+1,1))-AVERAGE(OFFSET($H$3,0,0,'Données projet'!$E$14+1,1))</f>
        <v>323.01113210765487</v>
      </c>
      <c r="DU203" s="59">
        <f t="shared" si="209"/>
        <v>311.68541696405975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2.6698062326017458</v>
      </c>
      <c r="EB203" s="21">
        <f>EXP(-LN(2)/25)*EB202+(1-EXP(-LN(2)/25))/(LN(2)/25)*Calculateur!DW203*Calculateur!DY203*VLOOKUP('Données projet'!$B$14,Paramètres!$A$1:$I$89,3,0)*0.475*44/12</f>
        <v>0.29920686779496902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2.9690131003967148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101</v>
      </c>
      <c r="BA204" s="81" t="s">
        <v>101</v>
      </c>
      <c r="BV204" s="81" t="s">
        <v>101</v>
      </c>
      <c r="CQ204" s="81" t="s">
        <v>101</v>
      </c>
      <c r="DL204" s="81" t="s">
        <v>101</v>
      </c>
      <c r="EG204" s="81" t="s">
        <v>101</v>
      </c>
      <c r="FB204" s="81" t="s">
        <v>101</v>
      </c>
      <c r="FW204" s="81" t="s">
        <v>101</v>
      </c>
      <c r="GR204" s="81" t="s">
        <v>101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1.1690615875970631</v>
      </c>
      <c r="BA205" s="82">
        <f>EXP(LN('Données projet'!B88)/'Données projet'!A88)</f>
        <v>1.4003603312913959</v>
      </c>
      <c r="BV205" s="82">
        <f>EXP(LN('Données projet'!B114)/'Données projet'!A114)</f>
        <v>1.1840023495981542</v>
      </c>
      <c r="CQ205" s="82">
        <f>EXP(LN('Données projet'!B140)/'Données projet'!A140)</f>
        <v>1.1549646791274306</v>
      </c>
      <c r="DL205" s="82">
        <f>EXP(LN('Données projet'!B166)/'Données projet'!A166)</f>
        <v>1.2721747796233518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102</v>
      </c>
      <c r="B1" s="112" t="s">
        <v>103</v>
      </c>
      <c r="C1" s="113" t="s">
        <v>104</v>
      </c>
      <c r="D1" s="112" t="s">
        <v>105</v>
      </c>
      <c r="E1" s="113" t="s">
        <v>106</v>
      </c>
      <c r="F1" s="113" t="s">
        <v>105</v>
      </c>
      <c r="G1" s="113" t="s">
        <v>107</v>
      </c>
      <c r="H1" s="113" t="s">
        <v>105</v>
      </c>
      <c r="I1" s="114" t="s">
        <v>108</v>
      </c>
      <c r="J1" s="78"/>
      <c r="K1" s="78"/>
      <c r="L1" s="78"/>
      <c r="M1" s="78"/>
      <c r="N1" s="78"/>
    </row>
    <row r="2" spans="1:16" x14ac:dyDescent="0.35">
      <c r="A2" s="115" t="s">
        <v>109</v>
      </c>
      <c r="B2" s="116" t="s">
        <v>110</v>
      </c>
      <c r="C2" s="117">
        <v>0.62</v>
      </c>
      <c r="D2" s="117" t="s">
        <v>111</v>
      </c>
      <c r="E2" s="117">
        <v>1.56</v>
      </c>
      <c r="F2" s="117" t="s">
        <v>112</v>
      </c>
      <c r="G2" s="118">
        <v>0.43</v>
      </c>
      <c r="H2" s="119" t="s">
        <v>113</v>
      </c>
      <c r="I2" s="120">
        <v>0.25</v>
      </c>
      <c r="J2" s="78"/>
      <c r="K2" s="78"/>
      <c r="L2" s="78"/>
      <c r="M2" s="78"/>
      <c r="N2" s="78"/>
      <c r="O2" s="289" t="s">
        <v>114</v>
      </c>
      <c r="P2" s="121">
        <v>0</v>
      </c>
    </row>
    <row r="3" spans="1:16" ht="15" thickBot="1" x14ac:dyDescent="0.4">
      <c r="A3" s="122" t="s">
        <v>115</v>
      </c>
      <c r="B3" s="123" t="s">
        <v>116</v>
      </c>
      <c r="C3" s="124">
        <v>0.64</v>
      </c>
      <c r="D3" s="124" t="s">
        <v>111</v>
      </c>
      <c r="E3" s="124">
        <v>1.56</v>
      </c>
      <c r="F3" s="125" t="s">
        <v>112</v>
      </c>
      <c r="G3" s="126">
        <v>0.43</v>
      </c>
      <c r="H3" s="124" t="s">
        <v>113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117</v>
      </c>
      <c r="B4" s="123" t="s">
        <v>118</v>
      </c>
      <c r="C4" s="124">
        <v>0.42</v>
      </c>
      <c r="D4" s="124" t="s">
        <v>111</v>
      </c>
      <c r="E4" s="124">
        <v>1.56</v>
      </c>
      <c r="F4" s="125" t="s">
        <v>112</v>
      </c>
      <c r="G4" s="126">
        <v>0.43</v>
      </c>
      <c r="H4" s="124" t="s">
        <v>113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119</v>
      </c>
      <c r="B5" s="123" t="s">
        <v>120</v>
      </c>
      <c r="C5" s="124">
        <v>0.42</v>
      </c>
      <c r="D5" s="124" t="s">
        <v>111</v>
      </c>
      <c r="E5" s="124">
        <v>1.56</v>
      </c>
      <c r="F5" s="125" t="s">
        <v>112</v>
      </c>
      <c r="G5" s="126">
        <v>0.43</v>
      </c>
      <c r="H5" s="124" t="s">
        <v>113</v>
      </c>
      <c r="I5" s="127">
        <v>0.25</v>
      </c>
      <c r="J5" s="78"/>
      <c r="K5" s="78"/>
      <c r="L5" s="78"/>
      <c r="M5" s="78"/>
      <c r="N5" s="78"/>
      <c r="O5" s="289" t="s">
        <v>121</v>
      </c>
      <c r="P5" s="121">
        <v>0</v>
      </c>
    </row>
    <row r="6" spans="1:16" x14ac:dyDescent="0.35">
      <c r="A6" s="122" t="s">
        <v>122</v>
      </c>
      <c r="B6" s="123" t="s">
        <v>123</v>
      </c>
      <c r="C6" s="124">
        <v>0.42</v>
      </c>
      <c r="D6" s="124" t="s">
        <v>111</v>
      </c>
      <c r="E6" s="124">
        <v>1.56</v>
      </c>
      <c r="F6" s="125" t="s">
        <v>112</v>
      </c>
      <c r="G6" s="126">
        <v>0.43</v>
      </c>
      <c r="H6" s="124" t="s">
        <v>113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124</v>
      </c>
      <c r="B7" s="123" t="s">
        <v>125</v>
      </c>
      <c r="C7" s="124">
        <v>0.52</v>
      </c>
      <c r="D7" s="124" t="s">
        <v>111</v>
      </c>
      <c r="E7" s="124">
        <v>1.56</v>
      </c>
      <c r="F7" s="125" t="s">
        <v>112</v>
      </c>
      <c r="G7" s="126">
        <v>0.43</v>
      </c>
      <c r="H7" s="124" t="s">
        <v>113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126</v>
      </c>
      <c r="B8" s="123" t="s">
        <v>127</v>
      </c>
      <c r="C8" s="124">
        <v>0.36</v>
      </c>
      <c r="D8" s="124" t="s">
        <v>111</v>
      </c>
      <c r="E8" s="124">
        <v>1.3</v>
      </c>
      <c r="F8" s="125" t="s">
        <v>112</v>
      </c>
      <c r="G8" s="126">
        <v>0.55000000000000004</v>
      </c>
      <c r="H8" s="124" t="s">
        <v>128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129</v>
      </c>
      <c r="B9" s="123" t="s">
        <v>130</v>
      </c>
      <c r="C9" s="124">
        <v>0.61</v>
      </c>
      <c r="D9" s="124" t="s">
        <v>111</v>
      </c>
      <c r="E9" s="124">
        <v>1.56</v>
      </c>
      <c r="F9" s="125" t="s">
        <v>112</v>
      </c>
      <c r="G9" s="126">
        <v>0.43</v>
      </c>
      <c r="H9" s="124" t="s">
        <v>113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131</v>
      </c>
      <c r="B10" s="123" t="s">
        <v>132</v>
      </c>
      <c r="C10" s="124">
        <v>0.66</v>
      </c>
      <c r="D10" s="124" t="s">
        <v>111</v>
      </c>
      <c r="E10" s="124">
        <v>1.56</v>
      </c>
      <c r="F10" s="125" t="s">
        <v>112</v>
      </c>
      <c r="G10" s="126">
        <v>0.43</v>
      </c>
      <c r="H10" s="124" t="s">
        <v>113</v>
      </c>
      <c r="I10" s="127">
        <v>0.25</v>
      </c>
      <c r="J10" s="78"/>
      <c r="K10" s="78"/>
      <c r="L10" s="78"/>
      <c r="M10" s="78"/>
      <c r="N10" s="78"/>
      <c r="O10" s="289" t="s">
        <v>133</v>
      </c>
      <c r="P10" s="121">
        <v>0</v>
      </c>
    </row>
    <row r="11" spans="1:16" ht="15" thickBot="1" x14ac:dyDescent="0.4">
      <c r="A11" s="122" t="s">
        <v>134</v>
      </c>
      <c r="B11" s="123" t="s">
        <v>135</v>
      </c>
      <c r="C11" s="124">
        <v>0.47</v>
      </c>
      <c r="D11" s="124" t="s">
        <v>111</v>
      </c>
      <c r="E11" s="124">
        <v>1.56</v>
      </c>
      <c r="F11" s="125" t="s">
        <v>112</v>
      </c>
      <c r="G11" s="126">
        <v>0.43</v>
      </c>
      <c r="H11" s="124" t="s">
        <v>113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136</v>
      </c>
      <c r="B12" s="123" t="s">
        <v>137</v>
      </c>
      <c r="C12" s="124">
        <v>0.67</v>
      </c>
      <c r="D12" s="124" t="s">
        <v>111</v>
      </c>
      <c r="E12" s="124">
        <v>1.56</v>
      </c>
      <c r="F12" s="125" t="s">
        <v>112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139</v>
      </c>
      <c r="B13" s="123" t="s">
        <v>140</v>
      </c>
      <c r="C13" s="124">
        <v>0.7</v>
      </c>
      <c r="D13" s="124" t="s">
        <v>111</v>
      </c>
      <c r="E13" s="124">
        <v>1.56</v>
      </c>
      <c r="F13" s="125" t="s">
        <v>112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141</v>
      </c>
      <c r="B14" s="123" t="s">
        <v>142</v>
      </c>
      <c r="C14" s="124">
        <v>0.54</v>
      </c>
      <c r="D14" s="124" t="s">
        <v>111</v>
      </c>
      <c r="E14" s="124">
        <v>1.56</v>
      </c>
      <c r="F14" s="125" t="s">
        <v>112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143</v>
      </c>
      <c r="C15" s="124">
        <v>0.65</v>
      </c>
      <c r="D15" s="124" t="s">
        <v>111</v>
      </c>
      <c r="E15" s="124">
        <v>1.56</v>
      </c>
      <c r="F15" s="125" t="s">
        <v>112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144</v>
      </c>
      <c r="B16" s="123" t="s">
        <v>145</v>
      </c>
      <c r="C16" s="124">
        <v>0.56000000000000005</v>
      </c>
      <c r="D16" s="124" t="s">
        <v>111</v>
      </c>
      <c r="E16" s="124">
        <v>1.56</v>
      </c>
      <c r="F16" s="125" t="s">
        <v>112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146</v>
      </c>
      <c r="B17" s="123" t="s">
        <v>147</v>
      </c>
      <c r="C17" s="124">
        <v>0.57999999999999996</v>
      </c>
      <c r="D17" s="124" t="s">
        <v>111</v>
      </c>
      <c r="E17" s="124">
        <v>1.56</v>
      </c>
      <c r="F17" s="125" t="s">
        <v>112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148</v>
      </c>
      <c r="B18" s="123" t="s">
        <v>149</v>
      </c>
      <c r="C18" s="124">
        <v>0.64</v>
      </c>
      <c r="D18" s="124" t="s">
        <v>111</v>
      </c>
      <c r="E18" s="124">
        <v>1.56</v>
      </c>
      <c r="F18" s="125" t="s">
        <v>112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150</v>
      </c>
      <c r="B19" s="123" t="s">
        <v>151</v>
      </c>
      <c r="C19" s="124">
        <v>0.73</v>
      </c>
      <c r="D19" s="124" t="s">
        <v>111</v>
      </c>
      <c r="E19" s="124">
        <v>1.56</v>
      </c>
      <c r="F19" s="125" t="s">
        <v>112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112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156</v>
      </c>
      <c r="B21" s="123" t="s">
        <v>157</v>
      </c>
      <c r="C21" s="124">
        <v>0.36</v>
      </c>
      <c r="D21" s="124" t="s">
        <v>111</v>
      </c>
      <c r="E21" s="124">
        <v>1.3</v>
      </c>
      <c r="F21" s="125" t="s">
        <v>112</v>
      </c>
      <c r="G21" s="126">
        <v>0.55000000000000004</v>
      </c>
      <c r="H21" s="124" t="s">
        <v>128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158</v>
      </c>
      <c r="B22" s="123" t="s">
        <v>159</v>
      </c>
      <c r="C22" s="124">
        <v>0.4</v>
      </c>
      <c r="D22" s="124" t="s">
        <v>111</v>
      </c>
      <c r="E22" s="124">
        <v>1.3</v>
      </c>
      <c r="F22" s="125" t="s">
        <v>112</v>
      </c>
      <c r="G22" s="126">
        <v>0.55000000000000004</v>
      </c>
      <c r="H22" s="124" t="s">
        <v>128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160</v>
      </c>
      <c r="C23" s="124">
        <v>0.43</v>
      </c>
      <c r="D23" s="124" t="s">
        <v>111</v>
      </c>
      <c r="E23" s="124">
        <v>1.3</v>
      </c>
      <c r="F23" s="125" t="s">
        <v>112</v>
      </c>
      <c r="G23" s="126">
        <v>0.55000000000000004</v>
      </c>
      <c r="H23" s="124" t="s">
        <v>128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111</v>
      </c>
      <c r="E24" s="124">
        <v>1.3</v>
      </c>
      <c r="F24" s="125" t="s">
        <v>112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71</v>
      </c>
      <c r="B25" s="123" t="s">
        <v>163</v>
      </c>
      <c r="C25" s="124">
        <v>0.36</v>
      </c>
      <c r="D25" s="124" t="s">
        <v>111</v>
      </c>
      <c r="E25" s="124">
        <v>1.3</v>
      </c>
      <c r="F25" s="125" t="s">
        <v>112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164</v>
      </c>
      <c r="B26" s="123" t="s">
        <v>165</v>
      </c>
      <c r="C26" s="124">
        <v>0.56000000000000005</v>
      </c>
      <c r="D26" s="124" t="s">
        <v>111</v>
      </c>
      <c r="E26" s="124">
        <v>1.56</v>
      </c>
      <c r="F26" s="125" t="s">
        <v>112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167</v>
      </c>
      <c r="B27" s="123" t="s">
        <v>168</v>
      </c>
      <c r="C27" s="124">
        <v>0.51</v>
      </c>
      <c r="D27" s="124" t="s">
        <v>111</v>
      </c>
      <c r="E27" s="124">
        <v>1.56</v>
      </c>
      <c r="F27" s="125" t="s">
        <v>112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169</v>
      </c>
      <c r="B28" s="123" t="s">
        <v>170</v>
      </c>
      <c r="C28" s="124">
        <v>0.51</v>
      </c>
      <c r="D28" s="124" t="s">
        <v>111</v>
      </c>
      <c r="E28" s="124">
        <v>1.56</v>
      </c>
      <c r="F28" s="125" t="s">
        <v>112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111</v>
      </c>
      <c r="E29" s="124">
        <v>1.56</v>
      </c>
      <c r="F29" s="125" t="s">
        <v>112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172</v>
      </c>
      <c r="B30" s="123" t="s">
        <v>173</v>
      </c>
      <c r="C30" s="124">
        <v>0.55000000000000004</v>
      </c>
      <c r="D30" s="124" t="s">
        <v>111</v>
      </c>
      <c r="E30" s="124">
        <v>1.56</v>
      </c>
      <c r="F30" s="125" t="s">
        <v>112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174</v>
      </c>
      <c r="B31" s="123" t="s">
        <v>175</v>
      </c>
      <c r="C31" s="124">
        <v>0.56000000000000005</v>
      </c>
      <c r="D31" s="124" t="s">
        <v>111</v>
      </c>
      <c r="E31" s="124">
        <v>1.56</v>
      </c>
      <c r="F31" s="125" t="s">
        <v>112</v>
      </c>
      <c r="G31" s="126">
        <v>0.43</v>
      </c>
      <c r="H31" s="124" t="s">
        <v>113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176</v>
      </c>
      <c r="C32" s="124">
        <v>0.48</v>
      </c>
      <c r="D32" s="124" t="s">
        <v>111</v>
      </c>
      <c r="E32" s="124">
        <v>1.3</v>
      </c>
      <c r="F32" s="125" t="s">
        <v>112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111</v>
      </c>
      <c r="E33" s="124">
        <v>1.3</v>
      </c>
      <c r="F33" s="125" t="s">
        <v>112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112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111</v>
      </c>
      <c r="E35" s="124">
        <v>1.56</v>
      </c>
      <c r="F35" s="125" t="s">
        <v>112</v>
      </c>
      <c r="G35" s="126">
        <v>0.43</v>
      </c>
      <c r="H35" s="124" t="s">
        <v>113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111</v>
      </c>
      <c r="E36" s="124">
        <v>1.56</v>
      </c>
      <c r="F36" s="125" t="s">
        <v>112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111</v>
      </c>
      <c r="E37" s="124">
        <v>1.56</v>
      </c>
      <c r="F37" s="125" t="s">
        <v>112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111</v>
      </c>
      <c r="E38" s="124">
        <v>1.56</v>
      </c>
      <c r="F38" s="125" t="s">
        <v>112</v>
      </c>
      <c r="G38" s="126">
        <v>0.43</v>
      </c>
      <c r="H38" s="124" t="s">
        <v>113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112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112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112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112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112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112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112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112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112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112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112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112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112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112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112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112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112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112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112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112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112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112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112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111</v>
      </c>
      <c r="E62" s="124">
        <v>1.56</v>
      </c>
      <c r="F62" s="125" t="s">
        <v>112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111</v>
      </c>
      <c r="E63" s="124">
        <v>1.3</v>
      </c>
      <c r="F63" s="125" t="s">
        <v>112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111</v>
      </c>
      <c r="E64" s="124">
        <v>1.3</v>
      </c>
      <c r="F64" s="125" t="s">
        <v>112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111</v>
      </c>
      <c r="E65" s="124">
        <v>1.3</v>
      </c>
      <c r="F65" s="125" t="s">
        <v>112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111</v>
      </c>
      <c r="E66" s="124">
        <v>1.3</v>
      </c>
      <c r="F66" s="125" t="s">
        <v>112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111</v>
      </c>
      <c r="E67" s="124">
        <v>1.3</v>
      </c>
      <c r="F67" s="125" t="s">
        <v>112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111</v>
      </c>
      <c r="E68" s="124">
        <v>1.3</v>
      </c>
      <c r="F68" s="125" t="s">
        <v>112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111</v>
      </c>
      <c r="E69" s="124">
        <v>1.3</v>
      </c>
      <c r="F69" s="125" t="s">
        <v>112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111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112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111</v>
      </c>
      <c r="E72" s="124">
        <v>1.3</v>
      </c>
      <c r="F72" s="125" t="s">
        <v>112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112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111</v>
      </c>
      <c r="E74" s="124">
        <v>1.3</v>
      </c>
      <c r="F74" s="125" t="s">
        <v>112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111</v>
      </c>
      <c r="E75" s="124">
        <v>1.56</v>
      </c>
      <c r="F75" s="125" t="s">
        <v>112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111</v>
      </c>
      <c r="E76" s="124">
        <v>1.56</v>
      </c>
      <c r="F76" s="125" t="s">
        <v>112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111</v>
      </c>
      <c r="E77" s="124">
        <v>1.3</v>
      </c>
      <c r="F77" s="125" t="s">
        <v>112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111</v>
      </c>
      <c r="E78" s="124">
        <v>1.3</v>
      </c>
      <c r="F78" s="125" t="s">
        <v>112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111</v>
      </c>
      <c r="E79" s="124">
        <v>1.3</v>
      </c>
      <c r="F79" s="125" t="s">
        <v>112</v>
      </c>
      <c r="G79" s="126">
        <v>0.55000000000000004</v>
      </c>
      <c r="H79" s="124" t="s">
        <v>128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111</v>
      </c>
      <c r="E80" s="124">
        <v>1.3</v>
      </c>
      <c r="F80" s="125" t="s">
        <v>112</v>
      </c>
      <c r="G80" s="126">
        <v>0.55000000000000004</v>
      </c>
      <c r="H80" s="124" t="s">
        <v>128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111</v>
      </c>
      <c r="E81" s="124">
        <v>1.56</v>
      </c>
      <c r="F81" s="125" t="s">
        <v>112</v>
      </c>
      <c r="G81" s="126">
        <v>0.43</v>
      </c>
      <c r="H81" s="124" t="s">
        <v>113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112</v>
      </c>
      <c r="G82" s="126">
        <v>0.55000000000000004</v>
      </c>
      <c r="H82" s="124" t="s">
        <v>128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111</v>
      </c>
      <c r="E83" s="124">
        <v>1.3</v>
      </c>
      <c r="F83" s="125" t="s">
        <v>112</v>
      </c>
      <c r="G83" s="126">
        <v>0.55000000000000004</v>
      </c>
      <c r="H83" s="124" t="s">
        <v>128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111</v>
      </c>
      <c r="E84" s="124">
        <v>1.3</v>
      </c>
      <c r="F84" s="125" t="s">
        <v>112</v>
      </c>
      <c r="G84" s="126">
        <v>0.55000000000000004</v>
      </c>
      <c r="H84" s="124" t="s">
        <v>128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111</v>
      </c>
      <c r="E85" s="124">
        <v>1.56</v>
      </c>
      <c r="F85" s="125" t="s">
        <v>112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111</v>
      </c>
      <c r="E86" s="124">
        <v>1.56</v>
      </c>
      <c r="F86" s="125" t="s">
        <v>112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112</v>
      </c>
      <c r="G87" s="255">
        <v>0.43</v>
      </c>
      <c r="H87" s="253" t="s">
        <v>113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278</v>
      </c>
      <c r="B88" s="130"/>
      <c r="C88" s="124">
        <v>0.42</v>
      </c>
      <c r="D88" s="124" t="s">
        <v>111</v>
      </c>
      <c r="E88" s="124">
        <v>1.3</v>
      </c>
      <c r="F88" s="125" t="s">
        <v>112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111</v>
      </c>
      <c r="E89" s="135">
        <v>1.56</v>
      </c>
      <c r="F89" s="135" t="s">
        <v>112</v>
      </c>
      <c r="G89" s="134"/>
      <c r="H89" s="134"/>
      <c r="I89" s="137"/>
    </row>
    <row r="93" spans="1:14" x14ac:dyDescent="0.35">
      <c r="A93" s="122" t="s">
        <v>72</v>
      </c>
    </row>
    <row r="94" spans="1:14" x14ac:dyDescent="0.35">
      <c r="A94" s="122" t="s">
        <v>73</v>
      </c>
    </row>
    <row r="95" spans="1:14" x14ac:dyDescent="0.35">
      <c r="A95" s="122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76" zoomScaleNormal="76" workbookViewId="0">
      <selection activeCell="Q12" sqref="Q12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1.9350000000000001</v>
      </c>
      <c r="C6" s="147">
        <f ca="1">IF(OR('Données projet'!B9="",'Données projet'!C9="",'Données projet'!C9=0%),0,Calculateur!S3)</f>
        <v>337.99164391755608</v>
      </c>
      <c r="D6" s="147">
        <f>IF(OR('Données projet'!B9="",'Données projet'!C9="",'Données projet'!C9=0%),0,Calculateur!T3)</f>
        <v>421.45428231923393</v>
      </c>
      <c r="E6" s="147">
        <f ca="1">MIN(C6,D6)</f>
        <v>337.99164391755608</v>
      </c>
      <c r="F6" s="147">
        <f ca="1">E6*B6</f>
        <v>654.01383098047097</v>
      </c>
      <c r="G6" s="147">
        <f ca="1">F6*(100%-'Données projet'!$C$24)*(100%-'Données projet'!$C$25)*(100%-'Données projet'!$C$26)*(100%-'Données projet'!$C$27)</f>
        <v>559.18182548830271</v>
      </c>
      <c r="H6" s="148">
        <f>IF(OR('Données projet'!B9="",'Données projet'!C9="",'Données projet'!C9=0%),0,AVERAGE(Calculateur!$AC$3:$AC$33)*B6)</f>
        <v>25.191654911554973</v>
      </c>
      <c r="I6" s="149">
        <f>H6*(100%-'Données projet'!$C$24)*(100%-'Données projet'!$C$25)*(100%-'Données projet'!$C$26)*(100%-'Données projet'!$C$27)</f>
        <v>21.538864949379501</v>
      </c>
      <c r="J6" s="150">
        <f>IF(OR('Données projet'!B9="",'Données projet'!C9="",'Données projet'!C9=0%),0,SUM(Calculateur!$V$3:$V$33)*VLOOKUP('Données projet'!$B$9,Paramètres!$A$1:$I$89,9,0)*B6)</f>
        <v>166.10129307692307</v>
      </c>
      <c r="K6" s="151">
        <f>J6*(100%-'Données projet'!$C$24)*(100%-'Données projet'!$C$25)*(100%-'Données projet'!$C$26)*(100%-'Données projet'!$C$27)</f>
        <v>142.01660558076924</v>
      </c>
      <c r="L6" s="152">
        <f ca="1">G6+I6+K6</f>
        <v>722.73729601845139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pubescent</v>
      </c>
      <c r="B7" s="154">
        <f>'Données projet'!D10</f>
        <v>0.63</v>
      </c>
      <c r="C7" s="147">
        <f ca="1">IF(OR('Données projet'!B10="",'Données projet'!C10="",'Données projet'!C10=0%),0,Calculateur!AN3)</f>
        <v>596.42822894047072</v>
      </c>
      <c r="D7" s="147">
        <f>IF(OR('Données projet'!B10="",'Données projet'!C10="",'Données projet'!C10=0%),0,Calculateur!AO3)</f>
        <v>298.31525330951047</v>
      </c>
      <c r="E7" s="147">
        <f t="shared" ref="E7:E15" ca="1" si="0">MIN(C7,D7)</f>
        <v>298.31525330951047</v>
      </c>
      <c r="F7" s="147">
        <f t="shared" ref="F7:F15" ca="1" si="1">E7*B7</f>
        <v>187.93860958499158</v>
      </c>
      <c r="G7" s="147">
        <f ca="1">F7*(100%-'Données projet'!$C$24)*(100%-'Données projet'!$C$25)*(100%-'Données projet'!$C$26)*(100%-'Données projet'!$C$27)</f>
        <v>160.68751119516779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160.68751119516779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chevelu</v>
      </c>
      <c r="B8" s="154">
        <f>'Données projet'!D11</f>
        <v>0.04</v>
      </c>
      <c r="C8" s="147">
        <f ca="1">IF(OR('Données projet'!B11="",'Données projet'!C11="",'Données projet'!C11=0%),0,Calculateur!BI3)</f>
        <v>446.06835300781546</v>
      </c>
      <c r="D8" s="147">
        <f>IF(OR('Données projet'!B11="",'Données projet'!C11="",'Données projet'!C11=0%),0,Calculateur!BJ3)</f>
        <v>396.46809188573138</v>
      </c>
      <c r="E8" s="147">
        <f t="shared" ca="1" si="0"/>
        <v>396.46809188573138</v>
      </c>
      <c r="F8" s="147">
        <f t="shared" ca="1" si="1"/>
        <v>15.858723675429255</v>
      </c>
      <c r="G8" s="147">
        <f ca="1">F8*(100%-'Données projet'!$C$24)*(100%-'Données projet'!$C$25)*(100%-'Données projet'!$C$26)*(100%-'Données projet'!$C$27)</f>
        <v>13.559208742492013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13.559208742492013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Cèdre de l'Atlas</v>
      </c>
      <c r="B9" s="154">
        <f>'Données projet'!D12</f>
        <v>1.1850000000000001</v>
      </c>
      <c r="C9" s="147">
        <f ca="1">IF(OR('Données projet'!B12="",'Données projet'!C12="",'Données projet'!C12=0%),0,Calculateur!CD3)</f>
        <v>307.52821153421951</v>
      </c>
      <c r="D9" s="147">
        <f>IF(OR('Données projet'!B12="",'Données projet'!C12="",'Données projet'!C12=0%),0,Calculateur!CE3)</f>
        <v>221.23619018904222</v>
      </c>
      <c r="E9" s="147">
        <f t="shared" ca="1" si="0"/>
        <v>221.23619018904222</v>
      </c>
      <c r="F9" s="147">
        <f t="shared" ca="1" si="1"/>
        <v>262.16488537401506</v>
      </c>
      <c r="G9" s="147">
        <f ca="1">F9*(100%-'Données projet'!$C$24)*(100%-'Données projet'!$C$25)*(100%-'Données projet'!$C$26)*(100%-'Données projet'!$C$27)</f>
        <v>224.15097699478287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224.15097699478287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Chêne vert</v>
      </c>
      <c r="B10" s="154">
        <f>'Données projet'!D13</f>
        <v>0.92999999999999994</v>
      </c>
      <c r="C10" s="147">
        <f ca="1">IF(OR('Données projet'!B13="",'Données projet'!C13="",'Données projet'!C13=0%),0,Calculateur!CY3)</f>
        <v>598.12133208901378</v>
      </c>
      <c r="D10" s="147">
        <f>IF(OR('Données projet'!B13="",'Données projet'!C13="",'Données projet'!C13=0%),0,Calculateur!CZ3)</f>
        <v>246.23353541360947</v>
      </c>
      <c r="E10" s="147">
        <f t="shared" ca="1" si="0"/>
        <v>246.23353541360947</v>
      </c>
      <c r="F10" s="147">
        <f t="shared" ca="1" si="1"/>
        <v>228.99718793465681</v>
      </c>
      <c r="G10" s="147">
        <f ca="1">F10*(100%-'Données projet'!$C$24)*(100%-'Données projet'!$C$25)*(100%-'Données projet'!$C$26)*(100%-'Données projet'!$C$27)</f>
        <v>195.79259568413158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195.79259568413158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Erable sycomore</v>
      </c>
      <c r="B11" s="154">
        <f>'Données projet'!D14</f>
        <v>0.14000000000000001</v>
      </c>
      <c r="C11" s="147">
        <f ca="1">IF(OR('Données projet'!B14="",'Données projet'!C14="",'Données projet'!C14=0%),0,Calculateur!DT3)</f>
        <v>323.01113210765487</v>
      </c>
      <c r="D11" s="147">
        <f>IF(OR('Données projet'!B14="",'Données projet'!C14="",'Données projet'!C14=0%),0,Calculateur!DU3)</f>
        <v>311.68541696405975</v>
      </c>
      <c r="E11" s="147">
        <f t="shared" ca="1" si="0"/>
        <v>311.68541696405975</v>
      </c>
      <c r="F11" s="147">
        <f t="shared" ca="1" si="1"/>
        <v>43.635958374968368</v>
      </c>
      <c r="G11" s="147">
        <f ca="1">F11*(100%-'Données projet'!$C$24)*(100%-'Données projet'!$C$25)*(100%-'Données projet'!$C$26)*(100%-'Données projet'!$C$27)</f>
        <v>37.308744410597953</v>
      </c>
      <c r="H11" s="155">
        <f>IF(OR('Données projet'!B14="",'Données projet'!C14="",'Données projet'!C14=0%),0,AVERAGE(Calculateur!$ED$3:$ED$33)*B11)</f>
        <v>4.2383758521632967E-2</v>
      </c>
      <c r="I11" s="149">
        <f>H11*(100%-'Données projet'!$C$24)*(100%-'Données projet'!$C$25)*(100%-'Données projet'!$C$26)*(100%-'Données projet'!$C$27)</f>
        <v>3.6238113535996187E-2</v>
      </c>
      <c r="J11" s="150">
        <f>IF(OR('Données projet'!B14="",'Données projet'!C14="",'Données projet'!C14=0%),0,SUM(Calculateur!$DW$3:$DW$33)*VLOOKUP('Données projet'!$B$14,Paramètres!$A$1:$I$89,9,0)*B11)</f>
        <v>3.4650000000000003</v>
      </c>
      <c r="K11" s="151">
        <f>J11*(100%-'Données projet'!$C$24)*(100%-'Données projet'!$C$25)*(100%-'Données projet'!$C$26)*(100%-'Données projet'!$C$27)</f>
        <v>2.9625750000000002</v>
      </c>
      <c r="L11" s="152">
        <f t="shared" ca="1" si="2"/>
        <v>40.307557524133948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1392.6091959245321</v>
      </c>
      <c r="G16" s="166">
        <f t="shared" ca="1" si="3"/>
        <v>1190.6808625154749</v>
      </c>
      <c r="H16" s="167">
        <f t="shared" si="3"/>
        <v>25.234038670076608</v>
      </c>
      <c r="I16" s="167">
        <f t="shared" si="3"/>
        <v>21.575103062915499</v>
      </c>
      <c r="J16" s="168">
        <f t="shared" si="3"/>
        <v>169.56629307692307</v>
      </c>
      <c r="K16" s="168">
        <f t="shared" si="3"/>
        <v>144.97918058076922</v>
      </c>
      <c r="L16" s="169">
        <f t="shared" ca="1" si="3"/>
        <v>1357.2351461591595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291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Erable sycomore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9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293</v>
      </c>
      <c r="I4" s="270"/>
      <c r="K4" s="294" t="s">
        <v>294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57</v>
      </c>
      <c r="O7" s="247"/>
      <c r="P7" s="248"/>
      <c r="Q7" s="249"/>
      <c r="R7" s="304" t="s">
        <v>295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6036.911944572601</v>
      </c>
      <c r="U10" s="178">
        <f>'Données projet'!D9</f>
        <v>1.9350000000000001</v>
      </c>
      <c r="V10" s="177">
        <f>U10*T10</f>
        <v>11681.424612747984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1061.4064022710711</v>
      </c>
      <c r="U11" s="178">
        <f>'Données projet'!D10</f>
        <v>0.63</v>
      </c>
      <c r="V11" s="177">
        <f t="shared" ref="V11" si="0">U11*T11</f>
        <v>668.68603343077484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chevelu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1015.2099082720124</v>
      </c>
      <c r="U12" s="178">
        <f>'Données projet'!D11</f>
        <v>0.04</v>
      </c>
      <c r="V12" s="177">
        <f t="shared" ref="V12:V19" si="1">U12*T12</f>
        <v>40.608396330880495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2042.3451523171107</v>
      </c>
      <c r="U13" s="178">
        <f>'Données projet'!D12</f>
        <v>1.1850000000000001</v>
      </c>
      <c r="V13" s="177">
        <f t="shared" si="1"/>
        <v>2420.1790054957764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76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344.71479931764202</v>
      </c>
      <c r="U14" s="178">
        <f>'Données projet'!D13</f>
        <v>0.92999999999999994</v>
      </c>
      <c r="V14" s="177">
        <f t="shared" si="1"/>
        <v>320.58476336540707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7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sycomore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898.46772561723162</v>
      </c>
      <c r="U15" s="178">
        <f>'Données projet'!D14</f>
        <v>0.14000000000000001</v>
      </c>
      <c r="V15" s="177">
        <f t="shared" si="1"/>
        <v>125.78548158641244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97"/>
      <c r="H16" s="190"/>
      <c r="I16" s="191"/>
      <c r="J16" s="202"/>
      <c r="K16" s="208"/>
      <c r="L16" s="294" t="s">
        <v>312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G17" s="297"/>
      <c r="J17" s="202"/>
      <c r="K17" s="208"/>
      <c r="L17" s="267" t="s">
        <v>313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G18" s="297"/>
      <c r="J18" s="202"/>
      <c r="K18" s="208"/>
      <c r="L18" s="267" t="s">
        <v>309</v>
      </c>
      <c r="M18" s="269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97"/>
      <c r="H19" s="212" t="s">
        <v>76</v>
      </c>
      <c r="I19" s="212" t="s">
        <v>314</v>
      </c>
      <c r="J19" s="93"/>
      <c r="K19" s="173"/>
      <c r="L19" s="294" t="s">
        <v>315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97"/>
      <c r="H20" s="190">
        <v>1</v>
      </c>
      <c r="I20" s="191">
        <v>11447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/>
      <c r="D23" s="182">
        <f>B23*C23</f>
        <v>0</v>
      </c>
      <c r="E23" s="193"/>
      <c r="F23" s="230"/>
      <c r="H23" s="190"/>
      <c r="I23" s="191"/>
      <c r="K23" s="208"/>
      <c r="L23" s="296" t="s">
        <v>316</v>
      </c>
      <c r="M23" s="296"/>
      <c r="N23" s="296"/>
      <c r="O23" s="23"/>
      <c r="P23" s="23"/>
      <c r="Q23" s="234"/>
      <c r="R23" s="23"/>
      <c r="S23" s="36" t="s">
        <v>317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-39513.066635272437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10</v>
      </c>
      <c r="D24" s="182">
        <f t="shared" ref="D24:D42" si="2">B24*C24</f>
        <v>487.23076923076923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106665.17017834565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10</v>
      </c>
      <c r="D25" s="182">
        <f t="shared" si="2"/>
        <v>469.84615384615381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>
        <v>1000</v>
      </c>
      <c r="Q25" s="234"/>
      <c r="R25" s="23"/>
      <c r="S25" s="186" t="s">
        <v>320</v>
      </c>
      <c r="T25" s="311">
        <f ca="1">T23-T24</f>
        <v>-146178.2368136181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50</v>
      </c>
      <c r="D26" s="182">
        <f t="shared" si="2"/>
        <v>3226.1538461538457</v>
      </c>
      <c r="E26" s="193">
        <v>150</v>
      </c>
      <c r="F26" s="233"/>
      <c r="G26" s="229"/>
      <c r="H26" s="190"/>
      <c r="I26" s="191"/>
      <c r="K26" s="208"/>
      <c r="L26" s="298" t="s">
        <v>321</v>
      </c>
      <c r="M26" s="299"/>
      <c r="N26" s="299"/>
      <c r="O26" s="299"/>
      <c r="P26" s="300"/>
      <c r="Q26" s="234"/>
      <c r="R26" s="23"/>
      <c r="S26" s="186" t="s">
        <v>322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50</v>
      </c>
      <c r="D27" s="182">
        <f t="shared" si="2"/>
        <v>4633.0769230769229</v>
      </c>
      <c r="E27" s="193">
        <v>150</v>
      </c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323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50</v>
      </c>
      <c r="D28" s="182">
        <f t="shared" si="2"/>
        <v>4198.4615384615381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100</v>
      </c>
      <c r="D29" s="182">
        <f t="shared" si="2"/>
        <v>44647.692307692305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21333.03403566913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76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956.93779904306223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915.72995123738031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876.29660405490938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838.56134359321493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802.45104650068413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767.89573827816685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734.82845768245625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703.18512696885784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672.90442772139511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643.92768203004323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616.19873878473038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589.66386486577085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564.27164101987637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539.97286221997751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516.72044231576797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494.46932279020876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473.17638544517581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452.80036884705828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433.30178837039074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414.64285968458455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396.78742553548756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34</v>
      </c>
      <c r="B55" s="181">
        <f>'Données projet'!D63</f>
        <v>31.615384615384613</v>
      </c>
      <c r="C55" s="191">
        <v>10</v>
      </c>
      <c r="D55" s="179">
        <f t="shared" ref="D55:D73" si="4">B55*C55</f>
        <v>316.15384615384613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379.70088567989251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42</v>
      </c>
      <c r="B56" s="181">
        <f>'Données projet'!D64</f>
        <v>45.198717948717949</v>
      </c>
      <c r="C56" s="191">
        <v>10</v>
      </c>
      <c r="D56" s="179">
        <f t="shared" si="4"/>
        <v>451.9871794871795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363.35012983721771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50</v>
      </c>
      <c r="B57" s="181">
        <f>'Données projet'!D65</f>
        <v>52.282051282051285</v>
      </c>
      <c r="C57" s="191">
        <v>10</v>
      </c>
      <c r="D57" s="179">
        <f t="shared" si="4"/>
        <v>522.82051282051282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347.70347352843805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58</v>
      </c>
      <c r="B58" s="181">
        <f>'Données projet'!D66</f>
        <v>47.467948717948715</v>
      </c>
      <c r="C58" s="191">
        <v>50</v>
      </c>
      <c r="D58" s="179">
        <f t="shared" si="4"/>
        <v>2373.3974358974356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332.7305966779312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66</v>
      </c>
      <c r="B59" s="181">
        <f>'Données projet'!D67</f>
        <v>54.141025641025635</v>
      </c>
      <c r="C59" s="191">
        <v>50</v>
      </c>
      <c r="D59" s="179">
        <f t="shared" si="4"/>
        <v>2707.0512820512818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318.4024848592644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74</v>
      </c>
      <c r="B60" s="181">
        <f>'Données projet'!D68</f>
        <v>52.737179487179482</v>
      </c>
      <c r="C60" s="191">
        <v>50</v>
      </c>
      <c r="D60" s="179">
        <f t="shared" si="4"/>
        <v>2636.8589743589741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304.69137307106638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82</v>
      </c>
      <c r="B61" s="181">
        <f>'Données projet'!D69</f>
        <v>40.371794871794869</v>
      </c>
      <c r="C61" s="191">
        <v>100</v>
      </c>
      <c r="D61" s="179">
        <f t="shared" si="4"/>
        <v>4037.1794871794868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291.57069193403493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90</v>
      </c>
      <c r="B62" s="181">
        <f>'Données projet'!D70</f>
        <v>47.307692307692307</v>
      </c>
      <c r="C62" s="191">
        <v>100</v>
      </c>
      <c r="D62" s="179">
        <f t="shared" si="4"/>
        <v>4730.7692307692305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279.01501620481804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100</v>
      </c>
      <c r="B63" s="181">
        <f>'Données projet'!D71</f>
        <v>63.801282051282051</v>
      </c>
      <c r="C63" s="191">
        <v>150</v>
      </c>
      <c r="D63" s="179">
        <f t="shared" si="4"/>
        <v>9570.1923076923085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267.00001550700301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110</v>
      </c>
      <c r="B64" s="181">
        <f>'Données projet'!D72</f>
        <v>50.051282051282051</v>
      </c>
      <c r="C64" s="191">
        <v>150</v>
      </c>
      <c r="D64" s="179">
        <f t="shared" si="4"/>
        <v>7507.6923076923076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255.50240718373487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120</v>
      </c>
      <c r="B65" s="181">
        <f>'Données projet'!D73</f>
        <v>44.929487179487182</v>
      </c>
      <c r="C65" s="191">
        <v>150</v>
      </c>
      <c r="D65" s="179">
        <f t="shared" si="4"/>
        <v>6739.4230769230771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244.49991118060768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130</v>
      </c>
      <c r="B66" s="181">
        <f>'Données projet'!D74</f>
        <v>51.378205128205131</v>
      </c>
      <c r="C66" s="191">
        <v>200</v>
      </c>
      <c r="D66" s="179">
        <f t="shared" si="4"/>
        <v>10275.641025641025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233.97120687139494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140</v>
      </c>
      <c r="B67" s="181">
        <f>'Données projet'!D75</f>
        <v>50.467948717948715</v>
      </c>
      <c r="C67" s="191">
        <v>200</v>
      </c>
      <c r="D67" s="179">
        <f t="shared" si="4"/>
        <v>10093.589743589742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223.89589174296168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150</v>
      </c>
      <c r="B68" s="181">
        <f>'Données projet'!D76</f>
        <v>174.87820512820511</v>
      </c>
      <c r="C68" s="191">
        <v>200</v>
      </c>
      <c r="D68" s="179">
        <f t="shared" si="4"/>
        <v>34975.641025641024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214.25444185929348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153</v>
      </c>
      <c r="B69" s="181">
        <f>'Données projet'!D77</f>
        <v>105.26282051282051</v>
      </c>
      <c r="C69" s="191">
        <v>200</v>
      </c>
      <c r="D69" s="179">
        <f t="shared" si="4"/>
        <v>21052.564102564102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205.02817402803208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156</v>
      </c>
      <c r="B70" s="181">
        <f>'Données projet'!D78</f>
        <v>65.070512820512818</v>
      </c>
      <c r="C70" s="191">
        <v>200</v>
      </c>
      <c r="D70" s="179">
        <f t="shared" si="4"/>
        <v>13014.102564102563</v>
      </c>
      <c r="E70" s="193">
        <v>150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196.19920959620296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159</v>
      </c>
      <c r="B71" s="181">
        <f>'Données projet'!D79</f>
        <v>135.55128205128204</v>
      </c>
      <c r="C71" s="191">
        <v>200</v>
      </c>
      <c r="D71" s="179">
        <f t="shared" si="4"/>
        <v>27110.25641025641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187.75043980497892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179.66549263634349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171.92870108741008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164.52507281091874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157.44026106308016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chevelu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150.66053690246906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144.17276258609482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137.9643661110955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132.02331685272301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>
        <v>360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126.33810225140957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120.89770550374126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115.69158421410647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110.70964996565215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/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105.942248770959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101.38014236455409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97.014490301008692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 t="str">
        <f>'Données projet'!D90</f>
        <v>54</v>
      </c>
      <c r="C87" s="191">
        <v>10</v>
      </c>
      <c r="D87" s="179">
        <f t="shared" si="6"/>
        <v>540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92.8368328239318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 t="str">
        <f>'Données projet'!D91</f>
        <v>26</v>
      </c>
      <c r="C88" s="191">
        <v>15</v>
      </c>
      <c r="D88" s="179">
        <f t="shared" si="6"/>
        <v>390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88.839074472661991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 t="str">
        <f>'Données projet'!D92</f>
        <v>27</v>
      </c>
      <c r="C89" s="191">
        <v>15</v>
      </c>
      <c r="D89" s="179">
        <f t="shared" si="6"/>
        <v>405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85.013468394891888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 t="str">
        <f>'Données projet'!D93</f>
        <v>27</v>
      </c>
      <c r="C90" s="191">
        <v>50</v>
      </c>
      <c r="D90" s="179">
        <f t="shared" si="6"/>
        <v>1350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 t="str">
        <f>'Données projet'!D94</f>
        <v>27</v>
      </c>
      <c r="C91" s="191">
        <v>50</v>
      </c>
      <c r="D91" s="179">
        <f t="shared" si="6"/>
        <v>1350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 t="str">
        <f>'Données projet'!D95</f>
        <v>26</v>
      </c>
      <c r="C92" s="191">
        <v>50</v>
      </c>
      <c r="D92" s="179">
        <f t="shared" si="6"/>
        <v>1300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 t="str">
        <f>'Données projet'!D96</f>
        <v>24</v>
      </c>
      <c r="C93" s="191">
        <v>50</v>
      </c>
      <c r="D93" s="179">
        <f t="shared" si="6"/>
        <v>1200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 t="str">
        <f>'Données projet'!D97</f>
        <v>23</v>
      </c>
      <c r="C94" s="191">
        <v>50</v>
      </c>
      <c r="D94" s="179">
        <f t="shared" si="6"/>
        <v>1150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 t="str">
        <f>'Données projet'!D98</f>
        <v>21</v>
      </c>
      <c r="C95" s="191">
        <v>50</v>
      </c>
      <c r="D95" s="179">
        <f t="shared" si="6"/>
        <v>1050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 t="str">
        <f>'Données projet'!D99</f>
        <v>20</v>
      </c>
      <c r="C96" s="191">
        <v>50</v>
      </c>
      <c r="D96" s="179">
        <f t="shared" si="6"/>
        <v>1000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 t="str">
        <f>'Données projet'!D100</f>
        <v>18</v>
      </c>
      <c r="C97" s="191">
        <v>50</v>
      </c>
      <c r="D97" s="179">
        <f t="shared" si="6"/>
        <v>900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 t="str">
        <f>'Données projet'!D101</f>
        <v>16</v>
      </c>
      <c r="C98" s="191">
        <v>50</v>
      </c>
      <c r="D98" s="179">
        <f t="shared" si="6"/>
        <v>800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 t="str">
        <f>'Données projet'!D102</f>
        <v>15</v>
      </c>
      <c r="C99" s="191">
        <v>50</v>
      </c>
      <c r="D99" s="179">
        <f t="shared" si="6"/>
        <v>750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85</v>
      </c>
      <c r="B100" s="181" t="str">
        <f>'Données projet'!D103</f>
        <v>14</v>
      </c>
      <c r="C100" s="191">
        <v>50</v>
      </c>
      <c r="D100" s="179">
        <f t="shared" si="6"/>
        <v>700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90</v>
      </c>
      <c r="B101" s="181" t="str">
        <f>'Données projet'!D104</f>
        <v>12</v>
      </c>
      <c r="C101" s="191">
        <v>50</v>
      </c>
      <c r="D101" s="179">
        <f t="shared" si="6"/>
        <v>600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95</v>
      </c>
      <c r="B102" s="181" t="str">
        <f>'Données projet'!D105</f>
        <v>12</v>
      </c>
      <c r="C102" s="191">
        <v>50</v>
      </c>
      <c r="D102" s="179">
        <f t="shared" si="6"/>
        <v>600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100</v>
      </c>
      <c r="B103" s="181" t="str">
        <f>'Données projet'!D106</f>
        <v>12</v>
      </c>
      <c r="C103" s="191">
        <v>50</v>
      </c>
      <c r="D103" s="179">
        <f t="shared" si="6"/>
        <v>600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>
        <v>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42</v>
      </c>
      <c r="B117" s="181">
        <f>'Données projet'!D115</f>
        <v>105</v>
      </c>
      <c r="C117" s="191">
        <v>10</v>
      </c>
      <c r="D117" s="179">
        <f t="shared" ref="D117:D135" si="8">B117*C117</f>
        <v>1050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50</v>
      </c>
      <c r="B118" s="181">
        <f>'Données projet'!D116</f>
        <v>100.7</v>
      </c>
      <c r="C118" s="191">
        <v>10</v>
      </c>
      <c r="D118" s="179">
        <f t="shared" si="8"/>
        <v>1007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58</v>
      </c>
      <c r="B119" s="181">
        <f>'Données projet'!D117</f>
        <v>80.3</v>
      </c>
      <c r="C119" s="191">
        <v>50</v>
      </c>
      <c r="D119" s="179">
        <f t="shared" si="8"/>
        <v>4015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66</v>
      </c>
      <c r="B120" s="181">
        <f>'Données projet'!D118</f>
        <v>79.2</v>
      </c>
      <c r="C120" s="191">
        <v>50</v>
      </c>
      <c r="D120" s="179">
        <f t="shared" si="8"/>
        <v>3960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75</v>
      </c>
      <c r="B121" s="181">
        <f>'Données projet'!D119</f>
        <v>78.3</v>
      </c>
      <c r="C121" s="191">
        <v>50</v>
      </c>
      <c r="D121" s="179">
        <f t="shared" si="8"/>
        <v>3915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83</v>
      </c>
      <c r="B122" s="181">
        <f>'Données projet'!D120</f>
        <v>79.7</v>
      </c>
      <c r="C122" s="191">
        <v>100</v>
      </c>
      <c r="D122" s="179">
        <f t="shared" si="8"/>
        <v>7970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91</v>
      </c>
      <c r="B123" s="181">
        <f>'Données projet'!D121</f>
        <v>229.7</v>
      </c>
      <c r="C123" s="191">
        <v>100</v>
      </c>
      <c r="D123" s="179">
        <f t="shared" si="8"/>
        <v>22970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101</v>
      </c>
      <c r="B124" s="181">
        <f>'Données projet'!D122</f>
        <v>307.60000000000002</v>
      </c>
      <c r="C124" s="191">
        <v>150</v>
      </c>
      <c r="D124" s="179">
        <f t="shared" si="8"/>
        <v>46140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5">
        <f>'Données projet'!D140</f>
        <v>0</v>
      </c>
      <c r="C147" s="191">
        <v>10</v>
      </c>
      <c r="D147" s="182">
        <f>B147*C147</f>
        <v>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42</v>
      </c>
      <c r="B148" s="175">
        <f>'Données projet'!D141</f>
        <v>38.685897435897438</v>
      </c>
      <c r="C148" s="191">
        <v>18</v>
      </c>
      <c r="D148" s="182">
        <f t="shared" ref="D148:D166" si="10">B148*C148</f>
        <v>696.34615384615392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50</v>
      </c>
      <c r="B149" s="175">
        <f>'Données projet'!D142</f>
        <v>29.416666666666664</v>
      </c>
      <c r="C149" s="191">
        <v>25</v>
      </c>
      <c r="D149" s="182">
        <f t="shared" si="10"/>
        <v>735.41666666666663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58</v>
      </c>
      <c r="B150" s="175">
        <f>'Données projet'!D143</f>
        <v>35.88461538461538</v>
      </c>
      <c r="C150" s="191">
        <v>25</v>
      </c>
      <c r="D150" s="182">
        <f t="shared" si="10"/>
        <v>897.11538461538453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66</v>
      </c>
      <c r="B151" s="175">
        <f>'Données projet'!D144</f>
        <v>39.166666666666664</v>
      </c>
      <c r="C151" s="191">
        <v>35</v>
      </c>
      <c r="D151" s="182">
        <f t="shared" si="10"/>
        <v>1370.8333333333333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74</v>
      </c>
      <c r="B152" s="175">
        <f>'Données projet'!D145</f>
        <v>36.865384615384613</v>
      </c>
      <c r="C152" s="191">
        <v>35</v>
      </c>
      <c r="D152" s="182">
        <f t="shared" si="10"/>
        <v>1290.2884615384614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84</v>
      </c>
      <c r="B153" s="175">
        <f>'Données projet'!D146</f>
        <v>47.256410256410255</v>
      </c>
      <c r="C153" s="191">
        <v>35</v>
      </c>
      <c r="D153" s="182">
        <f t="shared" si="10"/>
        <v>1653.9743589743589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94</v>
      </c>
      <c r="B154" s="175">
        <f>'Données projet'!D147</f>
        <v>47.243589743589745</v>
      </c>
      <c r="C154" s="191">
        <v>40</v>
      </c>
      <c r="D154" s="182">
        <f t="shared" si="10"/>
        <v>1889.7435897435898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104</v>
      </c>
      <c r="B155" s="175">
        <f>'Données projet'!D148</f>
        <v>45.987179487179482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114</v>
      </c>
      <c r="B156" s="175">
        <f>'Données projet'!D149</f>
        <v>42.78846153846154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124</v>
      </c>
      <c r="B157" s="175">
        <f>'Données projet'!D150</f>
        <v>39.820512820512818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134</v>
      </c>
      <c r="B158" s="175">
        <f>'Données projet'!D151</f>
        <v>41.666666666666664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144</v>
      </c>
      <c r="B159" s="175">
        <f>'Données projet'!D152</f>
        <v>42.224358974358978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154</v>
      </c>
      <c r="B160" s="175">
        <f>'Données projet'!D153</f>
        <v>41.557692307692307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164</v>
      </c>
      <c r="B161" s="175">
        <f>'Données projet'!D154</f>
        <v>44.814102564102562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174</v>
      </c>
      <c r="B162" s="175">
        <f>'Données projet'!D155</f>
        <v>162.38461538461539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177</v>
      </c>
      <c r="B163" s="175">
        <f>'Données projet'!D156</f>
        <v>87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180</v>
      </c>
      <c r="B164" s="175">
        <f>'Données projet'!D157</f>
        <v>58.794871794871796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183</v>
      </c>
      <c r="B165" s="175">
        <f>'Données projet'!D158</f>
        <v>129.32692307692307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>Erable sycomore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15</v>
      </c>
      <c r="B178" s="181">
        <f>'Données projet'!D166</f>
        <v>15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20</v>
      </c>
      <c r="B179" s="181">
        <f>'Données projet'!D167</f>
        <v>28</v>
      </c>
      <c r="C179" s="193">
        <v>10</v>
      </c>
      <c r="D179" s="179">
        <f t="shared" ref="D179:D197" si="11">B179*C179</f>
        <v>280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25</v>
      </c>
      <c r="B180" s="181">
        <f>'Données projet'!D168</f>
        <v>28</v>
      </c>
      <c r="C180" s="193">
        <v>18</v>
      </c>
      <c r="D180" s="179">
        <f t="shared" si="11"/>
        <v>504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30</v>
      </c>
      <c r="B181" s="181">
        <f>'Données projet'!D169</f>
        <v>28</v>
      </c>
      <c r="C181" s="193">
        <v>25</v>
      </c>
      <c r="D181" s="179">
        <f t="shared" si="11"/>
        <v>700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35</v>
      </c>
      <c r="B182" s="181">
        <f>'Données projet'!D170</f>
        <v>28</v>
      </c>
      <c r="C182" s="193">
        <v>35</v>
      </c>
      <c r="D182" s="179">
        <f t="shared" si="11"/>
        <v>980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40</v>
      </c>
      <c r="B183" s="181">
        <f>'Données projet'!D171</f>
        <v>28</v>
      </c>
      <c r="C183" s="193">
        <v>40</v>
      </c>
      <c r="D183" s="179">
        <f t="shared" si="11"/>
        <v>1120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45</v>
      </c>
      <c r="B184" s="181">
        <f>'Données projet'!D172</f>
        <v>22</v>
      </c>
      <c r="C184" s="193">
        <v>45</v>
      </c>
      <c r="D184" s="179">
        <f t="shared" si="11"/>
        <v>990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50</v>
      </c>
      <c r="B185" s="181">
        <f>'Données projet'!D173</f>
        <v>17</v>
      </c>
      <c r="C185" s="193">
        <v>45</v>
      </c>
      <c r="D185" s="179">
        <f t="shared" si="11"/>
        <v>765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55</v>
      </c>
      <c r="B186" s="181">
        <f>'Données projet'!D174</f>
        <v>13</v>
      </c>
      <c r="C186" s="193">
        <v>56</v>
      </c>
      <c r="D186" s="179">
        <f t="shared" si="11"/>
        <v>728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60</v>
      </c>
      <c r="B187" s="181">
        <f>'Données projet'!D175</f>
        <v>12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65</v>
      </c>
      <c r="B188" s="181">
        <f>'Données projet'!D176</f>
        <v>11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70</v>
      </c>
      <c r="B189" s="181">
        <f>'Données projet'!D177</f>
        <v>10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75</v>
      </c>
      <c r="B190" s="181">
        <f>'Données projet'!D178</f>
        <v>9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80</v>
      </c>
      <c r="B191" s="181">
        <f>'Données projet'!D179</f>
        <v>8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>
        <v>10</v>
      </c>
      <c r="D209" s="179">
        <f>B209*C209</f>
        <v>0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>
        <v>10</v>
      </c>
      <c r="D210" s="179">
        <f t="shared" ref="D210:D228" si="12">B210*C210</f>
        <v>0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>
        <v>15</v>
      </c>
      <c r="D211" s="179">
        <f t="shared" si="12"/>
        <v>0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>
        <v>15</v>
      </c>
      <c r="D212" s="179">
        <f t="shared" si="12"/>
        <v>0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>
        <v>50</v>
      </c>
      <c r="D213" s="179">
        <f t="shared" si="12"/>
        <v>0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>
        <v>50</v>
      </c>
      <c r="D214" s="179">
        <f t="shared" si="12"/>
        <v>0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>
        <v>50</v>
      </c>
      <c r="D215" s="179">
        <f t="shared" si="12"/>
        <v>0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>
        <v>50</v>
      </c>
      <c r="D216" s="179">
        <f t="shared" si="12"/>
        <v>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>
        <v>50</v>
      </c>
      <c r="D217" s="179">
        <f t="shared" si="12"/>
        <v>0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>
        <v>50</v>
      </c>
      <c r="D218" s="179">
        <f t="shared" si="12"/>
        <v>0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>
        <v>50</v>
      </c>
      <c r="D219" s="179">
        <f t="shared" si="12"/>
        <v>0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>
        <v>50</v>
      </c>
      <c r="D220" s="179">
        <f t="shared" si="12"/>
        <v>0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>
        <v>50</v>
      </c>
      <c r="D221" s="179">
        <f t="shared" si="12"/>
        <v>0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>
        <v>50</v>
      </c>
      <c r="D222" s="179">
        <f t="shared" si="12"/>
        <v>0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A8F2AA3F-10E7-4E02-B8B7-3DCE0AD20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2025-10-04T08:28:03Z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