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COMITE DES FORETS/MONNERET Nicolas/07_Ardeche_Benoit LOISEAU_Cros-de-géorand_4,66_(Nicolas MONNERET)-La Besse/2.Dossier_LBC_déposé/"/>
    </mc:Choice>
  </mc:AlternateContent>
  <xr:revisionPtr revIDLastSave="4" documentId="13_ncr:1_{ADB4BAC1-DC5F-42AD-BEAE-54F05383A8D6}" xr6:coauthVersionLast="47" xr6:coauthVersionMax="47" xr10:uidLastSave="{BA894DD7-70D3-44FC-87C5-EB782FBD16E7}"/>
  <bookViews>
    <workbookView xWindow="-110" yWindow="-110" windowWidth="19420" windowHeight="1150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EV189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FD82" i="2" a="1"/>
  <c r="FD82" i="2" s="1"/>
  <c r="HJ202" i="2"/>
  <c r="AX200" i="2"/>
  <c r="BC151" i="2" l="1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6" i="2" l="1"/>
  <c r="CY200" i="2"/>
  <c r="CY103" i="2"/>
  <c r="CY134" i="2"/>
  <c r="CY138" i="2"/>
  <c r="CY196" i="2"/>
  <c r="CY175" i="2"/>
  <c r="CY80" i="2"/>
  <c r="CY33" i="2"/>
  <c r="CY24" i="2"/>
  <c r="CY43" i="2"/>
  <c r="CY168" i="2"/>
  <c r="CY157" i="2"/>
  <c r="CY56" i="2"/>
  <c r="CY77" i="2"/>
  <c r="CY37" i="2"/>
  <c r="CY201" i="2"/>
  <c r="CY83" i="2"/>
  <c r="CY9" i="2"/>
  <c r="CY113" i="2"/>
  <c r="CY172" i="2"/>
  <c r="CY93" i="2"/>
  <c r="CY42" i="2"/>
  <c r="CY132" i="2"/>
  <c r="CY174" i="2"/>
  <c r="CY102" i="2"/>
  <c r="CY116" i="2"/>
  <c r="CY59" i="2"/>
  <c r="CY96" i="2"/>
  <c r="CY82" i="2"/>
  <c r="CY111" i="2"/>
  <c r="CY66" i="2"/>
  <c r="CY112" i="2"/>
  <c r="CY192" i="2"/>
  <c r="CY39" i="2"/>
  <c r="CY25" i="2"/>
  <c r="CY73" i="2"/>
  <c r="CY117" i="2"/>
  <c r="CY29" i="2"/>
  <c r="CY28" i="2"/>
  <c r="CY166" i="2"/>
  <c r="CY182" i="2"/>
  <c r="CY203" i="2"/>
  <c r="CY190" i="2"/>
  <c r="CY162" i="2"/>
  <c r="CY16" i="2"/>
  <c r="CY67" i="2"/>
  <c r="CY35" i="2"/>
  <c r="CY199" i="2"/>
  <c r="CY131" i="2"/>
  <c r="CY104" i="2"/>
  <c r="CY20" i="2"/>
  <c r="CY150" i="2"/>
  <c r="CY15" i="2"/>
  <c r="CY194" i="2"/>
  <c r="CY119" i="2"/>
  <c r="CY158" i="2"/>
  <c r="CY109" i="2"/>
  <c r="CY145" i="2"/>
  <c r="CY198" i="2"/>
  <c r="CY3" i="2"/>
  <c r="C10" i="4" s="1"/>
  <c r="E10" i="4" s="1"/>
  <c r="F10" i="4" s="1"/>
  <c r="G10" i="4" s="1"/>
  <c r="L10" i="4" s="1"/>
  <c r="CY141" i="2"/>
  <c r="CY19" i="2"/>
  <c r="CY95" i="2"/>
  <c r="CY151" i="2"/>
  <c r="CY161" i="2"/>
  <c r="CY62" i="2"/>
  <c r="CY92" i="2"/>
  <c r="CY41" i="2"/>
  <c r="CY110" i="2"/>
  <c r="CY143" i="2"/>
  <c r="CY127" i="2"/>
  <c r="CY101" i="2"/>
  <c r="CY123" i="2"/>
  <c r="CY6" i="2"/>
  <c r="CY125" i="2"/>
  <c r="CY90" i="2"/>
  <c r="CY34" i="2"/>
  <c r="CY27" i="2"/>
  <c r="CY142" i="2"/>
  <c r="CY23" i="2"/>
  <c r="CY167" i="2"/>
  <c r="CY49" i="2"/>
  <c r="CY137" i="2"/>
  <c r="CY165" i="2"/>
  <c r="CY52" i="2"/>
  <c r="CY7" i="2"/>
  <c r="CY191" i="2"/>
  <c r="CY193" i="2"/>
  <c r="CY14" i="2"/>
  <c r="CY164" i="2"/>
  <c r="CY176" i="2"/>
  <c r="CY78" i="2"/>
  <c r="CY169" i="2"/>
  <c r="CY108" i="2"/>
  <c r="CY121" i="2"/>
  <c r="CY10" i="2"/>
  <c r="CY181" i="2"/>
  <c r="CY155" i="2"/>
  <c r="CY76" i="2"/>
  <c r="CY118" i="2"/>
  <c r="CY195" i="2"/>
  <c r="CY30" i="2"/>
  <c r="CY183" i="2"/>
  <c r="CY64" i="2"/>
  <c r="CY152" i="2"/>
  <c r="CY130" i="2"/>
  <c r="CY72" i="2"/>
  <c r="CY105" i="2"/>
  <c r="CY32" i="2"/>
  <c r="CY84" i="2"/>
  <c r="CY13" i="2"/>
  <c r="CY11" i="2"/>
  <c r="CY51" i="2"/>
  <c r="CY188" i="2"/>
  <c r="CY139" i="2"/>
  <c r="CY122" i="2"/>
  <c r="CY71" i="2"/>
  <c r="CY88" i="2"/>
  <c r="CY48" i="2"/>
  <c r="CY47" i="2"/>
  <c r="CY8" i="2"/>
  <c r="CY60" i="2"/>
  <c r="CY180" i="2"/>
  <c r="CY187" i="2"/>
  <c r="CY128" i="2"/>
  <c r="CY5" i="2"/>
  <c r="CY106" i="2"/>
  <c r="CY100" i="2"/>
  <c r="CY75" i="2"/>
  <c r="CY153" i="2"/>
  <c r="CY115" i="2"/>
  <c r="CY63" i="2"/>
  <c r="CY154" i="2"/>
  <c r="CY185" i="2"/>
  <c r="CY18" i="2"/>
  <c r="CY85" i="2"/>
  <c r="CY44" i="2"/>
  <c r="CY148" i="2"/>
  <c r="CY140" i="2"/>
  <c r="CY135" i="2"/>
  <c r="CY136" i="2"/>
  <c r="CY87" i="2"/>
  <c r="CY156" i="2"/>
  <c r="CY186" i="2"/>
  <c r="CY98" i="2"/>
  <c r="CY65" i="2"/>
  <c r="CY120" i="2"/>
  <c r="CY86" i="2"/>
  <c r="CY146" i="2"/>
  <c r="CY189" i="2"/>
  <c r="CY70" i="2"/>
  <c r="CY163" i="2"/>
  <c r="CY126" i="2"/>
  <c r="CY159" i="2"/>
  <c r="CY97" i="2"/>
  <c r="CY177" i="2"/>
  <c r="CY147" i="2"/>
  <c r="CY57" i="2"/>
  <c r="CY89" i="2"/>
  <c r="CY133" i="2"/>
  <c r="CY45" i="2"/>
  <c r="CY36" i="2"/>
  <c r="CY129" i="2"/>
  <c r="CY17" i="2"/>
  <c r="CY171" i="2"/>
  <c r="CY40" i="2"/>
  <c r="CY178" i="2"/>
  <c r="CY58" i="2"/>
  <c r="CY114" i="2"/>
  <c r="CY170" i="2"/>
  <c r="CY22" i="2"/>
  <c r="CY61" i="2"/>
  <c r="CY38" i="2"/>
  <c r="CY31" i="2"/>
  <c r="CY173" i="2"/>
  <c r="CY21" i="2"/>
  <c r="CY94" i="2"/>
  <c r="CY184" i="2"/>
  <c r="CY12" i="2"/>
  <c r="CY124" i="2"/>
  <c r="CY179" i="2"/>
  <c r="CY160" i="2"/>
  <c r="CY69" i="2"/>
  <c r="CY4" i="2"/>
  <c r="CY74" i="2"/>
  <c r="CY53" i="2"/>
  <c r="CY50" i="2"/>
  <c r="CY79" i="2"/>
  <c r="CY149" i="2"/>
  <c r="CY54" i="2"/>
  <c r="CY91" i="2"/>
  <c r="CY197" i="2"/>
  <c r="CY99" i="2"/>
  <c r="CY46" i="2"/>
  <c r="CY202" i="2"/>
  <c r="CY107" i="2"/>
  <c r="CY81" i="2"/>
  <c r="CY68" i="2"/>
  <c r="CY55" i="2"/>
  <c r="CY14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167" i="2" l="1"/>
  <c r="CD73" i="2"/>
  <c r="CD136" i="2"/>
  <c r="CD84" i="2"/>
  <c r="CD182" i="2"/>
  <c r="CD147" i="2"/>
  <c r="CD102" i="2"/>
  <c r="CD116" i="2"/>
  <c r="CD164" i="2"/>
  <c r="CD67" i="2"/>
  <c r="CD6" i="2"/>
  <c r="CD120" i="2"/>
  <c r="CD192" i="2"/>
  <c r="CD96" i="2"/>
  <c r="CD137" i="2"/>
  <c r="CD66" i="2"/>
  <c r="CD83" i="2"/>
  <c r="CD189" i="2"/>
  <c r="CD128" i="2"/>
  <c r="CD31" i="2"/>
  <c r="CD176" i="2"/>
  <c r="CD195" i="2"/>
  <c r="CD125" i="2"/>
  <c r="CD23" i="2"/>
  <c r="CD174" i="2"/>
  <c r="CD141" i="2"/>
  <c r="CD191" i="2"/>
  <c r="CD34" i="2"/>
  <c r="CD95" i="2"/>
  <c r="CD151" i="2"/>
  <c r="CD158" i="2"/>
  <c r="CD111" i="2"/>
  <c r="CD37" i="2"/>
  <c r="CD22" i="2"/>
  <c r="CD196" i="2"/>
  <c r="CD178" i="2"/>
  <c r="CD180" i="2"/>
  <c r="CD162" i="2"/>
  <c r="CD155" i="2"/>
  <c r="CD163" i="2"/>
  <c r="CD190" i="2"/>
  <c r="CD29" i="2"/>
  <c r="CD170" i="2"/>
  <c r="CD154" i="2"/>
  <c r="CD44" i="2"/>
  <c r="CD71" i="2"/>
  <c r="CD70" i="2"/>
  <c r="CD181" i="2"/>
  <c r="CD193" i="2"/>
  <c r="CD68" i="2"/>
  <c r="CD156" i="2"/>
  <c r="CD160" i="2"/>
  <c r="CD63" i="2"/>
  <c r="CD90" i="2"/>
  <c r="CD50" i="2"/>
  <c r="CD47" i="2"/>
  <c r="CD60" i="2"/>
  <c r="CD112" i="2"/>
  <c r="CD146" i="2"/>
  <c r="CD173" i="2"/>
  <c r="CD108" i="2"/>
  <c r="CD13" i="2"/>
  <c r="CD169" i="2"/>
  <c r="CD35" i="2"/>
  <c r="CD76" i="2"/>
  <c r="CD177" i="2"/>
  <c r="CD82" i="2"/>
  <c r="CD92" i="2"/>
  <c r="CD74" i="2"/>
  <c r="CD148" i="2"/>
  <c r="CD143" i="2"/>
  <c r="CD139" i="2"/>
  <c r="CD20" i="2"/>
  <c r="CD149" i="2"/>
  <c r="CD200" i="2"/>
  <c r="CD121" i="2"/>
  <c r="CD52" i="2"/>
  <c r="CD86" i="2"/>
  <c r="CD80" i="2"/>
  <c r="CD186" i="2"/>
  <c r="CD115" i="2"/>
  <c r="CD85" i="2"/>
  <c r="CD117" i="2"/>
  <c r="CD14" i="2"/>
  <c r="CD144" i="2"/>
  <c r="CD21" i="2"/>
  <c r="CD107" i="2"/>
  <c r="CD39" i="2"/>
  <c r="CD49" i="2"/>
  <c r="CD30" i="2"/>
  <c r="CD40" i="2"/>
  <c r="CD203" i="2"/>
  <c r="CD113" i="2"/>
  <c r="CD11" i="2"/>
  <c r="CD36" i="2"/>
  <c r="CD104" i="2"/>
  <c r="CD38" i="2"/>
  <c r="CD130" i="2"/>
  <c r="CD16" i="2"/>
  <c r="CD123" i="2"/>
  <c r="CD201" i="2"/>
  <c r="CD109" i="2"/>
  <c r="CD87" i="2"/>
  <c r="CD69" i="2"/>
  <c r="CD33" i="2"/>
  <c r="CD175" i="2"/>
  <c r="CD5" i="2"/>
  <c r="CD122" i="2"/>
  <c r="CD129" i="2"/>
  <c r="CD98" i="2"/>
  <c r="CD8" i="2"/>
  <c r="CD27" i="2"/>
  <c r="CD48" i="2"/>
  <c r="CD78" i="2"/>
  <c r="CD42" i="2"/>
  <c r="CD56" i="2"/>
  <c r="CD187" i="2"/>
  <c r="CD165" i="2"/>
  <c r="CD75" i="2"/>
  <c r="CD7" i="2"/>
  <c r="CD197" i="2"/>
  <c r="CD105" i="2"/>
  <c r="CD10" i="2"/>
  <c r="CD64" i="2"/>
  <c r="CD15" i="2"/>
  <c r="CD18" i="2"/>
  <c r="CD198" i="2"/>
  <c r="CD72" i="2"/>
  <c r="CD12" i="2"/>
  <c r="CD131" i="2"/>
  <c r="CD54" i="2"/>
  <c r="CD168" i="2"/>
  <c r="CD89" i="2"/>
  <c r="CD100" i="2"/>
  <c r="CD81" i="2"/>
  <c r="CD99" i="2"/>
  <c r="CD45" i="2"/>
  <c r="CD61" i="2"/>
  <c r="CD26" i="2"/>
  <c r="CD97" i="2"/>
  <c r="CD124" i="2"/>
  <c r="CD183" i="2"/>
  <c r="CD161" i="2"/>
  <c r="CD65" i="2"/>
  <c r="CD62" i="2"/>
  <c r="CD101" i="2"/>
  <c r="CD24" i="2"/>
  <c r="CD135" i="2"/>
  <c r="CD127" i="2"/>
  <c r="CD77" i="2"/>
  <c r="CD46" i="2"/>
  <c r="CD88" i="2"/>
  <c r="CD28" i="2"/>
  <c r="CD110" i="2"/>
  <c r="CD172" i="2"/>
  <c r="CD55" i="2"/>
  <c r="CD157" i="2"/>
  <c r="CD199" i="2"/>
  <c r="CD93" i="2"/>
  <c r="CD171" i="2"/>
  <c r="CD9" i="2"/>
  <c r="CD25" i="2"/>
  <c r="CD150" i="2"/>
  <c r="CD185" i="2"/>
  <c r="CD3" i="2"/>
  <c r="C9" i="4" s="1"/>
  <c r="E9" i="4" s="1"/>
  <c r="F9" i="4" s="1"/>
  <c r="G9" i="4" s="1"/>
  <c r="L9" i="4" s="1"/>
  <c r="CD53" i="2"/>
  <c r="CD4" i="2"/>
  <c r="CD133" i="2"/>
  <c r="CD202" i="2"/>
  <c r="CD94" i="2"/>
  <c r="CD118" i="2"/>
  <c r="CD166" i="2"/>
  <c r="CD153" i="2"/>
  <c r="CD106" i="2"/>
  <c r="CD188" i="2"/>
  <c r="CD19" i="2"/>
  <c r="CD184" i="2"/>
  <c r="CD119" i="2"/>
  <c r="CD59" i="2"/>
  <c r="CD126" i="2"/>
  <c r="CD142" i="2"/>
  <c r="CD152" i="2"/>
  <c r="CD159" i="2"/>
  <c r="CD57" i="2"/>
  <c r="CD138" i="2"/>
  <c r="CD51" i="2"/>
  <c r="CD134" i="2"/>
  <c r="CD140" i="2"/>
  <c r="CD79" i="2"/>
  <c r="CD179" i="2"/>
  <c r="CD114" i="2"/>
  <c r="CD58" i="2"/>
  <c r="CD43" i="2"/>
  <c r="CD103" i="2"/>
  <c r="CD145" i="2"/>
  <c r="CD91" i="2"/>
  <c r="CD41" i="2"/>
  <c r="CD132" i="2"/>
  <c r="CD32" i="2"/>
  <c r="CD17" i="2"/>
  <c r="CD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<sst xmlns="http://schemas.openxmlformats.org/spreadsheetml/2006/main" count="1176" uniqueCount="325">
  <si>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</si>
  <si>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</si>
  <si>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</si>
  <si>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</si>
  <si>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</si>
  <si>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</si>
  <si>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</si>
  <si>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</si>
  <si>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</si>
  <si>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</si>
  <si>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</si>
  <si>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</si>
  <si>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</si>
  <si>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</si>
  <si>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</si>
  <si>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</si>
  <si>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</si>
  <si>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</si>
  <si>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</si>
  <si>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Sapin de Nordmann</t>
  </si>
  <si>
    <t>Essence 3</t>
  </si>
  <si>
    <t>Cèdre de l'Atlas</t>
  </si>
  <si>
    <t>Essence 4</t>
  </si>
  <si>
    <t>Pin laricio</t>
  </si>
  <si>
    <t>Essence 5</t>
  </si>
  <si>
    <t>Erable sycomore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</si>
  <si>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</si>
  <si>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</si>
  <si>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</si>
  <si>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</si>
  <si>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</si>
  <si>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</si>
  <si>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</si>
  <si>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</si>
  <si>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</si>
  <si>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</si>
  <si>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</si>
  <si>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</si>
  <si>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</si>
  <si>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</si>
  <si>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</si>
  <si>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</si>
  <si>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</si>
  <si>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</si>
  <si>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</si>
  <si>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</si>
  <si>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</si>
  <si>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</si>
  <si>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</si>
  <si>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</si>
  <si>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</si>
  <si>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</si>
  <si>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</si>
  <si>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</si>
  <si>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</si>
  <si>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</si>
  <si>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</si>
  <si>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</si>
  <si>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na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</si>
  <si>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</si>
  <si>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</si>
  <si>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</si>
  <si>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</si>
  <si>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</si>
  <si>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</si>
  <si>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</si>
  <si>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</si>
  <si>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</si>
  <si>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</si>
  <si>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</si>
  <si>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</si>
  <si>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</si>
  <si>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</si>
  <si>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commun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</si>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</sst>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1.9203140204213316</c:v>
                </c:pt>
                <c:pt idx="2">
                  <c:v>2.5373503253048804</c:v>
                </c:pt>
                <c:pt idx="3">
                  <c:v>3.3534746967259621</c:v>
                </c:pt>
                <c:pt idx="4">
                  <c:v>4.4331733568356464</c:v>
                </c:pt>
                <c:pt idx="5">
                  <c:v>5.8618959086463436</c:v>
                </c:pt>
                <c:pt idx="6">
                  <c:v>7.7528930524348363</c:v>
                </c:pt>
                <c:pt idx="7">
                  <c:v>10.256291470438329</c:v>
                </c:pt>
                <c:pt idx="8">
                  <c:v>13.571139900733398</c:v>
                </c:pt>
                <c:pt idx="9">
                  <c:v>17.961401871893774</c:v>
                </c:pt>
                <c:pt idx="10">
                  <c:v>23.777191627870639</c:v>
                </c:pt>
                <c:pt idx="11">
                  <c:v>31.482976738898202</c:v>
                </c:pt>
                <c:pt idx="12">
                  <c:v>41.695038776362409</c:v>
                </c:pt>
                <c:pt idx="13">
                  <c:v>55.231238827136707</c:v>
                </c:pt>
                <c:pt idx="14">
                  <c:v>73.177139572871184</c:v>
                </c:pt>
                <c:pt idx="15">
                  <c:v>96.97387275850123</c:v>
                </c:pt>
                <c:pt idx="16">
                  <c:v>128.53492010151578</c:v>
                </c:pt>
                <c:pt idx="17">
                  <c:v>170.40134350425296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353.21192910385736</c:v>
                </c:pt>
                <c:pt idx="32">
                  <c:v>380.48929393712291</c:v>
                </c:pt>
                <c:pt idx="33">
                  <c:v>407.72413216850504</c:v>
                </c:pt>
                <c:pt idx="34">
                  <c:v>434.91968079517784</c:v>
                </c:pt>
                <c:pt idx="35">
                  <c:v>462.07873925701483</c:v>
                </c:pt>
                <c:pt idx="36">
                  <c:v>489.20375134717256</c:v>
                </c:pt>
                <c:pt idx="37">
                  <c:v>433.59961838636042</c:v>
                </c:pt>
                <c:pt idx="38">
                  <c:v>460.20839311111928</c:v>
                </c:pt>
                <c:pt idx="39">
                  <c:v>486.78434108389075</c:v>
                </c:pt>
                <c:pt idx="40">
                  <c:v>513.32950438861235</c:v>
                </c:pt>
                <c:pt idx="41">
                  <c:v>539.8456968976792</c:v>
                </c:pt>
                <c:pt idx="42">
                  <c:v>566.33453995655509</c:v>
                </c:pt>
                <c:pt idx="43">
                  <c:v>505.1294376134187</c:v>
                </c:pt>
                <c:pt idx="44">
                  <c:v>530.71596265986352</c:v>
                </c:pt>
                <c:pt idx="45">
                  <c:v>556.27653997817106</c:v>
                </c:pt>
                <c:pt idx="46">
                  <c:v>581.81252811346246</c:v>
                </c:pt>
                <c:pt idx="47">
                  <c:v>607.32515676835726</c:v>
                </c:pt>
                <c:pt idx="48">
                  <c:v>632.81554402908364</c:v>
                </c:pt>
                <c:pt idx="49">
                  <c:v>561.06523629540254</c:v>
                </c:pt>
                <c:pt idx="50">
                  <c:v>585.27746751979453</c:v>
                </c:pt>
                <c:pt idx="51">
                  <c:v>609.46883490395464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681.92681087155927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1.4748177318488436</c:v>
                </c:pt>
                <c:pt idx="2">
                  <c:v>1.7289539714329194</c:v>
                </c:pt>
                <c:pt idx="3">
                  <c:v>2.0270469801463453</c:v>
                </c:pt>
                <c:pt idx="4">
                  <c:v>2.376726781159554</c:v>
                </c:pt>
                <c:pt idx="5">
                  <c:v>2.7869522342103199</c:v>
                </c:pt>
                <c:pt idx="6">
                  <c:v>3.2682431833643211</c:v>
                </c:pt>
                <c:pt idx="7">
                  <c:v>3.8329532776784916</c:v>
                </c:pt>
                <c:pt idx="8">
                  <c:v>4.4955906096454035</c:v>
                </c:pt>
                <c:pt idx="9">
                  <c:v>5.2731945744600655</c:v>
                </c:pt>
                <c:pt idx="10">
                  <c:v>6.1857788333574542</c:v>
                </c:pt>
                <c:pt idx="11">
                  <c:v>7.256852005785114</c:v>
                </c:pt>
                <c:pt idx="12">
                  <c:v>8.5140297642220943</c:v>
                </c:pt>
                <c:pt idx="13">
                  <c:v>9.9897544164453134</c:v>
                </c:pt>
                <c:pt idx="14">
                  <c:v>11.722140897033571</c:v>
                </c:pt>
                <c:pt idx="15">
                  <c:v>13.755971428300681</c:v>
                </c:pt>
                <c:pt idx="16">
                  <c:v>16.143865039447505</c:v>
                </c:pt>
                <c:pt idx="17">
                  <c:v>18.947652756052111</c:v>
                </c:pt>
                <c:pt idx="18">
                  <c:v>22.239994713155017</c:v>
                </c:pt>
                <c:pt idx="19">
                  <c:v>26.106281849061883</c:v>
                </c:pt>
                <c:pt idx="20">
                  <c:v>30.64687237421867</c:v>
                </c:pt>
                <c:pt idx="21">
                  <c:v>35.979722081046127</c:v>
                </c:pt>
                <c:pt idx="22">
                  <c:v>42.243478003064588</c:v>
                </c:pt>
                <c:pt idx="23">
                  <c:v>49.601117223628584</c:v>
                </c:pt>
                <c:pt idx="24">
                  <c:v>58.244227104255721</c:v>
                </c:pt>
                <c:pt idx="25">
                  <c:v>68.398040236305633</c:v>
                </c:pt>
                <c:pt idx="26">
                  <c:v>80.327357472745945</c:v>
                </c:pt>
                <c:pt idx="27">
                  <c:v>94.343516004932141</c:v>
                </c:pt>
                <c:pt idx="28">
                  <c:v>110.81258724401005</c:v>
                </c:pt>
                <c:pt idx="29">
                  <c:v>130.16502199126461</c:v>
                </c:pt>
                <c:pt idx="30">
                  <c:v>152.90699891226109</c:v>
                </c:pt>
                <c:pt idx="31">
                  <c:v>166.91971359923977</c:v>
                </c:pt>
                <c:pt idx="32">
                  <c:v>180.90467320970151</c:v>
                </c:pt>
                <c:pt idx="33">
                  <c:v>194.86432677214381</c:v>
                </c:pt>
                <c:pt idx="34">
                  <c:v>208.8007433421748</c:v>
                </c:pt>
                <c:pt idx="35">
                  <c:v>222.71569294180776</c:v>
                </c:pt>
                <c:pt idx="36">
                  <c:v>236.6107061685901</c:v>
                </c:pt>
                <c:pt idx="37">
                  <c:v>250.48711904466168</c:v>
                </c:pt>
                <c:pt idx="38">
                  <c:v>264.346107392813</c:v>
                </c:pt>
                <c:pt idx="39">
                  <c:v>278.18871361739491</c:v>
                </c:pt>
                <c:pt idx="40">
                  <c:v>292.01586787038946</c:v>
                </c:pt>
                <c:pt idx="41">
                  <c:v>305.82840499541857</c:v>
                </c:pt>
                <c:pt idx="42">
                  <c:v>319.62707824842295</c:v>
                </c:pt>
                <c:pt idx="43">
                  <c:v>333.41257052371992</c:v>
                </c:pt>
                <c:pt idx="44">
                  <c:v>347.18550362548439</c:v>
                </c:pt>
                <c:pt idx="45">
                  <c:v>360.94644599058137</c:v>
                </c:pt>
                <c:pt idx="46">
                  <c:v>229.71643786457904</c:v>
                </c:pt>
                <c:pt idx="47">
                  <c:v>249.37486388405125</c:v>
                </c:pt>
                <c:pt idx="48">
                  <c:v>268.99814455417459</c:v>
                </c:pt>
                <c:pt idx="49">
                  <c:v>288.589203789191</c:v>
                </c:pt>
                <c:pt idx="50">
                  <c:v>308.15053601388632</c:v>
                </c:pt>
                <c:pt idx="51">
                  <c:v>327.68429308774313</c:v>
                </c:pt>
                <c:pt idx="52">
                  <c:v>347.19234939580679</c:v>
                </c:pt>
                <c:pt idx="53">
                  <c:v>288.05892260979687</c:v>
                </c:pt>
                <c:pt idx="54">
                  <c:v>306.6355074882436</c:v>
                </c:pt>
                <c:pt idx="55">
                  <c:v>325.18708875938125</c:v>
                </c:pt>
                <c:pt idx="56">
                  <c:v>343.71529309565295</c:v>
                </c:pt>
                <c:pt idx="57">
                  <c:v>362.22155750592384</c:v>
                </c:pt>
                <c:pt idx="58">
                  <c:v>380.70716021131807</c:v>
                </c:pt>
                <c:pt idx="59">
                  <c:v>399.17324520898501</c:v>
                </c:pt>
                <c:pt idx="60">
                  <c:v>320.16201314585516</c:v>
                </c:pt>
                <c:pt idx="61">
                  <c:v>337.53683731577331</c:v>
                </c:pt>
                <c:pt idx="62">
                  <c:v>354.89197938756121</c:v>
                </c:pt>
                <c:pt idx="63">
                  <c:v>372.22853705824832</c:v>
                </c:pt>
                <c:pt idx="64">
                  <c:v>389.54749745046519</c:v>
                </c:pt>
                <c:pt idx="65">
                  <c:v>406.84975277377885</c:v>
                </c:pt>
                <c:pt idx="66">
                  <c:v>424.13611318257432</c:v>
                </c:pt>
                <c:pt idx="67">
                  <c:v>441.4073174283929</c:v>
                </c:pt>
                <c:pt idx="68">
                  <c:v>363.07524108623051</c:v>
                </c:pt>
                <c:pt idx="69">
                  <c:v>379.04544268349576</c:v>
                </c:pt>
                <c:pt idx="70">
                  <c:v>395.00100627309695</c:v>
                </c:pt>
                <c:pt idx="71">
                  <c:v>410.94260624827592</c:v>
                </c:pt>
                <c:pt idx="72">
                  <c:v>426.87086042174269</c:v>
                </c:pt>
                <c:pt idx="73">
                  <c:v>442.78633675066527</c:v>
                </c:pt>
                <c:pt idx="74">
                  <c:v>458.68955904443175</c:v>
                </c:pt>
                <c:pt idx="75">
                  <c:v>474.58101183969393</c:v>
                </c:pt>
                <c:pt idx="76">
                  <c:v>400.28653540623282</c:v>
                </c:pt>
                <c:pt idx="77">
                  <c:v>414.80442940142228</c:v>
                </c:pt>
                <c:pt idx="78">
                  <c:v>429.31136790245745</c:v>
                </c:pt>
                <c:pt idx="79">
                  <c:v>443.80777318692088</c:v>
                </c:pt>
                <c:pt idx="80">
                  <c:v>458.29403770079534</c:v>
                </c:pt>
                <c:pt idx="81">
                  <c:v>472.77052706192467</c:v>
                </c:pt>
                <c:pt idx="82">
                  <c:v>487.2375826764906</c:v>
                </c:pt>
                <c:pt idx="83">
                  <c:v>501.6955240286124</c:v>
                </c:pt>
                <c:pt idx="84">
                  <c:v>421.57993154100728</c:v>
                </c:pt>
                <c:pt idx="85">
                  <c:v>434.561922330345</c:v>
                </c:pt>
                <c:pt idx="86">
                  <c:v>447.53558972317654</c:v>
                </c:pt>
                <c:pt idx="87">
                  <c:v>460.50120898923547</c:v>
                </c:pt>
                <c:pt idx="88">
                  <c:v>473.45903863446557</c:v>
                </c:pt>
                <c:pt idx="89">
                  <c:v>486.40932186243845</c:v>
                </c:pt>
                <c:pt idx="90">
                  <c:v>499.35228787204784</c:v>
                </c:pt>
                <c:pt idx="91">
                  <c:v>512.2881530136782</c:v>
                </c:pt>
                <c:pt idx="92">
                  <c:v>434.20426376692723</c:v>
                </c:pt>
                <c:pt idx="93">
                  <c:v>445.79942948389657</c:v>
                </c:pt>
                <c:pt idx="94">
                  <c:v>457.38813875389616</c:v>
                </c:pt>
                <c:pt idx="95">
                  <c:v>468.97057822625248</c:v>
                </c:pt>
                <c:pt idx="96">
                  <c:v>480.54692457839491</c:v>
                </c:pt>
                <c:pt idx="97">
                  <c:v>492.11734528109758</c:v>
                </c:pt>
                <c:pt idx="98">
                  <c:v>503.68199928801096</c:v>
                </c:pt>
                <c:pt idx="99">
                  <c:v>515.24103765857387</c:v>
                </c:pt>
                <c:pt idx="100">
                  <c:v>454.63192844444603</c:v>
                </c:pt>
                <c:pt idx="101">
                  <c:v>465.09344413598291</c:v>
                </c:pt>
                <c:pt idx="102">
                  <c:v>475.54994326350499</c:v>
                </c:pt>
                <c:pt idx="103">
                  <c:v>486.00155169620848</c:v>
                </c:pt>
                <c:pt idx="104">
                  <c:v>496.44838944742787</c:v>
                </c:pt>
                <c:pt idx="105">
                  <c:v>506.89057106719474</c:v>
                </c:pt>
                <c:pt idx="106">
                  <c:v>517.32820600076684</c:v>
                </c:pt>
                <c:pt idx="107">
                  <c:v>527.76139891671835</c:v>
                </c:pt>
                <c:pt idx="108">
                  <c:v>459.33315168661989</c:v>
                </c:pt>
                <c:pt idx="109">
                  <c:v>468.67584940877867</c:v>
                </c:pt>
                <c:pt idx="110">
                  <c:v>478.0145796908896</c:v>
                </c:pt>
                <c:pt idx="111">
                  <c:v>487.34943099036133</c:v>
                </c:pt>
                <c:pt idx="112">
                  <c:v>496.68048809875626</c:v>
                </c:pt>
                <c:pt idx="113">
                  <c:v>506.00783236120947</c:v>
                </c:pt>
                <c:pt idx="114">
                  <c:v>515.33154187882485</c:v>
                </c:pt>
                <c:pt idx="115">
                  <c:v>524.65169169566263</c:v>
                </c:pt>
                <c:pt idx="116">
                  <c:v>533.96835397174539</c:v>
                </c:pt>
                <c:pt idx="117">
                  <c:v>462.63303413518059</c:v>
                </c:pt>
                <c:pt idx="118">
                  <c:v>470.88621946075403</c:v>
                </c:pt>
                <c:pt idx="119">
                  <c:v>479.13632460961099</c:v>
                </c:pt>
                <c:pt idx="120">
                  <c:v>487.38341011703619</c:v>
                </c:pt>
                <c:pt idx="121">
                  <c:v>495.62753430184802</c:v>
                </c:pt>
                <c:pt idx="122">
                  <c:v>503.8687533838725</c:v>
                </c:pt>
                <c:pt idx="123">
                  <c:v>512.10712159333013</c:v>
                </c:pt>
                <c:pt idx="124">
                  <c:v>520.3426912728155</c:v>
                </c:pt>
                <c:pt idx="125">
                  <c:v>528.57551297248528</c:v>
                </c:pt>
                <c:pt idx="126">
                  <c:v>468.41512447022973</c:v>
                </c:pt>
                <c:pt idx="127">
                  <c:v>475.81625038458623</c:v>
                </c:pt>
                <c:pt idx="128">
                  <c:v>483.21492743462454</c:v>
                </c:pt>
                <c:pt idx="129">
                  <c:v>490.61119842110884</c:v>
                </c:pt>
                <c:pt idx="130">
                  <c:v>498.00510474847943</c:v>
                </c:pt>
                <c:pt idx="131">
                  <c:v>505.39668649091499</c:v>
                </c:pt>
                <c:pt idx="132">
                  <c:v>512.78598245432693</c:v>
                </c:pt>
                <c:pt idx="133">
                  <c:v>520.17303023459442</c:v>
                </c:pt>
                <c:pt idx="134">
                  <c:v>527.5578662723168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165.4594931344069</c:v>
                </c:pt>
                <c:pt idx="32">
                  <c:v>177.0782356697724</c:v>
                </c:pt>
                <c:pt idx="33">
                  <c:v>188.6790972060131</c:v>
                </c:pt>
                <c:pt idx="34">
                  <c:v>200.2633328946263</c:v>
                </c:pt>
                <c:pt idx="35">
                  <c:v>211.83204065745056</c:v>
                </c:pt>
                <c:pt idx="36">
                  <c:v>223.38618858142613</c:v>
                </c:pt>
                <c:pt idx="37">
                  <c:v>234.92663633985001</c:v>
                </c:pt>
                <c:pt idx="38">
                  <c:v>246.45415217825635</c:v>
                </c:pt>
                <c:pt idx="39">
                  <c:v>257.96942655211097</c:v>
                </c:pt>
                <c:pt idx="40">
                  <c:v>269.47308319939998</c:v>
                </c:pt>
                <c:pt idx="41">
                  <c:v>280.96568822175709</c:v>
                </c:pt>
                <c:pt idx="42">
                  <c:v>292.44775760079426</c:v>
                </c:pt>
                <c:pt idx="43">
                  <c:v>303.91976347139087</c:v>
                </c:pt>
                <c:pt idx="44">
                  <c:v>315.38213939764222</c:v>
                </c:pt>
                <c:pt idx="45">
                  <c:v>326.83528484125645</c:v>
                </c:pt>
                <c:pt idx="46">
                  <c:v>338.2795689705585</c:v>
                </c:pt>
                <c:pt idx="47">
                  <c:v>349.71533392687957</c:v>
                </c:pt>
                <c:pt idx="48">
                  <c:v>361.14289764121116</c:v>
                </c:pt>
                <c:pt idx="49">
                  <c:v>372.56255627561069</c:v>
                </c:pt>
                <c:pt idx="50">
                  <c:v>383.97458634955802</c:v>
                </c:pt>
                <c:pt idx="51">
                  <c:v>395.37924660026198</c:v>
                </c:pt>
                <c:pt idx="52">
                  <c:v>236.15567000087893</c:v>
                </c:pt>
                <c:pt idx="53">
                  <c:v>247.40720442634384</c:v>
                </c:pt>
                <c:pt idx="54">
                  <c:v>258.64712580976141</c:v>
                </c:pt>
                <c:pt idx="55">
                  <c:v>269.87601023001861</c:v>
                </c:pt>
                <c:pt idx="56">
                  <c:v>281.09438188143378</c:v>
                </c:pt>
                <c:pt idx="57">
                  <c:v>292.30271967558332</c:v>
                </c:pt>
                <c:pt idx="58">
                  <c:v>303.50146277682819</c:v>
                </c:pt>
                <c:pt idx="59">
                  <c:v>314.69101527756692</c:v>
                </c:pt>
                <c:pt idx="60">
                  <c:v>325.87175017337614</c:v>
                </c:pt>
                <c:pt idx="61">
                  <c:v>337.04401276379798</c:v>
                </c:pt>
                <c:pt idx="62">
                  <c:v>252.35841209837443</c:v>
                </c:pt>
                <c:pt idx="63">
                  <c:v>262.73284691865422</c:v>
                </c:pt>
                <c:pt idx="64">
                  <c:v>273.09803939468708</c:v>
                </c:pt>
                <c:pt idx="65">
                  <c:v>283.45438999358527</c:v>
                </c:pt>
                <c:pt idx="66">
                  <c:v>293.80226750956672</c:v>
                </c:pt>
                <c:pt idx="67">
                  <c:v>304.14201262042326</c:v>
                </c:pt>
                <c:pt idx="68">
                  <c:v>314.47394093474514</c:v>
                </c:pt>
                <c:pt idx="69">
                  <c:v>324.79834561750624</c:v>
                </c:pt>
                <c:pt idx="70">
                  <c:v>335.11549966417408</c:v>
                </c:pt>
                <c:pt idx="71">
                  <c:v>345.42565787999462</c:v>
                </c:pt>
                <c:pt idx="72">
                  <c:v>355.72905861051368</c:v>
                </c:pt>
                <c:pt idx="73">
                  <c:v>366.02592526105212</c:v>
                </c:pt>
                <c:pt idx="74">
                  <c:v>281.90576500782794</c:v>
                </c:pt>
                <c:pt idx="75">
                  <c:v>291.46151941530667</c:v>
                </c:pt>
                <c:pt idx="76">
                  <c:v>301.0102774284689</c:v>
                </c:pt>
                <c:pt idx="77">
                  <c:v>310.55229243957859</c:v>
                </c:pt>
                <c:pt idx="78">
                  <c:v>320.08780098731637</c:v>
                </c:pt>
                <c:pt idx="79">
                  <c:v>329.6170243573369</c:v>
                </c:pt>
                <c:pt idx="80">
                  <c:v>339.14016998796109</c:v>
                </c:pt>
                <c:pt idx="81">
                  <c:v>348.65743270964526</c:v>
                </c:pt>
                <c:pt idx="82">
                  <c:v>358.16899584197989</c:v>
                </c:pt>
                <c:pt idx="83">
                  <c:v>367.67503216802317</c:v>
                </c:pt>
                <c:pt idx="84">
                  <c:v>377.17570480256546</c:v>
                </c:pt>
                <c:pt idx="85">
                  <c:v>386.67116796831215</c:v>
                </c:pt>
                <c:pt idx="86">
                  <c:v>310.25502677283174</c:v>
                </c:pt>
                <c:pt idx="87">
                  <c:v>318.98740593712301</c:v>
                </c:pt>
                <c:pt idx="88">
                  <c:v>327.71449394580162</c:v>
                </c:pt>
                <c:pt idx="89">
                  <c:v>336.4364516795992</c:v>
                </c:pt>
                <c:pt idx="90">
                  <c:v>345.15343099079388</c:v>
                </c:pt>
                <c:pt idx="91">
                  <c:v>353.86557543008075</c:v>
                </c:pt>
                <c:pt idx="92">
                  <c:v>362.57302089808604</c:v>
                </c:pt>
                <c:pt idx="93">
                  <c:v>371.27589623099493</c:v>
                </c:pt>
                <c:pt idx="94">
                  <c:v>379.97432372837642</c:v>
                </c:pt>
                <c:pt idx="95">
                  <c:v>388.66841963013439</c:v>
                </c:pt>
                <c:pt idx="96">
                  <c:v>397.35829454853587</c:v>
                </c:pt>
                <c:pt idx="97">
                  <c:v>406.04405386046182</c:v>
                </c:pt>
                <c:pt idx="98">
                  <c:v>334.41940603910456</c:v>
                </c:pt>
                <c:pt idx="99">
                  <c:v>342.29956794326159</c:v>
                </c:pt>
                <c:pt idx="100">
                  <c:v>350.17574235487018</c:v>
                </c:pt>
                <c:pt idx="101">
                  <c:v>358.04803168316045</c:v>
                </c:pt>
                <c:pt idx="102">
                  <c:v>365.91653346305492</c:v>
                </c:pt>
                <c:pt idx="103">
                  <c:v>373.78134068929762</c:v>
                </c:pt>
                <c:pt idx="104">
                  <c:v>381.64254212098064</c:v>
                </c:pt>
                <c:pt idx="105">
                  <c:v>389.50022255965672</c:v>
                </c:pt>
                <c:pt idx="106">
                  <c:v>397.35446310382684</c:v>
                </c:pt>
                <c:pt idx="107">
                  <c:v>405.20534138224889</c:v>
                </c:pt>
                <c:pt idx="108">
                  <c:v>413.05293176821243</c:v>
                </c:pt>
                <c:pt idx="109">
                  <c:v>420.89730557667417</c:v>
                </c:pt>
                <c:pt idx="110">
                  <c:v>347.55719193287587</c:v>
                </c:pt>
                <c:pt idx="111">
                  <c:v>354.63762505887615</c:v>
                </c:pt>
                <c:pt idx="112">
                  <c:v>361.71496177810815</c:v>
                </c:pt>
                <c:pt idx="113">
                  <c:v>368.78927127529045</c:v>
                </c:pt>
                <c:pt idx="114">
                  <c:v>375.86061986197745</c:v>
                </c:pt>
                <c:pt idx="115">
                  <c:v>382.92907114888618</c:v>
                </c:pt>
                <c:pt idx="116">
                  <c:v>389.99468620482725</c:v>
                </c:pt>
                <c:pt idx="117">
                  <c:v>397.05752370351092</c:v>
                </c:pt>
                <c:pt idx="118">
                  <c:v>404.11764005935697</c:v>
                </c:pt>
                <c:pt idx="119">
                  <c:v>411.17508955331436</c:v>
                </c:pt>
                <c:pt idx="120">
                  <c:v>418.2299244495868</c:v>
                </c:pt>
                <c:pt idx="121">
                  <c:v>425.28219510406871</c:v>
                </c:pt>
                <c:pt idx="122">
                  <c:v>222.90571332852667</c:v>
                </c:pt>
                <c:pt idx="123">
                  <c:v>227.8575926467731</c:v>
                </c:pt>
                <c:pt idx="124">
                  <c:v>232.80700909260065</c:v>
                </c:pt>
                <c:pt idx="125">
                  <c:v>237.75402251395406</c:v>
                </c:pt>
                <c:pt idx="126">
                  <c:v>242.69869006033142</c:v>
                </c:pt>
                <c:pt idx="127">
                  <c:v>247.64106635821645</c:v>
                </c:pt>
                <c:pt idx="128">
                  <c:v>252.58120367175192</c:v>
                </c:pt>
                <c:pt idx="129">
                  <c:v>257.51915205016786</c:v>
                </c:pt>
                <c:pt idx="130">
                  <c:v>262.4549594632943</c:v>
                </c:pt>
                <c:pt idx="131">
                  <c:v>267.3886719263333</c:v>
                </c:pt>
                <c:pt idx="132">
                  <c:v>1.2386324814023317E-11</c:v>
                </c:pt>
                <c:pt idx="133">
                  <c:v>1.2386324814023317E-11</c:v>
                </c:pt>
                <c:pt idx="134">
                  <c:v>1.2386324814023317E-11</c:v>
                </c:pt>
                <c:pt idx="135">
                  <c:v>1.2386324814023317E-11</c:v>
                </c:pt>
                <c:pt idx="136">
                  <c:v>1.2386324814023317E-11</c:v>
                </c:pt>
                <c:pt idx="137">
                  <c:v>1.2386324814023317E-11</c:v>
                </c:pt>
                <c:pt idx="138">
                  <c:v>1.2386324814023317E-11</c:v>
                </c:pt>
                <c:pt idx="139">
                  <c:v>1.2386324814023317E-11</c:v>
                </c:pt>
                <c:pt idx="140">
                  <c:v>1.2386324814023317E-11</c:v>
                </c:pt>
                <c:pt idx="141">
                  <c:v>1.2386324814023317E-11</c:v>
                </c:pt>
                <c:pt idx="142">
                  <c:v>1.2386324814023317E-11</c:v>
                </c:pt>
                <c:pt idx="143">
                  <c:v>1.2386324814023317E-11</c:v>
                </c:pt>
                <c:pt idx="144">
                  <c:v>1.2386324814023317E-11</c:v>
                </c:pt>
                <c:pt idx="145">
                  <c:v>1.2386324814023317E-11</c:v>
                </c:pt>
                <c:pt idx="146">
                  <c:v>1.2386324814023317E-11</c:v>
                </c:pt>
                <c:pt idx="147">
                  <c:v>1.2386324814023317E-11</c:v>
                </c:pt>
                <c:pt idx="148">
                  <c:v>1.2386324814023317E-11</c:v>
                </c:pt>
                <c:pt idx="149">
                  <c:v>1.2386324814023317E-11</c:v>
                </c:pt>
                <c:pt idx="150">
                  <c:v>1.2386324814023317E-11</c:v>
                </c:pt>
                <c:pt idx="151">
                  <c:v>1.2386324814023317E-11</c:v>
                </c:pt>
                <c:pt idx="152">
                  <c:v>1.2386324814023317E-11</c:v>
                </c:pt>
                <c:pt idx="153">
                  <c:v>1.2386324814023317E-11</c:v>
                </c:pt>
                <c:pt idx="154">
                  <c:v>1.2386324814023317E-11</c:v>
                </c:pt>
                <c:pt idx="155">
                  <c:v>1.2386324814023317E-11</c:v>
                </c:pt>
                <c:pt idx="156">
                  <c:v>1.2386324814023317E-11</c:v>
                </c:pt>
                <c:pt idx="157">
                  <c:v>1.2386324814023317E-11</c:v>
                </c:pt>
                <c:pt idx="158">
                  <c:v>1.2386324814023317E-11</c:v>
                </c:pt>
                <c:pt idx="159">
                  <c:v>1.2386324814023317E-11</c:v>
                </c:pt>
                <c:pt idx="160">
                  <c:v>1.2386324814023317E-11</c:v>
                </c:pt>
                <c:pt idx="161">
                  <c:v>1.2386324814023317E-11</c:v>
                </c:pt>
                <c:pt idx="162">
                  <c:v>1.2386324814023317E-11</c:v>
                </c:pt>
                <c:pt idx="163">
                  <c:v>1.2386324814023317E-11</c:v>
                </c:pt>
                <c:pt idx="164">
                  <c:v>1.2386324814023317E-11</c:v>
                </c:pt>
                <c:pt idx="165">
                  <c:v>1.2386324814023317E-11</c:v>
                </c:pt>
                <c:pt idx="166">
                  <c:v>1.2386324814023317E-11</c:v>
                </c:pt>
                <c:pt idx="167">
                  <c:v>1.2386324814023317E-11</c:v>
                </c:pt>
                <c:pt idx="168">
                  <c:v>1.2386324814023317E-11</c:v>
                </c:pt>
                <c:pt idx="169">
                  <c:v>1.2386324814023317E-11</c:v>
                </c:pt>
                <c:pt idx="170">
                  <c:v>1.2386324814023317E-11</c:v>
                </c:pt>
                <c:pt idx="171">
                  <c:v>1.2386324814023317E-11</c:v>
                </c:pt>
                <c:pt idx="172">
                  <c:v>1.2386324814023317E-11</c:v>
                </c:pt>
                <c:pt idx="173">
                  <c:v>1.2386324814023317E-11</c:v>
                </c:pt>
                <c:pt idx="174">
                  <c:v>1.2386324814023317E-11</c:v>
                </c:pt>
                <c:pt idx="175">
                  <c:v>1.2386324814023317E-11</c:v>
                </c:pt>
                <c:pt idx="176">
                  <c:v>1.2386324814023317E-11</c:v>
                </c:pt>
                <c:pt idx="177">
                  <c:v>1.2386324814023317E-11</c:v>
                </c:pt>
                <c:pt idx="178">
                  <c:v>1.2386324814023317E-11</c:v>
                </c:pt>
                <c:pt idx="179">
                  <c:v>1.2386324814023317E-11</c:v>
                </c:pt>
                <c:pt idx="180">
                  <c:v>1.2386324814023317E-11</c:v>
                </c:pt>
                <c:pt idx="181">
                  <c:v>1.2386324814023317E-11</c:v>
                </c:pt>
                <c:pt idx="182">
                  <c:v>1.2386324814023317E-11</c:v>
                </c:pt>
                <c:pt idx="183">
                  <c:v>1.2386324814023317E-11</c:v>
                </c:pt>
                <c:pt idx="184">
                  <c:v>1.2386324814023317E-11</c:v>
                </c:pt>
                <c:pt idx="185">
                  <c:v>1.2386324814023317E-11</c:v>
                </c:pt>
                <c:pt idx="186">
                  <c:v>1.2386324814023317E-11</c:v>
                </c:pt>
                <c:pt idx="187">
                  <c:v>1.2386324814023317E-11</c:v>
                </c:pt>
                <c:pt idx="188">
                  <c:v>1.2386324814023317E-11</c:v>
                </c:pt>
                <c:pt idx="189">
                  <c:v>1.2386324814023317E-11</c:v>
                </c:pt>
                <c:pt idx="190">
                  <c:v>1.2386324814023317E-11</c:v>
                </c:pt>
                <c:pt idx="191">
                  <c:v>1.2386324814023317E-11</c:v>
                </c:pt>
                <c:pt idx="192">
                  <c:v>1.2386324814023317E-11</c:v>
                </c:pt>
                <c:pt idx="193">
                  <c:v>1.2386324814023317E-11</c:v>
                </c:pt>
                <c:pt idx="194">
                  <c:v>1.2386324814023317E-11</c:v>
                </c:pt>
                <c:pt idx="195">
                  <c:v>1.2386324814023317E-11</c:v>
                </c:pt>
                <c:pt idx="196">
                  <c:v>1.2386324814023317E-11</c:v>
                </c:pt>
                <c:pt idx="197">
                  <c:v>1.2386324814023317E-11</c:v>
                </c:pt>
                <c:pt idx="198">
                  <c:v>1.2386324814023317E-11</c:v>
                </c:pt>
                <c:pt idx="199">
                  <c:v>1.2386324814023317E-11</c:v>
                </c:pt>
                <c:pt idx="200">
                  <c:v>1.2386324814023317E-11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1.9190286454012624</c:v>
                </c:pt>
                <c:pt idx="2">
                  <c:v>2.3745849545197242</c:v>
                </c:pt>
                <c:pt idx="3">
                  <c:v>2.938707459966293</c:v>
                </c:pt>
                <c:pt idx="4">
                  <c:v>3.6373642605922853</c:v>
                </c:pt>
                <c:pt idx="5">
                  <c:v>4.5027561309452855</c:v>
                </c:pt>
                <c:pt idx="6">
                  <c:v>5.5748172110080709</c:v>
                </c:pt>
                <c:pt idx="7">
                  <c:v>6.9030780907738958</c:v>
                </c:pt>
                <c:pt idx="8">
                  <c:v>8.5489790386098861</c:v>
                </c:pt>
                <c:pt idx="9">
                  <c:v>10.588742421786387</c:v>
                </c:pt>
                <c:pt idx="10">
                  <c:v>13.116939848545632</c:v>
                </c:pt>
                <c:pt idx="11">
                  <c:v>16.250922486723002</c:v>
                </c:pt>
                <c:pt idx="12">
                  <c:v>20.136323955741016</c:v>
                </c:pt>
                <c:pt idx="13">
                  <c:v>24.953896102189773</c:v>
                </c:pt>
                <c:pt idx="14">
                  <c:v>30.928001287430916</c:v>
                </c:pt>
                <c:pt idx="15">
                  <c:v>38.337163566726382</c:v>
                </c:pt>
                <c:pt idx="16">
                  <c:v>47.527179091678228</c:v>
                </c:pt>
                <c:pt idx="17">
                  <c:v>58.927407911319868</c:v>
                </c:pt>
                <c:pt idx="18">
                  <c:v>73.071020919484155</c:v>
                </c:pt>
                <c:pt idx="19">
                  <c:v>90.620164263085925</c:v>
                </c:pt>
                <c:pt idx="20">
                  <c:v>112.39723813230249</c:v>
                </c:pt>
                <c:pt idx="21">
                  <c:v>139.42377875850318</c:v>
                </c:pt>
                <c:pt idx="22">
                  <c:v>172.96879566591463</c:v>
                </c:pt>
                <c:pt idx="23">
                  <c:v>120.81303316585546</c:v>
                </c:pt>
                <c:pt idx="24">
                  <c:v>137.39493931950179</c:v>
                </c:pt>
                <c:pt idx="25">
                  <c:v>153.92869031769388</c:v>
                </c:pt>
                <c:pt idx="26">
                  <c:v>170.42019183619729</c:v>
                </c:pt>
                <c:pt idx="27">
                  <c:v>186.8741105331159</c:v>
                </c:pt>
                <c:pt idx="28">
                  <c:v>158.76051047616977</c:v>
                </c:pt>
                <c:pt idx="29">
                  <c:v>175.59896515661092</c:v>
                </c:pt>
                <c:pt idx="30">
                  <c:v>192.39950654022346</c:v>
                </c:pt>
                <c:pt idx="31">
                  <c:v>209.1659124742217</c:v>
                </c:pt>
                <c:pt idx="32">
                  <c:v>225.90130495746598</c:v>
                </c:pt>
                <c:pt idx="33">
                  <c:v>242.60830522574886</c:v>
                </c:pt>
                <c:pt idx="34">
                  <c:v>203.58097513744312</c:v>
                </c:pt>
                <c:pt idx="35">
                  <c:v>220.02792534458786</c:v>
                </c:pt>
                <c:pt idx="36">
                  <c:v>236.44664825214025</c:v>
                </c:pt>
                <c:pt idx="37">
                  <c:v>252.83938003643598</c:v>
                </c:pt>
                <c:pt idx="38">
                  <c:v>269.20804307840729</c:v>
                </c:pt>
                <c:pt idx="39">
                  <c:v>285.55430680854636</c:v>
                </c:pt>
                <c:pt idx="40">
                  <c:v>301.87963387321702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288.8629105041029</c:v>
                </c:pt>
                <c:pt idx="45">
                  <c:v>304.05893725366735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387.77711671492483</c:v>
                </c:pt>
                <c:pt idx="62">
                  <c:v>399.46857547560194</c:v>
                </c:pt>
                <c:pt idx="63">
                  <c:v>411.15262834415716</c:v>
                </c:pt>
                <c:pt idx="64">
                  <c:v>422.82951547202782</c:v>
                </c:pt>
                <c:pt idx="65">
                  <c:v>434.49946266268313</c:v>
                </c:pt>
                <c:pt idx="66">
                  <c:v>446.16268259938062</c:v>
                </c:pt>
                <c:pt idx="67">
                  <c:v>457.81937593784545</c:v>
                </c:pt>
                <c:pt idx="68">
                  <c:v>469.46973228186403</c:v>
                </c:pt>
                <c:pt idx="69">
                  <c:v>481.11393105699318</c:v>
                </c:pt>
                <c:pt idx="70">
                  <c:v>492.75214229528297</c:v>
                </c:pt>
                <c:pt idx="71">
                  <c:v>435.52165251525474</c:v>
                </c:pt>
                <c:pt idx="72">
                  <c:v>445.12148725674382</c:v>
                </c:pt>
                <c:pt idx="73">
                  <c:v>454.71688879830617</c:v>
                </c:pt>
                <c:pt idx="74">
                  <c:v>464.30796390444101</c:v>
                </c:pt>
                <c:pt idx="75">
                  <c:v>473.89481456791827</c:v>
                </c:pt>
                <c:pt idx="76">
                  <c:v>483.47753831734173</c:v>
                </c:pt>
                <c:pt idx="77">
                  <c:v>493.05622849905473</c:v>
                </c:pt>
                <c:pt idx="78">
                  <c:v>502.63097453599795</c:v>
                </c:pt>
                <c:pt idx="79">
                  <c:v>512.20186216581476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84.464894871217254</c:v>
                </c:pt>
                <c:pt idx="17">
                  <c:v>108.61858799751566</c:v>
                </c:pt>
                <c:pt idx="18">
                  <c:v>132.63945069450935</c:v>
                </c:pt>
                <c:pt idx="19">
                  <c:v>156.55504701114111</c:v>
                </c:pt>
                <c:pt idx="20">
                  <c:v>180.38376185573739</c:v>
                </c:pt>
                <c:pt idx="21">
                  <c:v>145.47552012532864</c:v>
                </c:pt>
                <c:pt idx="22">
                  <c:v>171.06890310603498</c:v>
                </c:pt>
                <c:pt idx="23">
                  <c:v>196.57202562416424</c:v>
                </c:pt>
                <c:pt idx="24">
                  <c:v>221.99825658782561</c:v>
                </c:pt>
                <c:pt idx="25">
                  <c:v>247.35764363735257</c:v>
                </c:pt>
                <c:pt idx="26">
                  <c:v>211.69888943572892</c:v>
                </c:pt>
                <c:pt idx="27">
                  <c:v>236.05644310479681</c:v>
                </c:pt>
                <c:pt idx="28">
                  <c:v>260.35666841385739</c:v>
                </c:pt>
                <c:pt idx="29">
                  <c:v>284.60566685788712</c:v>
                </c:pt>
                <c:pt idx="30">
                  <c:v>308.80841467664561</c:v>
                </c:pt>
                <c:pt idx="31">
                  <c:v>270.95024442791083</c:v>
                </c:pt>
                <c:pt idx="32">
                  <c:v>292.7918305088869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318.00102122537896</c:v>
                </c:pt>
                <c:pt idx="37">
                  <c:v>337.38854301296448</c:v>
                </c:pt>
                <c:pt idx="38">
                  <c:v>356.75154686672863</c:v>
                </c:pt>
                <c:pt idx="39">
                  <c:v>376.09155014049156</c:v>
                </c:pt>
                <c:pt idx="40">
                  <c:v>395.40990144559368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393.03859669656612</c:v>
                </c:pt>
                <c:pt idx="47">
                  <c:v>407.60035995338376</c:v>
                </c:pt>
                <c:pt idx="48">
                  <c:v>422.15088703888301</c:v>
                </c:pt>
                <c:pt idx="49">
                  <c:v>436.69061972160188</c:v>
                </c:pt>
                <c:pt idx="50">
                  <c:v>451.2199679576733</c:v>
                </c:pt>
                <c:pt idx="51">
                  <c:v>431.61981966331086</c:v>
                </c:pt>
                <c:pt idx="52">
                  <c:v>444.12551245998549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481.59827184865543</c:v>
                </c:pt>
                <c:pt idx="56">
                  <c:v>465.06421135415468</c:v>
                </c:pt>
                <c:pt idx="57">
                  <c:v>475.52596168445672</c:v>
                </c:pt>
                <c:pt idx="58">
                  <c:v>485.98281613568884</c:v>
                </c:pt>
                <c:pt idx="59">
                  <c:v>496.43489491327199</c:v>
                </c:pt>
                <c:pt idx="60">
                  <c:v>506.88231274768879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518.33554162748919</c:v>
                </c:pt>
                <c:pt idx="65">
                  <c:v>527.09028501417163</c:v>
                </c:pt>
                <c:pt idx="66">
                  <c:v>512.9464599407637</c:v>
                </c:pt>
                <c:pt idx="67">
                  <c:v>520.69289242265415</c:v>
                </c:pt>
                <c:pt idx="68">
                  <c:v>528.43689541833794</c:v>
                </c:pt>
                <c:pt idx="69">
                  <c:v>536.17850956190932</c:v>
                </c:pt>
                <c:pt idx="70">
                  <c:v>543.917774218055</c:v>
                </c:pt>
                <c:pt idx="71">
                  <c:v>529.11017351371675</c:v>
                </c:pt>
                <c:pt idx="72">
                  <c:v>536.17850956190932</c:v>
                </c:pt>
                <c:pt idx="73">
                  <c:v>543.24488697768527</c:v>
                </c:pt>
                <c:pt idx="74">
                  <c:v>550.30933483971376</c:v>
                </c:pt>
                <c:pt idx="75">
                  <c:v>557.37188141896718</c:v>
                </c:pt>
                <c:pt idx="76">
                  <c:v>543.24488697768527</c:v>
                </c:pt>
                <c:pt idx="77">
                  <c:v>549.30024505818972</c:v>
                </c:pt>
                <c:pt idx="78">
                  <c:v>555.35420335873368</c:v>
                </c:pt>
                <c:pt idx="79">
                  <c:v>561.40677929677736</c:v>
                </c:pt>
                <c:pt idx="80">
                  <c:v>567.45798988344666</c:v>
                </c:pt>
                <c:pt idx="81">
                  <c:v>548.96387316130563</c:v>
                </c:pt>
                <c:pt idx="82">
                  <c:v>548.96387316130563</c:v>
                </c:pt>
                <c:pt idx="83">
                  <c:v>548.96387316130563</c:v>
                </c:pt>
                <c:pt idx="84">
                  <c:v>548.96387316130563</c:v>
                </c:pt>
                <c:pt idx="85">
                  <c:v>548.96387316130563</c:v>
                </c:pt>
                <c:pt idx="86">
                  <c:v>548.96387316130563</c:v>
                </c:pt>
                <c:pt idx="87">
                  <c:v>548.96387316130563</c:v>
                </c:pt>
                <c:pt idx="88">
                  <c:v>548.96387316130563</c:v>
                </c:pt>
                <c:pt idx="89">
                  <c:v>548.96387316130563</c:v>
                </c:pt>
                <c:pt idx="90">
                  <c:v>548.96387316130563</c:v>
                </c:pt>
                <c:pt idx="91">
                  <c:v>548.96387316130563</c:v>
                </c:pt>
                <c:pt idx="92">
                  <c:v>548.96387316130563</c:v>
                </c:pt>
                <c:pt idx="93">
                  <c:v>548.96387316130563</c:v>
                </c:pt>
                <c:pt idx="94">
                  <c:v>548.96387316130563</c:v>
                </c:pt>
                <c:pt idx="95">
                  <c:v>548.96387316130563</c:v>
                </c:pt>
                <c:pt idx="96">
                  <c:v>548.96387316130563</c:v>
                </c:pt>
                <c:pt idx="97">
                  <c:v>548.96387316130563</c:v>
                </c:pt>
                <c:pt idx="98">
                  <c:v>548.96387316130563</c:v>
                </c:pt>
                <c:pt idx="99">
                  <c:v>548.96387316130563</c:v>
                </c:pt>
                <c:pt idx="100">
                  <c:v>548.96387316130563</c:v>
                </c:pt>
                <c:pt idx="101">
                  <c:v>548.96387316130563</c:v>
                </c:pt>
                <c:pt idx="102">
                  <c:v>548.96387316130563</c:v>
                </c:pt>
                <c:pt idx="103">
                  <c:v>548.96387316130563</c:v>
                </c:pt>
                <c:pt idx="104">
                  <c:v>548.96387316130563</c:v>
                </c:pt>
                <c:pt idx="105">
                  <c:v>548.96387316130563</c:v>
                </c:pt>
                <c:pt idx="106">
                  <c:v>548.96387316130563</c:v>
                </c:pt>
                <c:pt idx="107">
                  <c:v>548.96387316130563</c:v>
                </c:pt>
                <c:pt idx="108">
                  <c:v>548.96387316130563</c:v>
                </c:pt>
                <c:pt idx="109">
                  <c:v>548.96387316130563</c:v>
                </c:pt>
                <c:pt idx="110">
                  <c:v>548.96387316130563</c:v>
                </c:pt>
                <c:pt idx="111">
                  <c:v>548.96387316130563</c:v>
                </c:pt>
                <c:pt idx="112">
                  <c:v>548.96387316130563</c:v>
                </c:pt>
                <c:pt idx="113">
                  <c:v>548.96387316130563</c:v>
                </c:pt>
                <c:pt idx="114">
                  <c:v>548.96387316130563</c:v>
                </c:pt>
                <c:pt idx="115">
                  <c:v>548.96387316130563</c:v>
                </c:pt>
                <c:pt idx="116">
                  <c:v>548.96387316130563</c:v>
                </c:pt>
                <c:pt idx="117">
                  <c:v>548.96387316130563</c:v>
                </c:pt>
                <c:pt idx="118">
                  <c:v>548.96387316130563</c:v>
                </c:pt>
                <c:pt idx="119">
                  <c:v>548.96387316130563</c:v>
                </c:pt>
                <c:pt idx="120">
                  <c:v>548.96387316130563</c:v>
                </c:pt>
                <c:pt idx="121">
                  <c:v>548.96387316130563</c:v>
                </c:pt>
                <c:pt idx="122">
                  <c:v>548.96387316130563</c:v>
                </c:pt>
                <c:pt idx="123">
                  <c:v>548.96387316130563</c:v>
                </c:pt>
                <c:pt idx="124">
                  <c:v>548.96387316130563</c:v>
                </c:pt>
                <c:pt idx="125">
                  <c:v>548.96387316130563</c:v>
                </c:pt>
                <c:pt idx="126">
                  <c:v>548.96387316130563</c:v>
                </c:pt>
                <c:pt idx="127">
                  <c:v>548.96387316130563</c:v>
                </c:pt>
                <c:pt idx="128">
                  <c:v>548.96387316130563</c:v>
                </c:pt>
                <c:pt idx="129">
                  <c:v>548.96387316130563</c:v>
                </c:pt>
                <c:pt idx="130">
                  <c:v>548.96387316130563</c:v>
                </c:pt>
                <c:pt idx="131">
                  <c:v>548.96387316130563</c:v>
                </c:pt>
                <c:pt idx="132">
                  <c:v>548.96387316130563</c:v>
                </c:pt>
                <c:pt idx="133">
                  <c:v>548.96387316130563</c:v>
                </c:pt>
                <c:pt idx="134">
                  <c:v>548.96387316130563</c:v>
                </c:pt>
                <c:pt idx="135">
                  <c:v>548.96387316130563</c:v>
                </c:pt>
                <c:pt idx="136">
                  <c:v>548.96387316130563</c:v>
                </c:pt>
                <c:pt idx="137">
                  <c:v>548.96387316130563</c:v>
                </c:pt>
                <c:pt idx="138">
                  <c:v>548.96387316130563</c:v>
                </c:pt>
                <c:pt idx="139">
                  <c:v>548.96387316130563</c:v>
                </c:pt>
                <c:pt idx="140">
                  <c:v>548.96387316130563</c:v>
                </c:pt>
                <c:pt idx="141">
                  <c:v>548.96387316130563</c:v>
                </c:pt>
                <c:pt idx="142">
                  <c:v>548.96387316130563</c:v>
                </c:pt>
                <c:pt idx="143">
                  <c:v>548.96387316130563</c:v>
                </c:pt>
                <c:pt idx="144">
                  <c:v>548.96387316130563</c:v>
                </c:pt>
                <c:pt idx="145">
                  <c:v>548.96387316130563</c:v>
                </c:pt>
                <c:pt idx="146">
                  <c:v>548.96387316130563</c:v>
                </c:pt>
                <c:pt idx="147">
                  <c:v>548.96387316130563</c:v>
                </c:pt>
                <c:pt idx="148">
                  <c:v>548.96387316130563</c:v>
                </c:pt>
                <c:pt idx="149">
                  <c:v>548.96387316130563</c:v>
                </c:pt>
                <c:pt idx="150">
                  <c:v>548.96387316130563</c:v>
                </c:pt>
                <c:pt idx="151">
                  <c:v>548.96387316130563</c:v>
                </c:pt>
                <c:pt idx="152">
                  <c:v>548.96387316130563</c:v>
                </c:pt>
                <c:pt idx="153">
                  <c:v>548.96387316130563</c:v>
                </c:pt>
                <c:pt idx="154">
                  <c:v>548.96387316130563</c:v>
                </c:pt>
                <c:pt idx="155">
                  <c:v>548.96387316130563</c:v>
                </c:pt>
                <c:pt idx="156">
                  <c:v>548.96387316130563</c:v>
                </c:pt>
                <c:pt idx="157">
                  <c:v>548.96387316130563</c:v>
                </c:pt>
                <c:pt idx="158">
                  <c:v>548.96387316130563</c:v>
                </c:pt>
                <c:pt idx="159">
                  <c:v>548.96387316130563</c:v>
                </c:pt>
                <c:pt idx="160">
                  <c:v>548.96387316130563</c:v>
                </c:pt>
                <c:pt idx="161">
                  <c:v>548.96387316130563</c:v>
                </c:pt>
                <c:pt idx="162">
                  <c:v>548.96387316130563</c:v>
                </c:pt>
                <c:pt idx="163">
                  <c:v>548.96387316130563</c:v>
                </c:pt>
                <c:pt idx="164">
                  <c:v>548.96387316130563</c:v>
                </c:pt>
                <c:pt idx="165">
                  <c:v>548.96387316130563</c:v>
                </c:pt>
                <c:pt idx="166">
                  <c:v>548.96387316130563</c:v>
                </c:pt>
                <c:pt idx="167">
                  <c:v>548.96387316130563</c:v>
                </c:pt>
                <c:pt idx="168">
                  <c:v>548.96387316130563</c:v>
                </c:pt>
                <c:pt idx="169">
                  <c:v>548.96387316130563</c:v>
                </c:pt>
                <c:pt idx="170">
                  <c:v>548.96387316130563</c:v>
                </c:pt>
                <c:pt idx="171">
                  <c:v>548.96387316130563</c:v>
                </c:pt>
                <c:pt idx="172">
                  <c:v>548.96387316130563</c:v>
                </c:pt>
                <c:pt idx="173">
                  <c:v>548.96387316130563</c:v>
                </c:pt>
                <c:pt idx="174">
                  <c:v>548.96387316130563</c:v>
                </c:pt>
                <c:pt idx="175">
                  <c:v>548.96387316130563</c:v>
                </c:pt>
                <c:pt idx="176">
                  <c:v>548.96387316130563</c:v>
                </c:pt>
                <c:pt idx="177">
                  <c:v>548.96387316130563</c:v>
                </c:pt>
                <c:pt idx="178">
                  <c:v>548.96387316130563</c:v>
                </c:pt>
                <c:pt idx="179">
                  <c:v>548.96387316130563</c:v>
                </c:pt>
                <c:pt idx="180">
                  <c:v>548.96387316130563</c:v>
                </c:pt>
                <c:pt idx="181">
                  <c:v>548.96387316130563</c:v>
                </c:pt>
                <c:pt idx="182">
                  <c:v>548.96387316130563</c:v>
                </c:pt>
                <c:pt idx="183">
                  <c:v>548.96387316130563</c:v>
                </c:pt>
                <c:pt idx="184">
                  <c:v>548.96387316130563</c:v>
                </c:pt>
                <c:pt idx="185">
                  <c:v>548.96387316130563</c:v>
                </c:pt>
                <c:pt idx="186">
                  <c:v>548.96387316130563</c:v>
                </c:pt>
                <c:pt idx="187">
                  <c:v>548.96387316130563</c:v>
                </c:pt>
                <c:pt idx="188">
                  <c:v>548.96387316130563</c:v>
                </c:pt>
                <c:pt idx="189">
                  <c:v>548.96387316130563</c:v>
                </c:pt>
                <c:pt idx="190">
                  <c:v>548.96387316130563</c:v>
                </c:pt>
                <c:pt idx="191">
                  <c:v>548.96387316130563</c:v>
                </c:pt>
                <c:pt idx="192">
                  <c:v>548.96387316130563</c:v>
                </c:pt>
                <c:pt idx="193">
                  <c:v>548.96387316130563</c:v>
                </c:pt>
                <c:pt idx="194">
                  <c:v>548.96387316130563</c:v>
                </c:pt>
                <c:pt idx="195">
                  <c:v>548.96387316130563</c:v>
                </c:pt>
                <c:pt idx="196">
                  <c:v>548.96387316130563</c:v>
                </c:pt>
                <c:pt idx="197">
                  <c:v>548.96387316130563</c:v>
                </c:pt>
                <c:pt idx="198">
                  <c:v>548.96387316130563</c:v>
                </c:pt>
                <c:pt idx="199">
                  <c:v>548.96387316130563</c:v>
                </c:pt>
                <c:pt idx="200">
                  <c:v>548.96387316130563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0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6" sqref="C6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6" t="s">
        <v>2</v>
      </c>
      <c r="D1" s="266"/>
      <c r="E1" s="26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4</v>
      </c>
      <c r="C3" s="272"/>
      <c r="D3" s="272"/>
      <c r="E3" s="272"/>
      <c r="F3" s="273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7</v>
      </c>
      <c r="B5" s="276"/>
      <c r="C5" s="24">
        <v>4.16</v>
      </c>
      <c r="D5" s="277" t="s">
        <v>8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9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16</v>
      </c>
      <c r="C9" s="32">
        <v>0.5</v>
      </c>
      <c r="D9" s="33">
        <f t="shared" ref="D9:D18" si="0">C9*$C$5</f>
        <v>2.08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19</v>
      </c>
      <c r="C10" s="32">
        <v>0.2</v>
      </c>
      <c r="D10" s="33">
        <f t="shared" si="0"/>
        <v>0.83200000000000007</v>
      </c>
      <c r="E10" s="34">
        <v>134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21</v>
      </c>
      <c r="C11" s="32">
        <v>0.1</v>
      </c>
      <c r="D11" s="33">
        <f t="shared" si="0"/>
        <v>0.41600000000000004</v>
      </c>
      <c r="E11" s="34">
        <v>131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 t="s">
        <v>23</v>
      </c>
      <c r="C12" s="32">
        <v>0.1</v>
      </c>
      <c r="D12" s="33">
        <f t="shared" si="0"/>
        <v>0.41600000000000004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24</v>
      </c>
      <c r="B13" s="31" t="s">
        <v>25</v>
      </c>
      <c r="C13" s="32">
        <v>0.1</v>
      </c>
      <c r="D13" s="33">
        <f t="shared" si="0"/>
        <v>0.41600000000000004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26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27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28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29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30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31</v>
      </c>
      <c r="C19" s="37">
        <f>SUM(C9:C18)</f>
        <v>0.99999999999999989</v>
      </c>
      <c r="D19" s="38">
        <f>SUM(D9:D18)</f>
        <v>4.16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32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33</v>
      </c>
      <c r="B24" s="42" t="s">
        <v>34</v>
      </c>
      <c r="C24" s="43">
        <v>0</v>
      </c>
      <c r="D24" s="44" t="s">
        <v>35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36</v>
      </c>
      <c r="B25" s="42" t="s">
        <v>37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38</v>
      </c>
      <c r="B26" s="42" t="s">
        <v>39</v>
      </c>
      <c r="C26" s="43">
        <v>0.05</v>
      </c>
      <c r="D26" s="44" t="s">
        <v>40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41</v>
      </c>
      <c r="B27" s="42" t="s">
        <v>42</v>
      </c>
      <c r="C27" s="43">
        <v>0</v>
      </c>
      <c r="D27" s="44" t="s">
        <v>43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44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Douglas</v>
      </c>
      <c r="D32" s="229" t="s">
        <v>45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46</v>
      </c>
      <c r="C34" s="267" t="s">
        <v>47</v>
      </c>
      <c r="D34" s="267"/>
      <c r="E34" s="268" t="s">
        <v>48</v>
      </c>
      <c r="F34" s="269"/>
      <c r="G34" s="269"/>
      <c r="H34" s="270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49</v>
      </c>
      <c r="B35" s="36" t="s">
        <v>50</v>
      </c>
      <c r="C35" s="48" t="s">
        <v>51</v>
      </c>
      <c r="D35" s="48" t="s">
        <v>52</v>
      </c>
      <c r="E35" s="36" t="s">
        <v>53</v>
      </c>
      <c r="F35" s="36" t="s">
        <v>54</v>
      </c>
      <c r="G35" s="36" t="s">
        <v>55</v>
      </c>
      <c r="H35" s="36" t="s">
        <v>56</v>
      </c>
      <c r="I35" s="48" t="s">
        <v>57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18</v>
      </c>
      <c r="B36" s="60">
        <v>182.89230769230767</v>
      </c>
      <c r="C36" s="60">
        <v>1</v>
      </c>
      <c r="D36" s="60">
        <v>69.284615384615378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10.16068376068376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24</v>
      </c>
      <c r="B37" s="60">
        <v>237.56153846153845</v>
      </c>
      <c r="C37" s="60">
        <v>2</v>
      </c>
      <c r="D37" s="60">
        <v>42.661538461538463</v>
      </c>
      <c r="E37" s="51">
        <v>0.7</v>
      </c>
      <c r="F37" s="51">
        <v>0.16800000000000001</v>
      </c>
      <c r="G37" s="51">
        <v>0.13200000000000001</v>
      </c>
      <c r="H37" s="51">
        <v>0</v>
      </c>
      <c r="I37" s="53">
        <f t="shared" ref="I37:I55" si="1">IF(A37&lt;&gt;0,(B37-(B36-D36))/(A37-A36),"")</f>
        <v>20.658974358974358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30</v>
      </c>
      <c r="B38" s="60">
        <v>331.86923076923074</v>
      </c>
      <c r="C38" s="60">
        <v>3</v>
      </c>
      <c r="D38" s="60">
        <v>65.669230769230765</v>
      </c>
      <c r="E38" s="51">
        <v>0.7</v>
      </c>
      <c r="F38" s="51">
        <v>0.16800000000000001</v>
      </c>
      <c r="G38" s="51">
        <v>0.13200000000000001</v>
      </c>
      <c r="H38" s="51">
        <v>0</v>
      </c>
      <c r="I38" s="53">
        <f t="shared" si="1"/>
        <v>22.828205128205127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36</v>
      </c>
      <c r="B39" s="60">
        <v>403.50769230769237</v>
      </c>
      <c r="C39" s="60">
        <v>4</v>
      </c>
      <c r="D39" s="60">
        <v>69.3</v>
      </c>
      <c r="E39" s="51">
        <v>0.7</v>
      </c>
      <c r="F39" s="51">
        <v>0.16800000000000001</v>
      </c>
      <c r="G39" s="51">
        <v>0.13200000000000001</v>
      </c>
      <c r="H39" s="51">
        <v>0</v>
      </c>
      <c r="I39" s="49">
        <f t="shared" si="1"/>
        <v>22.884615384615397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42</v>
      </c>
      <c r="B40" s="60">
        <v>468.72307692307686</v>
      </c>
      <c r="C40" s="60">
        <v>5</v>
      </c>
      <c r="D40" s="60">
        <v>73.392307692307682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22.419230769230751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48</v>
      </c>
      <c r="B41" s="60">
        <v>525.0846153846154</v>
      </c>
      <c r="C41" s="60">
        <v>6</v>
      </c>
      <c r="D41" s="60">
        <v>81.330769230769235</v>
      </c>
      <c r="E41" s="51">
        <v>0.7</v>
      </c>
      <c r="F41" s="51">
        <v>0.16800000000000001</v>
      </c>
      <c r="G41" s="51">
        <v>0.13200000000000001</v>
      </c>
      <c r="H41" s="51">
        <v>0</v>
      </c>
      <c r="I41" s="53">
        <f t="shared" si="1"/>
        <v>21.625641025641034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54</v>
      </c>
      <c r="B42" s="60">
        <v>566.79999999999995</v>
      </c>
      <c r="C42" s="60">
        <v>7</v>
      </c>
      <c r="D42" s="60">
        <v>566.79999999999995</v>
      </c>
      <c r="E42" s="51">
        <v>0.7</v>
      </c>
      <c r="F42" s="51">
        <v>0.16800000000000001</v>
      </c>
      <c r="G42" s="51">
        <v>0.13200000000000001</v>
      </c>
      <c r="H42" s="51">
        <v>0</v>
      </c>
      <c r="I42" s="53">
        <f t="shared" si="1"/>
        <v>20.507692307692299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Sapin de Nordmann</v>
      </c>
      <c r="D58" s="229" t="s">
        <v>45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46</v>
      </c>
      <c r="C60" s="267" t="s">
        <v>47</v>
      </c>
      <c r="D60" s="267"/>
      <c r="E60" s="268" t="s">
        <v>48</v>
      </c>
      <c r="F60" s="269"/>
      <c r="G60" s="269"/>
      <c r="H60" s="270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49</v>
      </c>
      <c r="B61" s="36" t="s">
        <v>50</v>
      </c>
      <c r="C61" s="48" t="s">
        <v>51</v>
      </c>
      <c r="D61" s="48" t="s">
        <v>52</v>
      </c>
      <c r="E61" s="36" t="s">
        <v>53</v>
      </c>
      <c r="F61" s="36" t="s">
        <v>54</v>
      </c>
      <c r="G61" s="36" t="s">
        <v>55</v>
      </c>
      <c r="H61" s="36" t="s">
        <v>56</v>
      </c>
      <c r="I61" s="48" t="s">
        <v>57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30</v>
      </c>
      <c r="B62" s="258">
        <v>142.4</v>
      </c>
      <c r="C62" s="258" t="s">
        <v>58</v>
      </c>
      <c r="D62" s="258">
        <v>0</v>
      </c>
      <c r="E62" s="259">
        <v>0</v>
      </c>
      <c r="F62" s="259">
        <v>0</v>
      </c>
      <c r="G62" s="259">
        <v>0</v>
      </c>
      <c r="H62" s="259">
        <v>0</v>
      </c>
      <c r="I62" s="53">
        <f>IFERROR(B62/A62,"")</f>
        <v>4.746666666666667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45</v>
      </c>
      <c r="B63" s="258">
        <v>343.5</v>
      </c>
      <c r="C63" s="258">
        <v>1</v>
      </c>
      <c r="D63" s="258">
        <v>146.30000000000001</v>
      </c>
      <c r="E63" s="259">
        <v>0</v>
      </c>
      <c r="F63" s="259">
        <v>0.56000000000000005</v>
      </c>
      <c r="G63" s="259">
        <v>0.44</v>
      </c>
      <c r="H63" s="259">
        <v>0</v>
      </c>
      <c r="I63" s="49">
        <f>IF(A63&lt;&gt;0,(B63-(B62-D62))/(A63-A62),"")</f>
        <v>13.406666666666666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52</v>
      </c>
      <c r="B64" s="258">
        <v>330.1</v>
      </c>
      <c r="C64" s="258">
        <v>2</v>
      </c>
      <c r="D64" s="258">
        <v>75.5</v>
      </c>
      <c r="E64" s="259">
        <v>0.7</v>
      </c>
      <c r="F64" s="259">
        <v>0.17</v>
      </c>
      <c r="G64" s="259">
        <v>0.13</v>
      </c>
      <c r="H64" s="259">
        <v>0</v>
      </c>
      <c r="I64" s="49">
        <f>IF(A64&lt;&gt;0,(B64-(B63-D63))/(A64-A63),"")</f>
        <v>18.985714285714291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59</v>
      </c>
      <c r="B65" s="258">
        <v>380.8</v>
      </c>
      <c r="C65" s="258">
        <v>3</v>
      </c>
      <c r="D65" s="258">
        <v>93.9</v>
      </c>
      <c r="E65" s="259">
        <v>0.7</v>
      </c>
      <c r="F65" s="259">
        <v>0.17</v>
      </c>
      <c r="G65" s="259">
        <v>0.13</v>
      </c>
      <c r="H65" s="259">
        <v>0</v>
      </c>
      <c r="I65" s="49">
        <f>IF(A65&lt;&gt;0,(B65-(B64-D64))/(A65-A64),"")</f>
        <v>18.028571428571428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67</v>
      </c>
      <c r="B66" s="258">
        <v>422.1</v>
      </c>
      <c r="C66" s="258">
        <v>4</v>
      </c>
      <c r="D66" s="258">
        <v>92.1</v>
      </c>
      <c r="E66" s="259">
        <v>0.7</v>
      </c>
      <c r="F66" s="259">
        <v>0.17</v>
      </c>
      <c r="G66" s="259">
        <v>0.13</v>
      </c>
      <c r="H66" s="259">
        <v>0</v>
      </c>
      <c r="I66" s="49">
        <f t="shared" ref="I66:I81" si="2">IF(A66&lt;&gt;0,(B66-(B65-D65))/(A66-A65),"")</f>
        <v>16.900000000000006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>
        <v>75</v>
      </c>
      <c r="B67" s="258">
        <v>454.6</v>
      </c>
      <c r="C67" s="258">
        <v>5</v>
      </c>
      <c r="D67" s="258">
        <v>86.9</v>
      </c>
      <c r="E67" s="260">
        <v>0.7</v>
      </c>
      <c r="F67" s="260">
        <v>0.17</v>
      </c>
      <c r="G67" s="260">
        <v>0.13</v>
      </c>
      <c r="H67" s="260">
        <v>0</v>
      </c>
      <c r="I67" s="49">
        <f t="shared" si="2"/>
        <v>15.575000000000003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>
        <v>83</v>
      </c>
      <c r="B68" s="258">
        <v>481.2</v>
      </c>
      <c r="C68" s="258">
        <v>6</v>
      </c>
      <c r="D68" s="258">
        <v>91.2</v>
      </c>
      <c r="E68" s="260">
        <v>0.7</v>
      </c>
      <c r="F68" s="260">
        <v>0.17</v>
      </c>
      <c r="G68" s="260">
        <v>0.13</v>
      </c>
      <c r="H68" s="260">
        <v>0</v>
      </c>
      <c r="I68" s="49">
        <f t="shared" si="2"/>
        <v>14.187499999999993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>
        <v>91</v>
      </c>
      <c r="B69" s="261">
        <v>491.6</v>
      </c>
      <c r="C69" s="261">
        <v>7</v>
      </c>
      <c r="D69" s="261">
        <v>87.9</v>
      </c>
      <c r="E69" s="260">
        <v>0.7</v>
      </c>
      <c r="F69" s="260">
        <v>0.17</v>
      </c>
      <c r="G69" s="260">
        <v>0.13</v>
      </c>
      <c r="H69" s="260">
        <v>0</v>
      </c>
      <c r="I69" s="49">
        <f t="shared" si="2"/>
        <v>12.700000000000003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>
        <v>99</v>
      </c>
      <c r="B70" s="261">
        <v>494.5</v>
      </c>
      <c r="C70" s="261">
        <v>8</v>
      </c>
      <c r="D70" s="261">
        <v>69.7</v>
      </c>
      <c r="E70" s="260">
        <v>0.7</v>
      </c>
      <c r="F70" s="260">
        <v>0.17</v>
      </c>
      <c r="G70" s="260">
        <v>0.13</v>
      </c>
      <c r="H70" s="260">
        <v>0</v>
      </c>
      <c r="I70" s="49">
        <f t="shared" si="2"/>
        <v>11.349999999999994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107</v>
      </c>
      <c r="B71" s="50">
        <v>506.8</v>
      </c>
      <c r="C71" s="50">
        <v>9</v>
      </c>
      <c r="D71" s="50">
        <v>76.3</v>
      </c>
      <c r="E71" s="51">
        <v>0.7</v>
      </c>
      <c r="F71" s="51">
        <v>0.17</v>
      </c>
      <c r="G71" s="51">
        <v>0.13</v>
      </c>
      <c r="H71" s="51">
        <v>0</v>
      </c>
      <c r="I71" s="49">
        <f t="shared" si="2"/>
        <v>10.25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116</v>
      </c>
      <c r="B72" s="50">
        <v>512.9</v>
      </c>
      <c r="C72" s="50">
        <v>10</v>
      </c>
      <c r="D72" s="50">
        <v>78.099999999999994</v>
      </c>
      <c r="E72" s="51">
        <v>0.7</v>
      </c>
      <c r="F72" s="51">
        <v>0.17</v>
      </c>
      <c r="G72" s="51">
        <v>0.13</v>
      </c>
      <c r="H72" s="51">
        <v>0</v>
      </c>
      <c r="I72" s="49">
        <f t="shared" si="2"/>
        <v>9.1555555555555532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125</v>
      </c>
      <c r="B73" s="50">
        <v>507.6</v>
      </c>
      <c r="C73" s="50">
        <v>11</v>
      </c>
      <c r="D73" s="50">
        <v>66.3</v>
      </c>
      <c r="E73" s="51">
        <v>0.7</v>
      </c>
      <c r="F73" s="51">
        <v>0.17</v>
      </c>
      <c r="G73" s="51">
        <v>0.13</v>
      </c>
      <c r="H73" s="51">
        <v>0</v>
      </c>
      <c r="I73" s="49">
        <f t="shared" si="2"/>
        <v>8.0888888888888957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134</v>
      </c>
      <c r="B74" s="50">
        <v>506.6</v>
      </c>
      <c r="C74" s="50">
        <v>12</v>
      </c>
      <c r="D74" s="50">
        <v>506.6</v>
      </c>
      <c r="E74" s="51">
        <v>0.7</v>
      </c>
      <c r="F74" s="51">
        <v>0.17</v>
      </c>
      <c r="G74" s="51">
        <v>0.13</v>
      </c>
      <c r="H74" s="51">
        <v>0</v>
      </c>
      <c r="I74" s="49">
        <f t="shared" si="2"/>
        <v>7.2555555555555564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Cèdre de l'Atlas</v>
      </c>
      <c r="D84" s="229" t="s">
        <v>45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46</v>
      </c>
      <c r="C86" s="267" t="s">
        <v>47</v>
      </c>
      <c r="D86" s="267"/>
      <c r="E86" s="268" t="s">
        <v>48</v>
      </c>
      <c r="F86" s="269"/>
      <c r="G86" s="269"/>
      <c r="H86" s="270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49</v>
      </c>
      <c r="B87" s="36" t="s">
        <v>50</v>
      </c>
      <c r="C87" s="48" t="s">
        <v>51</v>
      </c>
      <c r="D87" s="48" t="s">
        <v>52</v>
      </c>
      <c r="E87" s="36" t="s">
        <v>53</v>
      </c>
      <c r="F87" s="36" t="s">
        <v>54</v>
      </c>
      <c r="G87" s="36" t="s">
        <v>55</v>
      </c>
      <c r="H87" s="36" t="s">
        <v>56</v>
      </c>
      <c r="I87" s="48" t="s">
        <v>57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>
        <v>30</v>
      </c>
      <c r="B88" s="258">
        <v>147.25384615384615</v>
      </c>
      <c r="C88" s="258" t="s">
        <v>58</v>
      </c>
      <c r="D88" s="258">
        <v>0</v>
      </c>
      <c r="E88" s="259">
        <v>0</v>
      </c>
      <c r="F88" s="259">
        <v>0</v>
      </c>
      <c r="G88" s="259">
        <v>0</v>
      </c>
      <c r="H88" s="262">
        <v>0</v>
      </c>
      <c r="I88" s="53">
        <f>IFERROR(B88/A88,"")</f>
        <v>4.9084615384615384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>
        <v>51</v>
      </c>
      <c r="B89" s="258">
        <v>387.56923076923078</v>
      </c>
      <c r="C89" s="258">
        <v>1</v>
      </c>
      <c r="D89" s="258">
        <v>170.16153846153847</v>
      </c>
      <c r="E89" s="259">
        <v>0</v>
      </c>
      <c r="F89" s="259">
        <v>0.56000000000000005</v>
      </c>
      <c r="G89" s="259">
        <v>0.44</v>
      </c>
      <c r="H89" s="262">
        <v>0</v>
      </c>
      <c r="I89" s="53">
        <f t="shared" ref="I89:I107" si="3">IF(A89&lt;&gt;0,(B89-(B88-D88))/(A89-A88),"")</f>
        <v>11.443589743589744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>
        <v>61</v>
      </c>
      <c r="B90" s="258">
        <v>329.11538461538464</v>
      </c>
      <c r="C90" s="258">
        <v>2</v>
      </c>
      <c r="D90" s="258">
        <v>94.76153846153845</v>
      </c>
      <c r="E90" s="262">
        <v>0.7</v>
      </c>
      <c r="F90" s="262">
        <v>0.16800000000000001</v>
      </c>
      <c r="G90" s="262">
        <v>0.13200000000000001</v>
      </c>
      <c r="H90" s="262">
        <v>0</v>
      </c>
      <c r="I90" s="53">
        <f t="shared" si="3"/>
        <v>11.170769230769233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>
        <v>73</v>
      </c>
      <c r="B91" s="258">
        <v>358.13076923076926</v>
      </c>
      <c r="C91" s="258">
        <v>3</v>
      </c>
      <c r="D91" s="258">
        <v>93.584615384615375</v>
      </c>
      <c r="E91" s="262">
        <v>0.7</v>
      </c>
      <c r="F91" s="262">
        <v>0.16800000000000001</v>
      </c>
      <c r="G91" s="262">
        <v>0.13200000000000001</v>
      </c>
      <c r="H91" s="262">
        <v>0</v>
      </c>
      <c r="I91" s="53">
        <f t="shared" si="3"/>
        <v>10.314743589743591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>
        <v>85</v>
      </c>
      <c r="B92" s="258">
        <v>378.83076923076919</v>
      </c>
      <c r="C92" s="258">
        <v>4</v>
      </c>
      <c r="D92" s="258">
        <v>85.207692307692298</v>
      </c>
      <c r="E92" s="262">
        <v>0.7</v>
      </c>
      <c r="F92" s="262">
        <v>0.16800000000000001</v>
      </c>
      <c r="G92" s="262">
        <v>0.13200000000000001</v>
      </c>
      <c r="H92" s="262">
        <v>0</v>
      </c>
      <c r="I92" s="53">
        <f t="shared" si="3"/>
        <v>9.5237179487179446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>
        <v>97</v>
      </c>
      <c r="B93" s="258">
        <v>398.27692307692308</v>
      </c>
      <c r="C93" s="258">
        <v>5</v>
      </c>
      <c r="D93" s="258">
        <v>79.669230769230765</v>
      </c>
      <c r="E93" s="263">
        <v>0.7</v>
      </c>
      <c r="F93" s="263">
        <v>0.16800000000000001</v>
      </c>
      <c r="G93" s="263">
        <v>0.13200000000000001</v>
      </c>
      <c r="H93" s="263">
        <v>0</v>
      </c>
      <c r="I93" s="53">
        <f t="shared" si="3"/>
        <v>8.7211538461538485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>
        <v>109</v>
      </c>
      <c r="B94" s="258">
        <v>413.2</v>
      </c>
      <c r="C94" s="258">
        <v>6</v>
      </c>
      <c r="D94" s="258">
        <v>80.653846153846146</v>
      </c>
      <c r="E94" s="263">
        <v>0.7</v>
      </c>
      <c r="F94" s="263">
        <v>0.16800000000000001</v>
      </c>
      <c r="G94" s="263">
        <v>0.13200000000000001</v>
      </c>
      <c r="H94" s="263">
        <v>0</v>
      </c>
      <c r="I94" s="53">
        <f t="shared" si="3"/>
        <v>7.882692307692305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121</v>
      </c>
      <c r="B95" s="60">
        <v>417.60769230769228</v>
      </c>
      <c r="C95" s="60">
        <v>7</v>
      </c>
      <c r="D95" s="60">
        <v>207.07692307692307</v>
      </c>
      <c r="E95" s="87">
        <v>0.7</v>
      </c>
      <c r="F95" s="87">
        <v>0.16800000000000001</v>
      </c>
      <c r="G95" s="87">
        <v>0.13200000000000001</v>
      </c>
      <c r="H95" s="87">
        <v>0</v>
      </c>
      <c r="I95" s="53">
        <f t="shared" si="3"/>
        <v>7.0884615384615346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131</v>
      </c>
      <c r="B96" s="60">
        <v>259.61538461538458</v>
      </c>
      <c r="C96" s="60">
        <v>8</v>
      </c>
      <c r="D96" s="60">
        <v>259.61538461538458</v>
      </c>
      <c r="E96" s="87">
        <v>0.7</v>
      </c>
      <c r="F96" s="87">
        <v>0.16800000000000001</v>
      </c>
      <c r="G96" s="87">
        <v>0.13200000000000001</v>
      </c>
      <c r="H96" s="87">
        <v>0</v>
      </c>
      <c r="I96" s="53">
        <f t="shared" si="3"/>
        <v>4.9084615384615375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>Pin laricio</v>
      </c>
      <c r="D110" s="229" t="s">
        <v>45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46</v>
      </c>
      <c r="C112" s="267" t="s">
        <v>47</v>
      </c>
      <c r="D112" s="267"/>
      <c r="E112" s="268" t="s">
        <v>48</v>
      </c>
      <c r="F112" s="269"/>
      <c r="G112" s="269"/>
      <c r="H112" s="270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49</v>
      </c>
      <c r="B113" s="36" t="s">
        <v>50</v>
      </c>
      <c r="C113" s="48" t="s">
        <v>51</v>
      </c>
      <c r="D113" s="48" t="s">
        <v>52</v>
      </c>
      <c r="E113" s="36" t="s">
        <v>53</v>
      </c>
      <c r="F113" s="36" t="s">
        <v>54</v>
      </c>
      <c r="G113" s="36" t="s">
        <v>55</v>
      </c>
      <c r="H113" s="36" t="s">
        <v>56</v>
      </c>
      <c r="I113" s="48" t="s">
        <v>57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>
        <v>22</v>
      </c>
      <c r="B114" s="258">
        <v>129.98461538461538</v>
      </c>
      <c r="C114" s="257">
        <v>1</v>
      </c>
      <c r="D114" s="258">
        <v>52.746153846153838</v>
      </c>
      <c r="E114" s="259">
        <v>0</v>
      </c>
      <c r="F114" s="259">
        <v>0.56000000000000005</v>
      </c>
      <c r="G114" s="259">
        <v>0.44</v>
      </c>
      <c r="H114" s="259">
        <v>0</v>
      </c>
      <c r="I114" s="53">
        <f>IFERROR(B114/A114,"")</f>
        <v>5.9083916083916082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>
        <v>27</v>
      </c>
      <c r="B115" s="258">
        <v>140.71538461538461</v>
      </c>
      <c r="C115" s="257">
        <v>2</v>
      </c>
      <c r="D115" s="258">
        <v>34.646153846153844</v>
      </c>
      <c r="E115" s="259">
        <v>0.7</v>
      </c>
      <c r="F115" s="259">
        <v>0.16800000000000001</v>
      </c>
      <c r="G115" s="259">
        <v>0.13200000000000001</v>
      </c>
      <c r="H115" s="259">
        <v>0</v>
      </c>
      <c r="I115" s="53">
        <f t="shared" ref="I115:I133" si="4">IF(A115&lt;&gt;0,(B115-(B114-D114))/(A115-A114),"")</f>
        <v>12.695384615384615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>
        <v>30</v>
      </c>
      <c r="B116" s="258">
        <v>144.98461538461538</v>
      </c>
      <c r="C116" s="257" t="s">
        <v>58</v>
      </c>
      <c r="D116" s="258">
        <v>0</v>
      </c>
      <c r="E116" s="259">
        <v>0</v>
      </c>
      <c r="F116" s="259">
        <v>0</v>
      </c>
      <c r="G116" s="259">
        <v>0</v>
      </c>
      <c r="H116" s="259">
        <v>0</v>
      </c>
      <c r="I116" s="53">
        <f t="shared" si="4"/>
        <v>12.971794871794875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>
        <v>33</v>
      </c>
      <c r="B117" s="258">
        <v>183.89999999999998</v>
      </c>
      <c r="C117" s="257">
        <v>3</v>
      </c>
      <c r="D117" s="258">
        <v>43.007692307692302</v>
      </c>
      <c r="E117" s="259">
        <v>0.7</v>
      </c>
      <c r="F117" s="259">
        <v>0.16800000000000001</v>
      </c>
      <c r="G117" s="259">
        <v>0.13200000000000001</v>
      </c>
      <c r="H117" s="259">
        <v>0</v>
      </c>
      <c r="I117" s="53">
        <f t="shared" si="4"/>
        <v>12.971794871794865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>
        <v>41</v>
      </c>
      <c r="B118" s="258">
        <v>242.81538461538457</v>
      </c>
      <c r="C118" s="257">
        <v>4</v>
      </c>
      <c r="D118" s="258">
        <v>58.484615384615381</v>
      </c>
      <c r="E118" s="259">
        <v>0.7</v>
      </c>
      <c r="F118" s="259">
        <v>0.16800000000000001</v>
      </c>
      <c r="G118" s="259">
        <v>0.13200000000000001</v>
      </c>
      <c r="H118" s="259">
        <v>0</v>
      </c>
      <c r="I118" s="53">
        <f t="shared" si="4"/>
        <v>12.740384615384613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>
        <v>50</v>
      </c>
      <c r="B119" s="258">
        <v>291.08461538461535</v>
      </c>
      <c r="C119" s="257">
        <v>5</v>
      </c>
      <c r="D119" s="258">
        <v>55.292307692307688</v>
      </c>
      <c r="E119" s="260">
        <v>0.7</v>
      </c>
      <c r="F119" s="260">
        <v>0.16800000000000001</v>
      </c>
      <c r="G119" s="260">
        <v>0.13200000000000001</v>
      </c>
      <c r="H119" s="260">
        <v>0</v>
      </c>
      <c r="I119" s="53">
        <f t="shared" si="4"/>
        <v>11.861538461538462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>
        <v>60</v>
      </c>
      <c r="B120" s="258">
        <v>342.42307692307696</v>
      </c>
      <c r="C120" s="258">
        <v>6</v>
      </c>
      <c r="D120" s="258">
        <v>54.261538461538464</v>
      </c>
      <c r="E120" s="263">
        <v>0.7</v>
      </c>
      <c r="F120" s="263">
        <v>0.16800000000000001</v>
      </c>
      <c r="G120" s="263">
        <v>0.13200000000000001</v>
      </c>
      <c r="H120" s="263">
        <v>0</v>
      </c>
      <c r="I120" s="53">
        <f t="shared" si="4"/>
        <v>10.663076923076932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>
        <v>70</v>
      </c>
      <c r="B121" s="264">
        <v>379.99230769230769</v>
      </c>
      <c r="C121" s="264">
        <v>7</v>
      </c>
      <c r="D121" s="264">
        <v>52.669230769230765</v>
      </c>
      <c r="E121" s="263">
        <v>0.7</v>
      </c>
      <c r="F121" s="263">
        <v>0.16800000000000001</v>
      </c>
      <c r="G121" s="263">
        <v>0.13200000000000001</v>
      </c>
      <c r="H121" s="263">
        <v>0</v>
      </c>
      <c r="I121" s="53">
        <f t="shared" si="4"/>
        <v>9.1830769230769196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>
        <v>80</v>
      </c>
      <c r="B122" s="264">
        <v>402.90769230769229</v>
      </c>
      <c r="C122" s="264">
        <v>8</v>
      </c>
      <c r="D122" s="264">
        <v>402.90769230769229</v>
      </c>
      <c r="E122" s="263">
        <v>0.7</v>
      </c>
      <c r="F122" s="263">
        <v>0.16800000000000001</v>
      </c>
      <c r="G122" s="263">
        <v>0.13200000000000001</v>
      </c>
      <c r="H122" s="263">
        <v>0</v>
      </c>
      <c r="I122" s="53">
        <f t="shared" si="4"/>
        <v>7.5584615384615343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24</v>
      </c>
      <c r="B136" s="52" t="str">
        <f>IF(B13="","",B13)</f>
        <v>Erable sycomore</v>
      </c>
      <c r="D136" s="229" t="s">
        <v>45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46</v>
      </c>
      <c r="C138" s="267" t="s">
        <v>47</v>
      </c>
      <c r="D138" s="267"/>
      <c r="E138" s="268" t="s">
        <v>48</v>
      </c>
      <c r="F138" s="269"/>
      <c r="G138" s="269"/>
      <c r="H138" s="270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49</v>
      </c>
      <c r="B139" s="36" t="s">
        <v>50</v>
      </c>
      <c r="C139" s="48" t="s">
        <v>51</v>
      </c>
      <c r="D139" s="48" t="s">
        <v>52</v>
      </c>
      <c r="E139" s="36" t="s">
        <v>53</v>
      </c>
      <c r="F139" s="36" t="s">
        <v>54</v>
      </c>
      <c r="G139" s="36" t="s">
        <v>55</v>
      </c>
      <c r="H139" s="36" t="s">
        <v>56</v>
      </c>
      <c r="I139" s="48" t="s">
        <v>57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>
        <v>10</v>
      </c>
      <c r="B140" s="258">
        <v>11</v>
      </c>
      <c r="C140" s="257">
        <v>0</v>
      </c>
      <c r="D140" s="258">
        <v>0</v>
      </c>
      <c r="E140" s="259">
        <v>0</v>
      </c>
      <c r="F140" s="259">
        <v>0</v>
      </c>
      <c r="G140" s="259">
        <v>0</v>
      </c>
      <c r="H140" s="259">
        <v>0</v>
      </c>
      <c r="I140" s="57">
        <f>IFERROR(B140/A140,"")</f>
        <v>1.1000000000000001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>
        <v>15</v>
      </c>
      <c r="B141" s="258">
        <v>65</v>
      </c>
      <c r="C141" s="257">
        <v>1</v>
      </c>
      <c r="D141" s="258">
        <v>32</v>
      </c>
      <c r="E141" s="259">
        <v>0</v>
      </c>
      <c r="F141" s="259">
        <v>0</v>
      </c>
      <c r="G141" s="259">
        <v>0</v>
      </c>
      <c r="H141" s="259">
        <v>1</v>
      </c>
      <c r="I141" s="57">
        <f>IF(A141&lt;&gt;0,(B141-(B140-D140))/(A141-A140),"")</f>
        <v>10.8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>
        <v>20</v>
      </c>
      <c r="B142" s="258">
        <v>102</v>
      </c>
      <c r="C142" s="257">
        <v>2</v>
      </c>
      <c r="D142" s="258">
        <v>35</v>
      </c>
      <c r="E142" s="259">
        <v>0</v>
      </c>
      <c r="F142" s="259">
        <v>0.03</v>
      </c>
      <c r="G142" s="259">
        <v>0</v>
      </c>
      <c r="H142" s="259">
        <v>0.97</v>
      </c>
      <c r="I142" s="57">
        <f>IF(A142&lt;&gt;0,(B142-(B141-D141))/(A142-A141),"")</f>
        <v>13.8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>
        <v>25</v>
      </c>
      <c r="B143" s="258">
        <v>141</v>
      </c>
      <c r="C143" s="257">
        <v>3</v>
      </c>
      <c r="D143" s="258">
        <v>35</v>
      </c>
      <c r="E143" s="259">
        <v>0.03</v>
      </c>
      <c r="F143" s="259">
        <v>0.23</v>
      </c>
      <c r="G143" s="259">
        <v>0</v>
      </c>
      <c r="H143" s="259">
        <v>0.74</v>
      </c>
      <c r="I143" s="57">
        <f t="shared" ref="I143:I159" si="5">IF(A143&lt;&gt;0,(B143-(B142-D142))/(A143-A142),"")</f>
        <v>14.8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>
        <v>30</v>
      </c>
      <c r="B144" s="258">
        <v>177</v>
      </c>
      <c r="C144" s="257">
        <v>4</v>
      </c>
      <c r="D144" s="258">
        <v>35</v>
      </c>
      <c r="E144" s="259">
        <v>0.2</v>
      </c>
      <c r="F144" s="259">
        <v>0.43</v>
      </c>
      <c r="G144" s="259">
        <v>0</v>
      </c>
      <c r="H144" s="259">
        <v>0.37</v>
      </c>
      <c r="I144" s="57">
        <f t="shared" si="5"/>
        <v>14.2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>
        <v>35</v>
      </c>
      <c r="B145" s="60">
        <v>206</v>
      </c>
      <c r="C145" s="50">
        <v>5</v>
      </c>
      <c r="D145" s="60">
        <v>35</v>
      </c>
      <c r="E145" s="51">
        <v>0.49</v>
      </c>
      <c r="F145" s="51">
        <v>0.34</v>
      </c>
      <c r="G145" s="51">
        <v>0</v>
      </c>
      <c r="H145" s="51">
        <v>0.17</v>
      </c>
      <c r="I145" s="57">
        <f t="shared" si="5"/>
        <v>12.8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>
        <v>40</v>
      </c>
      <c r="B146" s="60">
        <v>228</v>
      </c>
      <c r="C146" s="50">
        <v>6</v>
      </c>
      <c r="D146" s="60">
        <v>35</v>
      </c>
      <c r="E146" s="51">
        <v>0.71</v>
      </c>
      <c r="F146" s="51">
        <v>0.2</v>
      </c>
      <c r="G146" s="51">
        <v>0</v>
      </c>
      <c r="H146" s="51">
        <v>0.09</v>
      </c>
      <c r="I146" s="57">
        <f t="shared" si="5"/>
        <v>11.4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>
        <v>45</v>
      </c>
      <c r="B147" s="60">
        <v>242</v>
      </c>
      <c r="C147" s="50">
        <v>7</v>
      </c>
      <c r="D147" s="60">
        <v>24</v>
      </c>
      <c r="E147" s="51">
        <v>0.83</v>
      </c>
      <c r="F147" s="51">
        <v>0.13</v>
      </c>
      <c r="G147" s="51">
        <v>0</v>
      </c>
      <c r="H147" s="51">
        <v>0.04</v>
      </c>
      <c r="I147" s="57">
        <f>IF(A147&lt;&gt;0,(B147-(B146-D146))/(A147-A146),"")</f>
        <v>9.8000000000000007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>
        <v>50</v>
      </c>
      <c r="B148" s="60">
        <v>261</v>
      </c>
      <c r="C148" s="50">
        <v>8</v>
      </c>
      <c r="D148" s="60">
        <v>19</v>
      </c>
      <c r="E148" s="51">
        <v>0.84</v>
      </c>
      <c r="F148" s="51">
        <v>0.11</v>
      </c>
      <c r="G148" s="51">
        <v>0</v>
      </c>
      <c r="H148" s="51">
        <v>0.05</v>
      </c>
      <c r="I148" s="57">
        <f t="shared" si="5"/>
        <v>8.6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>
        <v>55</v>
      </c>
      <c r="B149" s="60">
        <v>279</v>
      </c>
      <c r="C149" s="50">
        <v>9</v>
      </c>
      <c r="D149" s="60">
        <v>16</v>
      </c>
      <c r="E149" s="51">
        <v>0.88</v>
      </c>
      <c r="F149" s="51">
        <v>0.06</v>
      </c>
      <c r="G149" s="51">
        <v>0</v>
      </c>
      <c r="H149" s="51">
        <v>0.06</v>
      </c>
      <c r="I149" s="57">
        <f t="shared" si="5"/>
        <v>7.4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>
        <v>60</v>
      </c>
      <c r="B150" s="60">
        <v>294</v>
      </c>
      <c r="C150" s="50">
        <v>10</v>
      </c>
      <c r="D150" s="60">
        <v>14</v>
      </c>
      <c r="E150" s="51">
        <v>0.93</v>
      </c>
      <c r="F150" s="51">
        <v>7.0000000000000007E-2</v>
      </c>
      <c r="G150" s="51">
        <v>0</v>
      </c>
      <c r="H150" s="51">
        <v>0</v>
      </c>
      <c r="I150" s="57">
        <f t="shared" si="5"/>
        <v>6.2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>
        <v>65</v>
      </c>
      <c r="B151" s="60">
        <v>306</v>
      </c>
      <c r="C151" s="50">
        <v>11</v>
      </c>
      <c r="D151" s="60">
        <v>13</v>
      </c>
      <c r="E151" s="51">
        <v>0.92</v>
      </c>
      <c r="F151" s="51">
        <v>0.08</v>
      </c>
      <c r="G151" s="51">
        <v>0</v>
      </c>
      <c r="H151" s="51">
        <v>0</v>
      </c>
      <c r="I151" s="57">
        <f t="shared" si="5"/>
        <v>5.2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>
        <v>70</v>
      </c>
      <c r="B152" s="60">
        <v>316</v>
      </c>
      <c r="C152" s="50">
        <v>12</v>
      </c>
      <c r="D152" s="60">
        <v>13</v>
      </c>
      <c r="E152" s="54">
        <v>0.92</v>
      </c>
      <c r="F152" s="54">
        <v>0</v>
      </c>
      <c r="G152" s="54">
        <v>0</v>
      </c>
      <c r="H152" s="54">
        <v>0.08</v>
      </c>
      <c r="I152" s="57">
        <f t="shared" si="5"/>
        <v>4.5999999999999996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>
        <v>75</v>
      </c>
      <c r="B153" s="60">
        <v>324</v>
      </c>
      <c r="C153" s="50">
        <v>13</v>
      </c>
      <c r="D153" s="60">
        <v>12</v>
      </c>
      <c r="E153" s="54">
        <v>0.92</v>
      </c>
      <c r="F153" s="54">
        <v>0</v>
      </c>
      <c r="G153" s="54">
        <v>0</v>
      </c>
      <c r="H153" s="54">
        <v>0.08</v>
      </c>
      <c r="I153" s="57">
        <f t="shared" si="5"/>
        <v>4.2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>
        <v>80</v>
      </c>
      <c r="B154" s="56">
        <v>330</v>
      </c>
      <c r="C154" s="50">
        <v>14</v>
      </c>
      <c r="D154" s="50">
        <v>11</v>
      </c>
      <c r="E154" s="54">
        <v>0.91</v>
      </c>
      <c r="F154" s="54">
        <v>0.09</v>
      </c>
      <c r="G154" s="54">
        <v>0</v>
      </c>
      <c r="H154" s="54">
        <v>0</v>
      </c>
      <c r="I154" s="57">
        <f t="shared" si="5"/>
        <v>3.6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26</v>
      </c>
      <c r="B162" s="52" t="str">
        <f>IF(B14="","",B14)</f>
        <v/>
      </c>
      <c r="D162" s="229" t="s">
        <v>45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46</v>
      </c>
      <c r="C164" s="267" t="s">
        <v>47</v>
      </c>
      <c r="D164" s="267"/>
      <c r="E164" s="268" t="s">
        <v>48</v>
      </c>
      <c r="F164" s="269"/>
      <c r="G164" s="269"/>
      <c r="H164" s="270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49</v>
      </c>
      <c r="B165" s="36" t="s">
        <v>50</v>
      </c>
      <c r="C165" s="48" t="s">
        <v>51</v>
      </c>
      <c r="D165" s="48" t="s">
        <v>52</v>
      </c>
      <c r="E165" s="36" t="s">
        <v>53</v>
      </c>
      <c r="F165" s="36" t="s">
        <v>54</v>
      </c>
      <c r="G165" s="36" t="s">
        <v>55</v>
      </c>
      <c r="H165" s="36" t="s">
        <v>56</v>
      </c>
      <c r="I165" s="48" t="s">
        <v>57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27</v>
      </c>
      <c r="B188" s="52" t="str">
        <f>IF(B15="","",B15)</f>
        <v/>
      </c>
      <c r="D188" s="229" t="s">
        <v>45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46</v>
      </c>
      <c r="C190" s="267" t="s">
        <v>47</v>
      </c>
      <c r="D190" s="267"/>
      <c r="E190" s="268" t="s">
        <v>48</v>
      </c>
      <c r="F190" s="269"/>
      <c r="G190" s="269"/>
      <c r="H190" s="270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49</v>
      </c>
      <c r="B191" s="36" t="s">
        <v>50</v>
      </c>
      <c r="C191" s="48" t="s">
        <v>51</v>
      </c>
      <c r="D191" s="48" t="s">
        <v>52</v>
      </c>
      <c r="E191" s="36" t="s">
        <v>53</v>
      </c>
      <c r="F191" s="36" t="s">
        <v>54</v>
      </c>
      <c r="G191" s="36" t="s">
        <v>55</v>
      </c>
      <c r="H191" s="36" t="s">
        <v>56</v>
      </c>
      <c r="I191" s="48" t="s">
        <v>57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28</v>
      </c>
      <c r="B214" s="52" t="str">
        <f>IF(B16="","",B16)</f>
        <v/>
      </c>
      <c r="D214" s="229" t="s">
        <v>45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46</v>
      </c>
      <c r="C216" s="267" t="s">
        <v>47</v>
      </c>
      <c r="D216" s="267"/>
      <c r="E216" s="268" t="s">
        <v>48</v>
      </c>
      <c r="F216" s="269"/>
      <c r="G216" s="269"/>
      <c r="H216" s="270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49</v>
      </c>
      <c r="B217" s="36" t="s">
        <v>50</v>
      </c>
      <c r="C217" s="48" t="s">
        <v>51</v>
      </c>
      <c r="D217" s="48" t="s">
        <v>52</v>
      </c>
      <c r="E217" s="36" t="s">
        <v>53</v>
      </c>
      <c r="F217" s="36" t="s">
        <v>54</v>
      </c>
      <c r="G217" s="36" t="s">
        <v>55</v>
      </c>
      <c r="H217" s="36" t="s">
        <v>56</v>
      </c>
      <c r="I217" s="48" t="s">
        <v>57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29</v>
      </c>
      <c r="B240" s="52" t="str">
        <f>IF(B17="","",B17)</f>
        <v/>
      </c>
      <c r="D240" s="229" t="s">
        <v>45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46</v>
      </c>
      <c r="C242" s="267" t="s">
        <v>47</v>
      </c>
      <c r="D242" s="267"/>
      <c r="E242" s="268" t="s">
        <v>48</v>
      </c>
      <c r="F242" s="269"/>
      <c r="G242" s="269"/>
      <c r="H242" s="270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49</v>
      </c>
      <c r="B243" s="36" t="s">
        <v>50</v>
      </c>
      <c r="C243" s="48" t="s">
        <v>51</v>
      </c>
      <c r="D243" s="48" t="s">
        <v>52</v>
      </c>
      <c r="E243" s="36" t="s">
        <v>53</v>
      </c>
      <c r="F243" s="36" t="s">
        <v>54</v>
      </c>
      <c r="G243" s="36" t="s">
        <v>55</v>
      </c>
      <c r="H243" s="36" t="s">
        <v>56</v>
      </c>
      <c r="I243" s="48" t="s">
        <v>57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30</v>
      </c>
      <c r="B266" s="52" t="str">
        <f>IF(B18="","",B18)</f>
        <v/>
      </c>
      <c r="D266" s="229" t="s">
        <v>45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46</v>
      </c>
      <c r="C268" s="267" t="s">
        <v>47</v>
      </c>
      <c r="D268" s="267"/>
      <c r="E268" s="268" t="s">
        <v>48</v>
      </c>
      <c r="F268" s="269"/>
      <c r="G268" s="269"/>
      <c r="H268" s="270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49</v>
      </c>
      <c r="B269" s="36" t="s">
        <v>50</v>
      </c>
      <c r="C269" s="48" t="s">
        <v>51</v>
      </c>
      <c r="D269" s="48" t="s">
        <v>52</v>
      </c>
      <c r="E269" s="36" t="s">
        <v>53</v>
      </c>
      <c r="F269" s="36" t="s">
        <v>54</v>
      </c>
      <c r="G269" s="36" t="s">
        <v>55</v>
      </c>
      <c r="H269" s="36" t="s">
        <v>56</v>
      </c>
      <c r="I269" s="48" t="s">
        <v>57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Normal="100" workbookViewId="0">
      <selection activeCell="F17" sqref="F17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0" t="s">
        <v>59</v>
      </c>
      <c r="C2" s="281"/>
      <c r="D2" s="281"/>
      <c r="E2" s="281"/>
      <c r="F2" s="281"/>
      <c r="G2" s="282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9"/>
      <c r="C4" s="279"/>
      <c r="D4" s="279"/>
      <c r="E4" s="279"/>
      <c r="F4" s="279"/>
      <c r="G4" s="279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60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61</v>
      </c>
      <c r="C7" s="100" t="s">
        <v>62</v>
      </c>
      <c r="D7" s="215"/>
      <c r="E7" s="101"/>
      <c r="F7" s="26" t="s">
        <v>61</v>
      </c>
      <c r="G7" s="100" t="s">
        <v>63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64</v>
      </c>
      <c r="D8" s="23"/>
      <c r="E8" s="105">
        <v>4</v>
      </c>
      <c r="F8" s="61">
        <v>1</v>
      </c>
      <c r="G8" s="102" t="s">
        <v>65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66</v>
      </c>
      <c r="D9" s="23"/>
      <c r="E9" s="105">
        <v>5</v>
      </c>
      <c r="F9" s="61">
        <v>0</v>
      </c>
      <c r="G9" s="103" t="s">
        <v>67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68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69</v>
      </c>
      <c r="D13" s="216"/>
      <c r="E13" s="99"/>
      <c r="F13" s="107"/>
      <c r="G13" s="98" t="s">
        <v>70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71</v>
      </c>
      <c r="D14" s="216"/>
      <c r="E14" s="99"/>
      <c r="F14" s="107"/>
      <c r="G14" s="98" t="s">
        <v>72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61</v>
      </c>
      <c r="C15" s="4"/>
      <c r="D15" s="23"/>
      <c r="E15" s="4"/>
      <c r="F15" s="4"/>
      <c r="G15" s="2" t="s">
        <v>73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74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75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76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6" t="s">
        <v>77</v>
      </c>
      <c r="C1" s="287"/>
      <c r="D1" s="287"/>
      <c r="E1" s="287"/>
      <c r="F1" s="287"/>
      <c r="G1" s="287"/>
      <c r="H1" s="288"/>
      <c r="I1" s="283" t="str">
        <f>IF('Données projet'!$B$9="","",'Données projet'!$B$9)</f>
        <v>Douglas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  <c r="AB1" s="284"/>
      <c r="AC1" s="285"/>
      <c r="AD1" s="284" t="str">
        <f>IF('Données projet'!$B$10="","",'Données projet'!$B$10)</f>
        <v>Sapin de Nordmann</v>
      </c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5"/>
      <c r="AY1" s="283" t="str">
        <f>IF('Données projet'!$B$11="","",'Données projet'!$B$11)</f>
        <v>Cèdre de l'Atlas</v>
      </c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  <c r="BS1" s="285"/>
      <c r="BT1" s="283" t="str">
        <f>IF('Données projet'!$B$12="","",'Données projet'!$B$12)</f>
        <v>Pin laricio</v>
      </c>
      <c r="BU1" s="284"/>
      <c r="BV1" s="284"/>
      <c r="BW1" s="284"/>
      <c r="BX1" s="284"/>
      <c r="BY1" s="284"/>
      <c r="BZ1" s="284"/>
      <c r="CA1" s="284"/>
      <c r="CB1" s="284"/>
      <c r="CC1" s="284"/>
      <c r="CD1" s="284"/>
      <c r="CE1" s="284"/>
      <c r="CF1" s="284"/>
      <c r="CG1" s="284"/>
      <c r="CH1" s="284"/>
      <c r="CI1" s="284"/>
      <c r="CJ1" s="284"/>
      <c r="CK1" s="284"/>
      <c r="CL1" s="284"/>
      <c r="CM1" s="284"/>
      <c r="CN1" s="285"/>
      <c r="CO1" s="283" t="str">
        <f>IF('Données projet'!$B$13="","",'Données projet'!$B$13)</f>
        <v>Erable sycomore</v>
      </c>
      <c r="CP1" s="284"/>
      <c r="CQ1" s="284"/>
      <c r="CR1" s="284"/>
      <c r="CS1" s="284"/>
      <c r="CT1" s="284"/>
      <c r="CU1" s="284"/>
      <c r="CV1" s="284"/>
      <c r="CW1" s="284"/>
      <c r="CX1" s="284"/>
      <c r="CY1" s="284"/>
      <c r="CZ1" s="284"/>
      <c r="DA1" s="284"/>
      <c r="DB1" s="284"/>
      <c r="DC1" s="284"/>
      <c r="DD1" s="284"/>
      <c r="DE1" s="284"/>
      <c r="DF1" s="284"/>
      <c r="DG1" s="284"/>
      <c r="DH1" s="284"/>
      <c r="DI1" s="285"/>
      <c r="DJ1" s="283" t="str">
        <f>IF('Données projet'!$B$14="","",'Données projet'!$B$14)</f>
        <v/>
      </c>
      <c r="DK1" s="284"/>
      <c r="DL1" s="284"/>
      <c r="DM1" s="284"/>
      <c r="DN1" s="284"/>
      <c r="DO1" s="284"/>
      <c r="DP1" s="284"/>
      <c r="DQ1" s="284"/>
      <c r="DR1" s="284"/>
      <c r="DS1" s="284"/>
      <c r="DT1" s="284"/>
      <c r="DU1" s="284"/>
      <c r="DV1" s="284"/>
      <c r="DW1" s="284"/>
      <c r="DX1" s="284"/>
      <c r="DY1" s="284"/>
      <c r="DZ1" s="284"/>
      <c r="EA1" s="284"/>
      <c r="EB1" s="284"/>
      <c r="EC1" s="284"/>
      <c r="ED1" s="285"/>
      <c r="EE1" s="283" t="str">
        <f>IF('Données projet'!$B$15="","",'Données projet'!$B$15)</f>
        <v/>
      </c>
      <c r="EF1" s="284"/>
      <c r="EG1" s="284"/>
      <c r="EH1" s="284"/>
      <c r="EI1" s="284"/>
      <c r="EJ1" s="284"/>
      <c r="EK1" s="284"/>
      <c r="EL1" s="284"/>
      <c r="EM1" s="284"/>
      <c r="EN1" s="284"/>
      <c r="EO1" s="284"/>
      <c r="EP1" s="284"/>
      <c r="EQ1" s="284"/>
      <c r="ER1" s="284"/>
      <c r="ES1" s="284"/>
      <c r="ET1" s="284"/>
      <c r="EU1" s="284"/>
      <c r="EV1" s="284"/>
      <c r="EW1" s="284"/>
      <c r="EX1" s="284"/>
      <c r="EY1" s="285"/>
      <c r="EZ1" s="283" t="str">
        <f>IF('Données projet'!$B$16="","",'Données projet'!$B$16)</f>
        <v/>
      </c>
      <c r="FA1" s="284"/>
      <c r="FB1" s="284"/>
      <c r="FC1" s="284"/>
      <c r="FD1" s="284"/>
      <c r="FE1" s="284"/>
      <c r="FF1" s="284"/>
      <c r="FG1" s="284"/>
      <c r="FH1" s="284"/>
      <c r="FI1" s="284"/>
      <c r="FJ1" s="284"/>
      <c r="FK1" s="284"/>
      <c r="FL1" s="284"/>
      <c r="FM1" s="284"/>
      <c r="FN1" s="284"/>
      <c r="FO1" s="284"/>
      <c r="FP1" s="284"/>
      <c r="FQ1" s="284"/>
      <c r="FR1" s="284"/>
      <c r="FS1" s="284"/>
      <c r="FT1" s="285"/>
      <c r="FU1" s="283" t="str">
        <f>IF('Données projet'!$B$17="","",'Données projet'!$B$17)</f>
        <v/>
      </c>
      <c r="FV1" s="284"/>
      <c r="FW1" s="284"/>
      <c r="FX1" s="284"/>
      <c r="FY1" s="284"/>
      <c r="FZ1" s="284"/>
      <c r="GA1" s="284"/>
      <c r="GB1" s="284"/>
      <c r="GC1" s="284"/>
      <c r="GD1" s="284"/>
      <c r="GE1" s="284"/>
      <c r="GF1" s="284"/>
      <c r="GG1" s="284"/>
      <c r="GH1" s="284"/>
      <c r="GI1" s="284"/>
      <c r="GJ1" s="284"/>
      <c r="GK1" s="284"/>
      <c r="GL1" s="284"/>
      <c r="GM1" s="284"/>
      <c r="GN1" s="284"/>
      <c r="GO1" s="285"/>
      <c r="GP1" s="283" t="str">
        <f>IF('Données projet'!$B$18="","",'Données projet'!$B$18)</f>
        <v/>
      </c>
      <c r="GQ1" s="284"/>
      <c r="GR1" s="284"/>
      <c r="GS1" s="284"/>
      <c r="GT1" s="284"/>
      <c r="GU1" s="284"/>
      <c r="GV1" s="284"/>
      <c r="GW1" s="284"/>
      <c r="GX1" s="284"/>
      <c r="GY1" s="284"/>
      <c r="GZ1" s="284"/>
      <c r="HA1" s="284"/>
      <c r="HB1" s="284"/>
      <c r="HC1" s="284"/>
      <c r="HD1" s="284"/>
      <c r="HE1" s="284"/>
      <c r="HF1" s="284"/>
      <c r="HG1" s="284"/>
      <c r="HH1" s="284"/>
      <c r="HI1" s="284"/>
      <c r="HJ1" s="285"/>
    </row>
    <row r="2" spans="1:218" ht="58.5" thickBot="1" x14ac:dyDescent="0.4">
      <c r="A2" s="71" t="s">
        <v>78</v>
      </c>
      <c r="B2" s="72" t="s">
        <v>79</v>
      </c>
      <c r="C2" s="5" t="s">
        <v>80</v>
      </c>
      <c r="D2" s="5" t="s">
        <v>81</v>
      </c>
      <c r="E2" s="5" t="s">
        <v>82</v>
      </c>
      <c r="F2" s="5" t="s">
        <v>83</v>
      </c>
      <c r="G2" s="5" t="s">
        <v>84</v>
      </c>
      <c r="H2" s="66" t="s">
        <v>85</v>
      </c>
      <c r="I2" s="68" t="s">
        <v>82</v>
      </c>
      <c r="J2" s="69" t="s">
        <v>83</v>
      </c>
      <c r="K2" s="6" t="s">
        <v>86</v>
      </c>
      <c r="L2" s="6" t="s">
        <v>87</v>
      </c>
      <c r="M2" s="6" t="s">
        <v>87</v>
      </c>
      <c r="N2" s="6" t="s">
        <v>88</v>
      </c>
      <c r="O2" s="6" t="s">
        <v>89</v>
      </c>
      <c r="P2" s="6" t="s">
        <v>90</v>
      </c>
      <c r="Q2" s="6" t="s">
        <v>84</v>
      </c>
      <c r="R2" s="6" t="s">
        <v>91</v>
      </c>
      <c r="S2" s="6" t="s">
        <v>92</v>
      </c>
      <c r="T2" s="6" t="s">
        <v>93</v>
      </c>
      <c r="U2" s="7" t="s">
        <v>94</v>
      </c>
      <c r="V2" s="8" t="s">
        <v>95</v>
      </c>
      <c r="W2" s="7" t="s">
        <v>53</v>
      </c>
      <c r="X2" s="7" t="s">
        <v>54</v>
      </c>
      <c r="Y2" s="7" t="s">
        <v>96</v>
      </c>
      <c r="Z2" s="8" t="s">
        <v>97</v>
      </c>
      <c r="AA2" s="8" t="s">
        <v>98</v>
      </c>
      <c r="AB2" s="8" t="s">
        <v>99</v>
      </c>
      <c r="AC2" s="9" t="s">
        <v>100</v>
      </c>
      <c r="AD2" s="69" t="s">
        <v>82</v>
      </c>
      <c r="AE2" s="69" t="s">
        <v>83</v>
      </c>
      <c r="AF2" s="6" t="s">
        <v>86</v>
      </c>
      <c r="AG2" s="6" t="s">
        <v>87</v>
      </c>
      <c r="AH2" s="6" t="s">
        <v>87</v>
      </c>
      <c r="AI2" s="6" t="s">
        <v>88</v>
      </c>
      <c r="AJ2" s="6" t="s">
        <v>89</v>
      </c>
      <c r="AK2" s="6" t="s">
        <v>90</v>
      </c>
      <c r="AL2" s="6" t="s">
        <v>84</v>
      </c>
      <c r="AM2" s="6" t="s">
        <v>91</v>
      </c>
      <c r="AN2" s="6" t="s">
        <v>92</v>
      </c>
      <c r="AO2" s="6" t="s">
        <v>93</v>
      </c>
      <c r="AP2" s="7" t="s">
        <v>94</v>
      </c>
      <c r="AQ2" s="8" t="s">
        <v>95</v>
      </c>
      <c r="AR2" s="7" t="s">
        <v>53</v>
      </c>
      <c r="AS2" s="7" t="s">
        <v>54</v>
      </c>
      <c r="AT2" s="8" t="s">
        <v>101</v>
      </c>
      <c r="AU2" s="8" t="s">
        <v>97</v>
      </c>
      <c r="AV2" s="8" t="s">
        <v>98</v>
      </c>
      <c r="AW2" s="8" t="s">
        <v>99</v>
      </c>
      <c r="AX2" s="8" t="s">
        <v>100</v>
      </c>
      <c r="AY2" s="68" t="s">
        <v>82</v>
      </c>
      <c r="AZ2" s="69" t="s">
        <v>83</v>
      </c>
      <c r="BA2" s="6" t="s">
        <v>86</v>
      </c>
      <c r="BB2" s="6" t="s">
        <v>87</v>
      </c>
      <c r="BC2" s="6" t="s">
        <v>87</v>
      </c>
      <c r="BD2" s="6" t="s">
        <v>88</v>
      </c>
      <c r="BE2" s="6" t="s">
        <v>89</v>
      </c>
      <c r="BF2" s="6" t="s">
        <v>90</v>
      </c>
      <c r="BG2" s="6" t="s">
        <v>84</v>
      </c>
      <c r="BH2" s="6" t="s">
        <v>91</v>
      </c>
      <c r="BI2" s="6" t="s">
        <v>92</v>
      </c>
      <c r="BJ2" s="6" t="s">
        <v>93</v>
      </c>
      <c r="BK2" s="7" t="s">
        <v>94</v>
      </c>
      <c r="BL2" s="8" t="s">
        <v>95</v>
      </c>
      <c r="BM2" s="7" t="s">
        <v>53</v>
      </c>
      <c r="BN2" s="7" t="s">
        <v>54</v>
      </c>
      <c r="BO2" s="8" t="s">
        <v>101</v>
      </c>
      <c r="BP2" s="8" t="s">
        <v>97</v>
      </c>
      <c r="BQ2" s="8" t="s">
        <v>98</v>
      </c>
      <c r="BR2" s="8" t="s">
        <v>99</v>
      </c>
      <c r="BS2" s="9" t="s">
        <v>100</v>
      </c>
      <c r="BT2" s="68" t="s">
        <v>82</v>
      </c>
      <c r="BU2" s="69" t="s">
        <v>83</v>
      </c>
      <c r="BV2" s="6" t="s">
        <v>86</v>
      </c>
      <c r="BW2" s="6" t="s">
        <v>87</v>
      </c>
      <c r="BX2" s="6" t="s">
        <v>87</v>
      </c>
      <c r="BY2" s="6" t="s">
        <v>88</v>
      </c>
      <c r="BZ2" s="6" t="s">
        <v>89</v>
      </c>
      <c r="CA2" s="6" t="s">
        <v>90</v>
      </c>
      <c r="CB2" s="6" t="s">
        <v>84</v>
      </c>
      <c r="CC2" s="6" t="s">
        <v>91</v>
      </c>
      <c r="CD2" s="6" t="s">
        <v>92</v>
      </c>
      <c r="CE2" s="6" t="s">
        <v>93</v>
      </c>
      <c r="CF2" s="7" t="s">
        <v>94</v>
      </c>
      <c r="CG2" s="8" t="s">
        <v>95</v>
      </c>
      <c r="CH2" s="7" t="s">
        <v>53</v>
      </c>
      <c r="CI2" s="7" t="s">
        <v>54</v>
      </c>
      <c r="CJ2" s="8" t="s">
        <v>101</v>
      </c>
      <c r="CK2" s="8" t="s">
        <v>97</v>
      </c>
      <c r="CL2" s="8" t="s">
        <v>98</v>
      </c>
      <c r="CM2" s="8" t="s">
        <v>99</v>
      </c>
      <c r="CN2" s="9" t="s">
        <v>100</v>
      </c>
      <c r="CO2" s="68" t="s">
        <v>82</v>
      </c>
      <c r="CP2" s="69" t="s">
        <v>83</v>
      </c>
      <c r="CQ2" s="6" t="s">
        <v>86</v>
      </c>
      <c r="CR2" s="6" t="s">
        <v>87</v>
      </c>
      <c r="CS2" s="6" t="s">
        <v>87</v>
      </c>
      <c r="CT2" s="6" t="s">
        <v>88</v>
      </c>
      <c r="CU2" s="6" t="s">
        <v>89</v>
      </c>
      <c r="CV2" s="6" t="s">
        <v>90</v>
      </c>
      <c r="CW2" s="6" t="s">
        <v>84</v>
      </c>
      <c r="CX2" s="6" t="s">
        <v>91</v>
      </c>
      <c r="CY2" s="6" t="s">
        <v>92</v>
      </c>
      <c r="CZ2" s="6" t="s">
        <v>93</v>
      </c>
      <c r="DA2" s="7" t="s">
        <v>94</v>
      </c>
      <c r="DB2" s="8" t="s">
        <v>95</v>
      </c>
      <c r="DC2" s="7" t="s">
        <v>53</v>
      </c>
      <c r="DD2" s="7" t="s">
        <v>54</v>
      </c>
      <c r="DE2" s="8" t="s">
        <v>101</v>
      </c>
      <c r="DF2" s="8" t="s">
        <v>97</v>
      </c>
      <c r="DG2" s="8" t="s">
        <v>98</v>
      </c>
      <c r="DH2" s="8" t="s">
        <v>99</v>
      </c>
      <c r="DI2" s="9" t="s">
        <v>100</v>
      </c>
      <c r="DJ2" s="68" t="s">
        <v>82</v>
      </c>
      <c r="DK2" s="69" t="s">
        <v>83</v>
      </c>
      <c r="DL2" s="6" t="s">
        <v>86</v>
      </c>
      <c r="DM2" s="6" t="s">
        <v>87</v>
      </c>
      <c r="DN2" s="6" t="s">
        <v>87</v>
      </c>
      <c r="DO2" s="6" t="s">
        <v>88</v>
      </c>
      <c r="DP2" s="6" t="s">
        <v>89</v>
      </c>
      <c r="DQ2" s="6" t="s">
        <v>90</v>
      </c>
      <c r="DR2" s="6" t="s">
        <v>84</v>
      </c>
      <c r="DS2" s="6" t="s">
        <v>91</v>
      </c>
      <c r="DT2" s="6" t="s">
        <v>92</v>
      </c>
      <c r="DU2" s="6" t="s">
        <v>93</v>
      </c>
      <c r="DV2" s="7" t="s">
        <v>94</v>
      </c>
      <c r="DW2" s="8" t="s">
        <v>95</v>
      </c>
      <c r="DX2" s="7" t="s">
        <v>53</v>
      </c>
      <c r="DY2" s="7" t="s">
        <v>54</v>
      </c>
      <c r="DZ2" s="8" t="s">
        <v>101</v>
      </c>
      <c r="EA2" s="8" t="s">
        <v>97</v>
      </c>
      <c r="EB2" s="8" t="s">
        <v>98</v>
      </c>
      <c r="EC2" s="8" t="s">
        <v>99</v>
      </c>
      <c r="ED2" s="9" t="s">
        <v>100</v>
      </c>
      <c r="EE2" s="68" t="s">
        <v>82</v>
      </c>
      <c r="EF2" s="69" t="s">
        <v>83</v>
      </c>
      <c r="EG2" s="6" t="s">
        <v>86</v>
      </c>
      <c r="EH2" s="6" t="s">
        <v>87</v>
      </c>
      <c r="EI2" s="6" t="s">
        <v>87</v>
      </c>
      <c r="EJ2" s="6" t="s">
        <v>88</v>
      </c>
      <c r="EK2" s="6" t="s">
        <v>89</v>
      </c>
      <c r="EL2" s="6" t="s">
        <v>90</v>
      </c>
      <c r="EM2" s="6" t="s">
        <v>84</v>
      </c>
      <c r="EN2" s="6" t="s">
        <v>91</v>
      </c>
      <c r="EO2" s="6" t="s">
        <v>92</v>
      </c>
      <c r="EP2" s="6" t="s">
        <v>93</v>
      </c>
      <c r="EQ2" s="7" t="s">
        <v>94</v>
      </c>
      <c r="ER2" s="8" t="s">
        <v>95</v>
      </c>
      <c r="ES2" s="7" t="s">
        <v>53</v>
      </c>
      <c r="ET2" s="7" t="s">
        <v>54</v>
      </c>
      <c r="EU2" s="8" t="s">
        <v>101</v>
      </c>
      <c r="EV2" s="8" t="s">
        <v>97</v>
      </c>
      <c r="EW2" s="8" t="s">
        <v>98</v>
      </c>
      <c r="EX2" s="8" t="s">
        <v>99</v>
      </c>
      <c r="EY2" s="9" t="s">
        <v>100</v>
      </c>
      <c r="EZ2" s="68" t="s">
        <v>82</v>
      </c>
      <c r="FA2" s="69" t="s">
        <v>83</v>
      </c>
      <c r="FB2" s="6" t="s">
        <v>86</v>
      </c>
      <c r="FC2" s="6" t="s">
        <v>87</v>
      </c>
      <c r="FD2" s="6" t="s">
        <v>87</v>
      </c>
      <c r="FE2" s="6" t="s">
        <v>88</v>
      </c>
      <c r="FF2" s="6" t="s">
        <v>89</v>
      </c>
      <c r="FG2" s="6" t="s">
        <v>90</v>
      </c>
      <c r="FH2" s="6" t="s">
        <v>84</v>
      </c>
      <c r="FI2" s="6" t="s">
        <v>91</v>
      </c>
      <c r="FJ2" s="6" t="s">
        <v>92</v>
      </c>
      <c r="FK2" s="6" t="s">
        <v>93</v>
      </c>
      <c r="FL2" s="7" t="s">
        <v>94</v>
      </c>
      <c r="FM2" s="8" t="s">
        <v>95</v>
      </c>
      <c r="FN2" s="7" t="s">
        <v>53</v>
      </c>
      <c r="FO2" s="7" t="s">
        <v>54</v>
      </c>
      <c r="FP2" s="8" t="s">
        <v>102</v>
      </c>
      <c r="FQ2" s="8" t="s">
        <v>97</v>
      </c>
      <c r="FR2" s="8" t="s">
        <v>98</v>
      </c>
      <c r="FS2" s="8" t="s">
        <v>99</v>
      </c>
      <c r="FT2" s="9" t="s">
        <v>100</v>
      </c>
      <c r="FU2" s="68" t="s">
        <v>82</v>
      </c>
      <c r="FV2" s="69" t="s">
        <v>83</v>
      </c>
      <c r="FW2" s="6" t="s">
        <v>86</v>
      </c>
      <c r="FX2" s="6" t="s">
        <v>87</v>
      </c>
      <c r="FY2" s="6" t="s">
        <v>87</v>
      </c>
      <c r="FZ2" s="6" t="s">
        <v>88</v>
      </c>
      <c r="GA2" s="6" t="s">
        <v>89</v>
      </c>
      <c r="GB2" s="6" t="s">
        <v>90</v>
      </c>
      <c r="GC2" s="6" t="s">
        <v>84</v>
      </c>
      <c r="GD2" s="6" t="s">
        <v>91</v>
      </c>
      <c r="GE2" s="6" t="s">
        <v>92</v>
      </c>
      <c r="GF2" s="6" t="s">
        <v>93</v>
      </c>
      <c r="GG2" s="7" t="s">
        <v>94</v>
      </c>
      <c r="GH2" s="8" t="s">
        <v>95</v>
      </c>
      <c r="GI2" s="7" t="s">
        <v>53</v>
      </c>
      <c r="GJ2" s="7" t="s">
        <v>54</v>
      </c>
      <c r="GK2" s="8" t="s">
        <v>101</v>
      </c>
      <c r="GL2" s="8" t="s">
        <v>97</v>
      </c>
      <c r="GM2" s="8" t="s">
        <v>98</v>
      </c>
      <c r="GN2" s="8" t="s">
        <v>99</v>
      </c>
      <c r="GO2" s="8" t="s">
        <v>100</v>
      </c>
      <c r="GP2" s="68" t="s">
        <v>82</v>
      </c>
      <c r="GQ2" s="69" t="s">
        <v>83</v>
      </c>
      <c r="GR2" s="6" t="s">
        <v>86</v>
      </c>
      <c r="GS2" s="6" t="s">
        <v>87</v>
      </c>
      <c r="GT2" s="6" t="s">
        <v>87</v>
      </c>
      <c r="GU2" s="6" t="s">
        <v>88</v>
      </c>
      <c r="GV2" s="6" t="s">
        <v>89</v>
      </c>
      <c r="GW2" s="6" t="s">
        <v>90</v>
      </c>
      <c r="GX2" s="6" t="s">
        <v>84</v>
      </c>
      <c r="GY2" s="6" t="s">
        <v>91</v>
      </c>
      <c r="GZ2" s="6" t="s">
        <v>92</v>
      </c>
      <c r="HA2" s="6" t="s">
        <v>93</v>
      </c>
      <c r="HB2" s="7" t="s">
        <v>94</v>
      </c>
      <c r="HC2" s="8" t="s">
        <v>95</v>
      </c>
      <c r="HD2" s="7" t="s">
        <v>53</v>
      </c>
      <c r="HE2" s="7" t="s">
        <v>54</v>
      </c>
      <c r="HF2" s="8" t="s">
        <v>101</v>
      </c>
      <c r="HG2" s="8" t="s">
        <v>97</v>
      </c>
      <c r="HH2" s="8" t="s">
        <v>98</v>
      </c>
      <c r="HI2" s="8" t="s">
        <v>99</v>
      </c>
      <c r="HJ2" s="9" t="s">
        <v>100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278.5296012747549</v>
      </c>
      <c r="T3" s="59">
        <f>IF('Données projet'!E9&gt;30,$R$33-$H$33,LOOKUP('Données projet'!$E$9,$A$3:$A$203,R3:R203)-LOOKUP('Données projet'!$E$9,$A$3:$A$203,$H$3:$H$203))</f>
        <v>370.55343097937077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255.05550867459038</v>
      </c>
      <c r="AO3" s="59">
        <f>IF('Données projet'!E10&gt;30,$AM$33-$H$33,LOOKUP('Données projet'!$E$10,$A$3:$A$203,AM3:AM203)-LOOKUP('Données projet'!$E$10,$A$3:$A$203,$H$3:$H$203))</f>
        <v>119.28597757550295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181.79645720099597</v>
      </c>
      <c r="BJ3" s="59">
        <f>IF('Données projet'!E11&gt;30,$BH$33-$H$33,LOOKUP('Données projet'!$E$11,$A$3:$A$203,BH3:BH203)-LOOKUP('Données projet'!$E$11,$A$3:$A$203,$H$3:$H$203))</f>
        <v>120.20040029102233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213.18424462765137</v>
      </c>
      <c r="CE3" s="59">
        <f>IF('Données projet'!E12&gt;30,$CC$33-$H$33,LOOKUP('Données projet'!$E$12,$A$3:$A$203,CC3:CC203)-LOOKUP('Données projet'!$E$12,$A$3:$A$203,$H$3:$H$203))</f>
        <v>158.77848520346532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279.49721661620544</v>
      </c>
      <c r="CZ3" s="59">
        <f>IF('Données projet'!E13&gt;30,$CX$33-$H$33,LOOKUP('Données projet'!$E$13,$A$3:$A$203,CX3:CX203)-LOOKUP('Données projet'!$E$13,$A$3:$A$203,$H$3:$H$203))</f>
        <v>275.18739333988754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10.16068376068376</v>
      </c>
      <c r="N4" s="13">
        <f>IF('Données projet'!$A$36&gt;35,N3+M4-V3,IF(A4&lt;'Données projet'!$A$36,$K$205^A4,IF(A4='Données projet'!$A$36,'Données projet'!$B$36,N3+M4-V3)))</f>
        <v>1.3356034260773062</v>
      </c>
      <c r="O4" s="13">
        <f>N4*VLOOKUP('Données projet'!$B$9,Paramètres!$A$1:$I$89,3,0)*VLOOKUP('Données projet'!$B$9,Paramètres!$A$1:$I$89,5,0)</f>
        <v>0.7466023151772142</v>
      </c>
      <c r="P4" s="13">
        <f>EXP(-1.0587+0.8836*LN(O4)+0.284)</f>
        <v>0.35597032812689977</v>
      </c>
      <c r="Q4" s="20">
        <f t="shared" ref="Q4:Q34" si="2">(O4+P4)*0.475*44/12</f>
        <v>1.9203140204213316</v>
      </c>
      <c r="R4" s="59">
        <f t="shared" si="0"/>
        <v>295.25364735375467</v>
      </c>
      <c r="S4" s="59">
        <f ca="1">AVERAGE(OFFSET($R$3,0,0,'Données projet'!$E$9+1,1))-AVERAGE(OFFSET($H$3,0,0,'Données projet'!$E$9+1,1))</f>
        <v>278.5296012747549</v>
      </c>
      <c r="T4" s="59">
        <f>$T$3</f>
        <v>370.55343097937077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4.746666666666667</v>
      </c>
      <c r="AI4" s="13">
        <f>IF('Données projet'!$A$62&gt;35,AI3+AH4-AQ3,IF(A4&lt;'Données projet'!$A$62,$AF$205^A4,IF(A4='Données projet'!$A$62,'Données projet'!$B$62,AI3+AH4-AQ3)))</f>
        <v>1.1797328328058723</v>
      </c>
      <c r="AJ4" s="13">
        <f>AI4*VLOOKUP('Données projet'!$B$10,Paramètres!$A$1:$I$89,3,0)*VLOOKUP('Données projet'!$B$10,Paramètres!$A$1:$I$89,5,0)</f>
        <v>0.56745149257962457</v>
      </c>
      <c r="AK4" s="13">
        <f>EXP(-1.0587+0.8836*LN(AJ4)+0.284)</f>
        <v>0.27933380800344348</v>
      </c>
      <c r="AL4" s="20">
        <f t="shared" ref="AL4:AL67" si="4">(AJ4+AK4)*0.475*44/12</f>
        <v>1.4748177318488436</v>
      </c>
      <c r="AM4" s="59">
        <f t="shared" ref="AM4:AM67" si="5">AL4+(AD4+AE4)*44/12</f>
        <v>294.80815106518213</v>
      </c>
      <c r="AN4" s="59">
        <f ca="1">AVERAGE(OFFSET($AM$3,0,0,'Données projet'!$E$10+1,1))-AVERAGE(OFFSET($H$3,0,0,'Données projet'!$E$10+1,1))</f>
        <v>255.05550867459038</v>
      </c>
      <c r="AO4" s="59">
        <f>$AO$3</f>
        <v>119.28597757550295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4.9084615384615384</v>
      </c>
      <c r="BD4" s="12">
        <f>IF('Données projet'!$A$88&gt;35,BD3+BC4-BL3,IF(A4&lt;'Données projet'!$A$88,$BA$205^A4,IF(A4='Données projet'!$A$88,'Données projet'!$B$88,BD3+BC4-BL3)))</f>
        <v>1.1810516433311786</v>
      </c>
      <c r="BE4" s="13">
        <f>BD4*VLOOKUP('Données projet'!$B$11,Paramètres!$A$1:$I$89,3,0)*VLOOKUP('Données projet'!$B$11,Paramètres!$A$1:$I$89,5,0)</f>
        <v>0.55273216907899159</v>
      </c>
      <c r="BF4" s="13">
        <f>EXP(-1.0587+0.8836*LN(BE4)+0.284)</f>
        <v>0.27292171413945432</v>
      </c>
      <c r="BG4" s="20">
        <f t="shared" ref="BG4:BG67" si="7">(BE4+BF4)*0.475*44/12</f>
        <v>1.4380138466054599</v>
      </c>
      <c r="BH4" s="59">
        <f t="shared" ref="BH4:BH67" si="8">BG4+(AY4+AZ4)*44/12</f>
        <v>294.7713471799388</v>
      </c>
      <c r="BI4" s="59">
        <f ca="1">AVERAGE(OFFSET($BH$3,0,0,'Données projet'!$E$11+1,1))-AVERAGE(OFFSET($H$3,0,0,'Données projet'!$E$11+1,1))</f>
        <v>181.79645720099597</v>
      </c>
      <c r="BJ4" s="59">
        <f>$BJ$3</f>
        <v>120.20040029102233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5.9083916083916082</v>
      </c>
      <c r="BY4" s="12">
        <f>IF('Données projet'!$A$114&gt;35,BY3+BX4-CG3,IF(A4&lt;'Données projet'!$A$114,$BV$205^A4,IF(A4='Données projet'!$A$114,'Données projet'!$B$114,BY3+BX4-CG3)))</f>
        <v>1.2476305424001204</v>
      </c>
      <c r="BZ4" s="13">
        <f>BY4*VLOOKUP('Données projet'!$B$12,Paramètres!$A$1:$I$89,3,0)*VLOOKUP('Données projet'!$B$12,Paramètres!$A$1:$I$89,5,0)</f>
        <v>0.74608306435527205</v>
      </c>
      <c r="CA4" s="13">
        <f>EXP(-1.0587+0.8836*LN(BZ4)+0.284)</f>
        <v>0.35575156458325191</v>
      </c>
      <c r="CB4" s="20">
        <f t="shared" ref="CB4:CB67" si="10">(BZ4+CA4)*0.475*44/12</f>
        <v>1.9190286454012624</v>
      </c>
      <c r="CC4" s="59">
        <f t="shared" ref="CC4:CC67" si="11">CB4+(BT4+BU4)*44/12</f>
        <v>295.2523619787346</v>
      </c>
      <c r="CD4" s="59">
        <f ca="1">AVERAGE(OFFSET($CC$3,0,0,'Données projet'!$E$12+1,1))-AVERAGE(OFFSET($H$3,0,0,'Données projet'!$E$12+1,1))</f>
        <v>213.18424462765137</v>
      </c>
      <c r="CE4" s="59">
        <f>$CE$3</f>
        <v>158.77848520346532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1.1000000000000001</v>
      </c>
      <c r="CT4" s="12">
        <f>IF('Données projet'!$A$140&gt;35,CT3+CS4-DB3,IF(A4&lt;'Données projet'!$A$140,$CQ$205^A4,IF(A4='Données projet'!$A$140,'Données projet'!$B$140,CT3+CS4-DB3)))</f>
        <v>1.2709816152101407</v>
      </c>
      <c r="CU4" s="17">
        <f>CT4*VLOOKUP('Données projet'!$B$13,Paramètres!$A$1:$I$89,3,0)*VLOOKUP('Données projet'!$B$13,Paramètres!$A$1:$I$89,5,0)</f>
        <v>1.0111929730611879</v>
      </c>
      <c r="CV4" s="13">
        <f>EXP(-1.0587+0.8836*LN(CU4)+0.284)</f>
        <v>0.46539683474213156</v>
      </c>
      <c r="CW4" s="20">
        <f t="shared" ref="CW4:CW67" si="13">(CU4+CV4)*0.475*44/12</f>
        <v>2.5717272485907814</v>
      </c>
      <c r="CX4" s="59">
        <f t="shared" ref="CX4:CX67" si="14">CW4+(CO4+CP4)*44/12</f>
        <v>295.90506058192409</v>
      </c>
      <c r="CY4" s="59">
        <f ca="1">AVERAGE(OFFSET($CX$3,0,0,'Données projet'!$E$13+1,1))-AVERAGE(OFFSET($H$3,0,0,'Données projet'!$E$13+1,1))</f>
        <v>279.49721661620544</v>
      </c>
      <c r="CZ4" s="59">
        <f>$CZ$3</f>
        <v>275.18739333988754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10.16068376068376</v>
      </c>
      <c r="N5" s="13">
        <f>IF('Données projet'!$A$36&gt;35,N4+M5-V4,IF(A5&lt;'Données projet'!$A$36,$K$205^A5,IF(A5='Données projet'!$A$36,'Données projet'!$B$36,N4+M5-V4)))</f>
        <v>1.7838365117494384</v>
      </c>
      <c r="O5" s="13">
        <f>N5*VLOOKUP('Données projet'!$B$9,Paramètres!$A$1:$I$89,3,0)*VLOOKUP('Données projet'!$B$9,Paramètres!$A$1:$I$89,5,0)</f>
        <v>0.99716461006793611</v>
      </c>
      <c r="P5" s="13">
        <f t="shared" ref="P5:P68" si="33">EXP(-1.0587+0.8836*LN(O5)+0.284)</f>
        <v>0.4596872513511342</v>
      </c>
      <c r="Q5" s="20">
        <f t="shared" si="2"/>
        <v>2.5373503253048804</v>
      </c>
      <c r="R5" s="59">
        <f t="shared" si="0"/>
        <v>295.8706836586382</v>
      </c>
      <c r="S5" s="59">
        <f ca="1">AVERAGE(OFFSET($R$3,0,0,'Données projet'!$E$9+1,1))-AVERAGE(OFFSET($H$3,0,0,'Données projet'!$E$9+1,1))</f>
        <v>278.5296012747549</v>
      </c>
      <c r="T5" s="59">
        <f t="shared" ref="T5:T68" si="34">$T$3</f>
        <v>370.55343097937077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4.746666666666667</v>
      </c>
      <c r="AI5" s="13">
        <f>IF('Données projet'!$A$62&gt;35,AI4+AH5-AQ4,IF(A5&lt;'Données projet'!$A$62,$AF$205^A5,IF(A5='Données projet'!$A$62,'Données projet'!$B$62,AI4+AH5-AQ4)))</f>
        <v>1.3917695568001682</v>
      </c>
      <c r="AJ5" s="13">
        <f>AI5*VLOOKUP('Données projet'!$B$10,Paramètres!$A$1:$I$89,3,0)*VLOOKUP('Données projet'!$B$10,Paramètres!$A$1:$I$89,5,0)</f>
        <v>0.6694411568208809</v>
      </c>
      <c r="AK5" s="13">
        <f t="shared" ref="AK5:AK68" si="35">EXP(-1.0587+0.8836*LN(AJ5)+0.284)</f>
        <v>0.3232596880209867</v>
      </c>
      <c r="AL5" s="20">
        <f t="shared" si="4"/>
        <v>1.7289539714329194</v>
      </c>
      <c r="AM5" s="59">
        <f t="shared" si="5"/>
        <v>295.06228730476624</v>
      </c>
      <c r="AN5" s="59">
        <f ca="1">AVERAGE(OFFSET($AM$3,0,0,'Données projet'!$E$10+1,1))-AVERAGE(OFFSET($H$3,0,0,'Données projet'!$E$10+1,1))</f>
        <v>255.05550867459038</v>
      </c>
      <c r="AO5" s="59">
        <f t="shared" ref="AO5:AO68" si="36">$AO$3</f>
        <v>119.28597757550295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4.9084615384615384</v>
      </c>
      <c r="BD5" s="12">
        <f>IF('Données projet'!$A$88&gt;35,BD4+BC5-BL4,IF(A5&lt;'Données projet'!$A$88,$BA$205^A5,IF(A5='Données projet'!$A$88,'Données projet'!$B$88,BD4+BC5-BL4)))</f>
        <v>1.3948829842152777</v>
      </c>
      <c r="BE5" s="13">
        <f>BD5*VLOOKUP('Données projet'!$B$11,Paramètres!$A$1:$I$89,3,0)*VLOOKUP('Données projet'!$B$11,Paramètres!$A$1:$I$89,5,0)</f>
        <v>0.65280523661274992</v>
      </c>
      <c r="BF5" s="13">
        <f t="shared" ref="BF5:BF68" si="37">EXP(-1.0587+0.8836*LN(BE5)+0.284)</f>
        <v>0.31615123301372139</v>
      </c>
      <c r="BG5" s="20">
        <f t="shared" si="7"/>
        <v>1.6875991845994376</v>
      </c>
      <c r="BH5" s="59">
        <f t="shared" si="8"/>
        <v>295.02093251793275</v>
      </c>
      <c r="BI5" s="59">
        <f ca="1">AVERAGE(OFFSET($BH$3,0,0,'Données projet'!$E$11+1,1))-AVERAGE(OFFSET($H$3,0,0,'Données projet'!$E$11+1,1))</f>
        <v>181.79645720099597</v>
      </c>
      <c r="BJ5" s="59">
        <f t="shared" ref="BJ5:BJ68" si="38">$BJ$3</f>
        <v>120.20040029102233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5.9083916083916082</v>
      </c>
      <c r="BY5" s="12">
        <f>IF('Données projet'!$A$114&gt;35,BY4+BX5-CG4,IF(A5&lt;'Données projet'!$A$114,$BV$205^A5,IF(A5='Données projet'!$A$114,'Données projet'!$B$114,BY4+BX5-CG4)))</f>
        <v>1.5565819703296186</v>
      </c>
      <c r="BZ5" s="13">
        <f>BY5*VLOOKUP('Données projet'!$B$12,Paramètres!$A$1:$I$89,3,0)*VLOOKUP('Données projet'!$B$12,Paramètres!$A$1:$I$89,5,0)</f>
        <v>0.93083601825711204</v>
      </c>
      <c r="CA5" s="13">
        <f t="shared" ref="CA5:CA68" si="39">EXP(-1.0587+0.8836*LN(BZ5)+0.284)</f>
        <v>0.43256204175421276</v>
      </c>
      <c r="CB5" s="20">
        <f t="shared" si="10"/>
        <v>2.3745849545197242</v>
      </c>
      <c r="CC5" s="59">
        <f t="shared" si="11"/>
        <v>295.70791828785303</v>
      </c>
      <c r="CD5" s="59">
        <f ca="1">AVERAGE(OFFSET($CC$3,0,0,'Données projet'!$E$12+1,1))-AVERAGE(OFFSET($H$3,0,0,'Données projet'!$E$12+1,1))</f>
        <v>213.18424462765137</v>
      </c>
      <c r="CE5" s="59">
        <f t="shared" ref="CE5:CE68" si="40">$CE$3</f>
        <v>158.77848520346532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1.1000000000000001</v>
      </c>
      <c r="CT5" s="12">
        <f>IF('Données projet'!$A$140&gt;35,CT4+CS5-DB4,IF(A5&lt;'Données projet'!$A$140,$CQ$205^A5,IF(A5='Données projet'!$A$140,'Données projet'!$B$140,CT4+CS5-DB4)))</f>
        <v>1.6153942662021783</v>
      </c>
      <c r="CU5" s="17">
        <f>CT5*VLOOKUP('Données projet'!$B$13,Paramètres!$A$1:$I$89,3,0)*VLOOKUP('Données projet'!$B$13,Paramètres!$A$1:$I$89,5,0)</f>
        <v>1.2852076781904531</v>
      </c>
      <c r="CV5" s="13">
        <f t="shared" ref="CV5:CV68" si="41">EXP(-1.0587+0.8836*LN(CU5)+0.284)</f>
        <v>0.57522914588482876</v>
      </c>
      <c r="CW5" s="20">
        <f t="shared" si="13"/>
        <v>3.2402608019311159</v>
      </c>
      <c r="CX5" s="59">
        <f t="shared" si="14"/>
        <v>296.57359413526444</v>
      </c>
      <c r="CY5" s="59">
        <f ca="1">AVERAGE(OFFSET($CX$3,0,0,'Données projet'!$E$13+1,1))-AVERAGE(OFFSET($H$3,0,0,'Données projet'!$E$13+1,1))</f>
        <v>279.49721661620544</v>
      </c>
      <c r="CZ5" s="59">
        <f t="shared" ref="CZ5:CZ68" si="42">$CZ$3</f>
        <v>275.18739333988754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10.16068376068376</v>
      </c>
      <c r="N6" s="13">
        <f>IF('Données projet'!$A$36&gt;35,N5+M6-V5,IF(A6&lt;'Données projet'!$A$36,$K$205^A6,IF(A6='Données projet'!$A$36,'Données projet'!$B$36,N5+M6-V5)))</f>
        <v>2.3824981566543406</v>
      </c>
      <c r="O6" s="13">
        <f>N6*VLOOKUP('Données projet'!$B$9,Paramètres!$A$1:$I$89,3,0)*VLOOKUP('Données projet'!$B$9,Paramètres!$A$1:$I$89,5,0)</f>
        <v>1.3318164695697763</v>
      </c>
      <c r="P6" s="13">
        <f t="shared" si="33"/>
        <v>0.59362354768914927</v>
      </c>
      <c r="Q6" s="20">
        <f t="shared" si="2"/>
        <v>3.3534746967259621</v>
      </c>
      <c r="R6" s="59">
        <f t="shared" si="0"/>
        <v>296.6868080300593</v>
      </c>
      <c r="S6" s="59">
        <f ca="1">AVERAGE(OFFSET($R$3,0,0,'Données projet'!$E$9+1,1))-AVERAGE(OFFSET($H$3,0,0,'Données projet'!$E$9+1,1))</f>
        <v>278.5296012747549</v>
      </c>
      <c r="T6" s="59">
        <f t="shared" si="34"/>
        <v>370.55343097937077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4.746666666666667</v>
      </c>
      <c r="AI6" s="13">
        <f>IF('Données projet'!$A$62&gt;35,AI5+AH6-AQ5,IF(A6&lt;'Données projet'!$A$62,$AF$205^A6,IF(A6='Données projet'!$A$62,'Données projet'!$B$62,AI5+AH6-AQ5)))</f>
        <v>1.6419162418568358</v>
      </c>
      <c r="AJ6" s="13">
        <f>AI6*VLOOKUP('Données projet'!$B$10,Paramètres!$A$1:$I$89,3,0)*VLOOKUP('Données projet'!$B$10,Paramètres!$A$1:$I$89,5,0)</f>
        <v>0.78976171233313808</v>
      </c>
      <c r="AK6" s="13">
        <f t="shared" si="35"/>
        <v>0.37409301310973964</v>
      </c>
      <c r="AL6" s="20">
        <f t="shared" si="4"/>
        <v>2.0270469801463453</v>
      </c>
      <c r="AM6" s="59">
        <f t="shared" si="5"/>
        <v>295.36038031347965</v>
      </c>
      <c r="AN6" s="59">
        <f ca="1">AVERAGE(OFFSET($AM$3,0,0,'Données projet'!$E$10+1,1))-AVERAGE(OFFSET($H$3,0,0,'Données projet'!$E$10+1,1))</f>
        <v>255.05550867459038</v>
      </c>
      <c r="AO6" s="59">
        <f t="shared" si="36"/>
        <v>119.28597757550295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4.9084615384615384</v>
      </c>
      <c r="BD6" s="12">
        <f>IF('Données projet'!$A$88&gt;35,BD5+BC6-BL5,IF(A6&lt;'Données projet'!$A$88,$BA$205^A6,IF(A6='Données projet'!$A$88,'Données projet'!$B$88,BD5+BC6-BL5)))</f>
        <v>1.6474288407621522</v>
      </c>
      <c r="BE6" s="13">
        <f>BD6*VLOOKUP('Données projet'!$B$11,Paramètres!$A$1:$I$89,3,0)*VLOOKUP('Données projet'!$B$11,Paramètres!$A$1:$I$89,5,0)</f>
        <v>0.7709966974766872</v>
      </c>
      <c r="BF6" s="13">
        <f t="shared" si="37"/>
        <v>0.36622810482944673</v>
      </c>
      <c r="BG6" s="20">
        <f t="shared" si="7"/>
        <v>1.9806665306831832</v>
      </c>
      <c r="BH6" s="59">
        <f t="shared" si="8"/>
        <v>295.31399986401652</v>
      </c>
      <c r="BI6" s="59">
        <f ca="1">AVERAGE(OFFSET($BH$3,0,0,'Données projet'!$E$11+1,1))-AVERAGE(OFFSET($H$3,0,0,'Données projet'!$E$11+1,1))</f>
        <v>181.79645720099597</v>
      </c>
      <c r="BJ6" s="59">
        <f t="shared" si="38"/>
        <v>120.20040029102233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5.9083916083916082</v>
      </c>
      <c r="BY6" s="12">
        <f>IF('Données projet'!$A$114&gt;35,BY5+BX6-CG5,IF(A6&lt;'Données projet'!$A$114,$BV$205^A6,IF(A6='Données projet'!$A$114,'Données projet'!$B$114,BY5+BX6-CG5)))</f>
        <v>1.9420392079325903</v>
      </c>
      <c r="BZ6" s="13">
        <f>BY6*VLOOKUP('Données projet'!$B$12,Paramètres!$A$1:$I$89,3,0)*VLOOKUP('Données projet'!$B$12,Paramètres!$A$1:$I$89,5,0)</f>
        <v>1.1613394463436892</v>
      </c>
      <c r="CA6" s="13">
        <f t="shared" si="39"/>
        <v>0.52595670291925423</v>
      </c>
      <c r="CB6" s="20">
        <f t="shared" si="10"/>
        <v>2.938707459966293</v>
      </c>
      <c r="CC6" s="59">
        <f t="shared" si="11"/>
        <v>296.2720407932996</v>
      </c>
      <c r="CD6" s="59">
        <f ca="1">AVERAGE(OFFSET($CC$3,0,0,'Données projet'!$E$12+1,1))-AVERAGE(OFFSET($H$3,0,0,'Données projet'!$E$12+1,1))</f>
        <v>213.18424462765137</v>
      </c>
      <c r="CE6" s="59">
        <f t="shared" si="40"/>
        <v>158.77848520346532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1.1000000000000001</v>
      </c>
      <c r="CT6" s="12">
        <f>IF('Données projet'!$A$140&gt;35,CT5+CS6-DB5,IF(A6&lt;'Données projet'!$A$140,$CQ$205^A6,IF(A6='Données projet'!$A$140,'Données projet'!$B$140,CT5+CS6-DB5)))</f>
        <v>2.0531364136588448</v>
      </c>
      <c r="CU6" s="17">
        <f>CT6*VLOOKUP('Données projet'!$B$13,Paramètres!$A$1:$I$89,3,0)*VLOOKUP('Données projet'!$B$13,Paramètres!$A$1:$I$89,5,0)</f>
        <v>1.6334753307069771</v>
      </c>
      <c r="CV6" s="13">
        <f t="shared" si="41"/>
        <v>0.71098156578295024</v>
      </c>
      <c r="CW6" s="20">
        <f t="shared" si="13"/>
        <v>4.0832624280532892</v>
      </c>
      <c r="CX6" s="59">
        <f t="shared" si="14"/>
        <v>297.41659576138659</v>
      </c>
      <c r="CY6" s="59">
        <f ca="1">AVERAGE(OFFSET($CX$3,0,0,'Données projet'!$E$13+1,1))-AVERAGE(OFFSET($H$3,0,0,'Données projet'!$E$13+1,1))</f>
        <v>279.49721661620544</v>
      </c>
      <c r="CZ6" s="59">
        <f t="shared" si="42"/>
        <v>275.18739333988754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10.16068376068376</v>
      </c>
      <c r="N7" s="13">
        <f>IF('Données projet'!$A$36&gt;35,N6+M7-V6,IF(A7&lt;'Données projet'!$A$36,$K$205^A7,IF(A7='Données projet'!$A$36,'Données projet'!$B$36,N6+M7-V6)))</f>
        <v>3.1820727006504042</v>
      </c>
      <c r="O7" s="13">
        <f>N7*VLOOKUP('Données projet'!$B$9,Paramètres!$A$1:$I$89,3,0)*VLOOKUP('Données projet'!$B$9,Paramètres!$A$1:$I$89,5,0)</f>
        <v>1.7787786396635761</v>
      </c>
      <c r="P7" s="13">
        <f t="shared" si="33"/>
        <v>0.76658405325641277</v>
      </c>
      <c r="Q7" s="20">
        <f t="shared" si="2"/>
        <v>4.4331733568356464</v>
      </c>
      <c r="R7" s="59">
        <f t="shared" si="0"/>
        <v>297.76650669016897</v>
      </c>
      <c r="S7" s="59">
        <f ca="1">AVERAGE(OFFSET($R$3,0,0,'Données projet'!$E$9+1,1))-AVERAGE(OFFSET($H$3,0,0,'Données projet'!$E$9+1,1))</f>
        <v>278.5296012747549</v>
      </c>
      <c r="T7" s="59">
        <f t="shared" si="34"/>
        <v>370.55343097937077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4.746666666666667</v>
      </c>
      <c r="AI7" s="13">
        <f>IF('Données projet'!$A$62&gt;35,AI6+AH7-AQ6,IF(A7&lt;'Données projet'!$A$62,$AF$205^A7,IF(A7='Données projet'!$A$62,'Données projet'!$B$62,AI6+AH7-AQ6)))</f>
        <v>1.9370224992357368</v>
      </c>
      <c r="AJ7" s="13">
        <f>AI7*VLOOKUP('Données projet'!$B$10,Paramètres!$A$1:$I$89,3,0)*VLOOKUP('Données projet'!$B$10,Paramètres!$A$1:$I$89,5,0)</f>
        <v>0.93170782213238945</v>
      </c>
      <c r="AK7" s="13">
        <f t="shared" si="35"/>
        <v>0.43291999480132604</v>
      </c>
      <c r="AL7" s="20">
        <f t="shared" si="4"/>
        <v>2.376726781159554</v>
      </c>
      <c r="AM7" s="59">
        <f t="shared" si="5"/>
        <v>295.71006011449288</v>
      </c>
      <c r="AN7" s="59">
        <f ca="1">AVERAGE(OFFSET($AM$3,0,0,'Données projet'!$E$10+1,1))-AVERAGE(OFFSET($H$3,0,0,'Données projet'!$E$10+1,1))</f>
        <v>255.05550867459038</v>
      </c>
      <c r="AO7" s="59">
        <f t="shared" si="36"/>
        <v>119.28597757550295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4.9084615384615384</v>
      </c>
      <c r="BD7" s="12">
        <f>IF('Données projet'!$A$88&gt;35,BD6+BC7-BL6,IF(A7&lt;'Données projet'!$A$88,$BA$205^A7,IF(A7='Données projet'!$A$88,'Données projet'!$B$88,BD6+BC7-BL6)))</f>
        <v>1.9456985396533186</v>
      </c>
      <c r="BE7" s="13">
        <f>BD7*VLOOKUP('Données projet'!$B$11,Paramètres!$A$1:$I$89,3,0)*VLOOKUP('Données projet'!$B$11,Paramètres!$A$1:$I$89,5,0)</f>
        <v>0.91058691655775315</v>
      </c>
      <c r="BF7" s="13">
        <f t="shared" si="37"/>
        <v>0.42423691816235021</v>
      </c>
      <c r="BG7" s="20">
        <f t="shared" si="7"/>
        <v>2.32481817880418</v>
      </c>
      <c r="BH7" s="59">
        <f t="shared" si="8"/>
        <v>295.65815151213752</v>
      </c>
      <c r="BI7" s="59">
        <f ca="1">AVERAGE(OFFSET($BH$3,0,0,'Données projet'!$E$11+1,1))-AVERAGE(OFFSET($H$3,0,0,'Données projet'!$E$11+1,1))</f>
        <v>181.79645720099597</v>
      </c>
      <c r="BJ7" s="59">
        <f t="shared" si="38"/>
        <v>120.20040029102233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5.9083916083916082</v>
      </c>
      <c r="BY7" s="12">
        <f>IF('Données projet'!$A$114&gt;35,BY6+BX7-CG6,IF(A7&lt;'Données projet'!$A$114,$BV$205^A7,IF(A7='Données projet'!$A$114,'Données projet'!$B$114,BY6+BX7-CG6)))</f>
        <v>2.4229474303552379</v>
      </c>
      <c r="BZ7" s="13">
        <f>BY7*VLOOKUP('Données projet'!$B$12,Paramètres!$A$1:$I$89,3,0)*VLOOKUP('Données projet'!$B$12,Paramètres!$A$1:$I$89,5,0)</f>
        <v>1.4489225633524323</v>
      </c>
      <c r="CA7" s="13">
        <f t="shared" si="39"/>
        <v>0.63951624655701411</v>
      </c>
      <c r="CB7" s="20">
        <f t="shared" si="10"/>
        <v>3.6373642605922853</v>
      </c>
      <c r="CC7" s="59">
        <f t="shared" si="11"/>
        <v>296.97069759392559</v>
      </c>
      <c r="CD7" s="59">
        <f ca="1">AVERAGE(OFFSET($CC$3,0,0,'Données projet'!$E$12+1,1))-AVERAGE(OFFSET($H$3,0,0,'Données projet'!$E$12+1,1))</f>
        <v>213.18424462765137</v>
      </c>
      <c r="CE7" s="59">
        <f t="shared" si="40"/>
        <v>158.77848520346532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1.1000000000000001</v>
      </c>
      <c r="CT7" s="12">
        <f>IF('Données projet'!$A$140&gt;35,CT6+CS7-DB6,IF(A7&lt;'Données projet'!$A$140,$CQ$205^A7,IF(A7='Données projet'!$A$140,'Données projet'!$B$140,CT6+CS7-DB6)))</f>
        <v>2.6094986352788743</v>
      </c>
      <c r="CU7" s="17">
        <f>CT7*VLOOKUP('Données projet'!$B$13,Paramètres!$A$1:$I$89,3,0)*VLOOKUP('Données projet'!$B$13,Paramètres!$A$1:$I$89,5,0)</f>
        <v>2.0761171142278725</v>
      </c>
      <c r="CV7" s="13">
        <f t="shared" si="41"/>
        <v>0.87877116536856548</v>
      </c>
      <c r="CW7" s="20">
        <f t="shared" si="13"/>
        <v>5.14643042029713</v>
      </c>
      <c r="CX7" s="59">
        <f t="shared" si="14"/>
        <v>298.47976375363044</v>
      </c>
      <c r="CY7" s="59">
        <f ca="1">AVERAGE(OFFSET($CX$3,0,0,'Données projet'!$E$13+1,1))-AVERAGE(OFFSET($H$3,0,0,'Données projet'!$E$13+1,1))</f>
        <v>279.49721661620544</v>
      </c>
      <c r="CZ7" s="59">
        <f t="shared" si="42"/>
        <v>275.18739333988754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10.16068376068376</v>
      </c>
      <c r="N8" s="13">
        <f>IF('Données projet'!$A$36&gt;35,N7+M8-V7,IF(A8&lt;'Données projet'!$A$36,$K$205^A8,IF(A8='Données projet'!$A$36,'Données projet'!$B$36,N7+M8-V7)))</f>
        <v>4.2499872010157462</v>
      </c>
      <c r="O8" s="13">
        <f>N8*VLOOKUP('Données projet'!$B$9,Paramètres!$A$1:$I$89,3,0)*VLOOKUP('Données projet'!$B$9,Paramètres!$A$1:$I$89,5,0)</f>
        <v>2.3757428453678022</v>
      </c>
      <c r="P8" s="13">
        <f t="shared" si="33"/>
        <v>0.98993901605593615</v>
      </c>
      <c r="Q8" s="20">
        <f t="shared" si="2"/>
        <v>5.8618959086463436</v>
      </c>
      <c r="R8" s="59">
        <f t="shared" si="0"/>
        <v>299.19522924197963</v>
      </c>
      <c r="S8" s="59">
        <f ca="1">AVERAGE(OFFSET($R$3,0,0,'Données projet'!$E$9+1,1))-AVERAGE(OFFSET($H$3,0,0,'Données projet'!$E$9+1,1))</f>
        <v>278.5296012747549</v>
      </c>
      <c r="T8" s="59">
        <f t="shared" si="34"/>
        <v>370.55343097937077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4.746666666666667</v>
      </c>
      <c r="AI8" s="13">
        <f>IF('Données projet'!$A$62&gt;35,AI7+AH8-AQ7,IF(A8&lt;'Données projet'!$A$62,$AF$205^A8,IF(A8='Données projet'!$A$62,'Données projet'!$B$62,AI7+AH8-AQ7)))</f>
        <v>2.2851690402320863</v>
      </c>
      <c r="AJ8" s="13">
        <f>AI8*VLOOKUP('Données projet'!$B$10,Paramètres!$A$1:$I$89,3,0)*VLOOKUP('Données projet'!$B$10,Paramètres!$A$1:$I$89,5,0)</f>
        <v>1.0991663083516334</v>
      </c>
      <c r="AK8" s="13">
        <f t="shared" si="35"/>
        <v>0.50099765387438766</v>
      </c>
      <c r="AL8" s="20">
        <f t="shared" si="4"/>
        <v>2.7869522342103199</v>
      </c>
      <c r="AM8" s="59">
        <f t="shared" si="5"/>
        <v>296.12028556754365</v>
      </c>
      <c r="AN8" s="59">
        <f ca="1">AVERAGE(OFFSET($AM$3,0,0,'Données projet'!$E$10+1,1))-AVERAGE(OFFSET($H$3,0,0,'Données projet'!$E$10+1,1))</f>
        <v>255.05550867459038</v>
      </c>
      <c r="AO8" s="59">
        <f t="shared" si="36"/>
        <v>119.28597757550295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4.9084615384615384</v>
      </c>
      <c r="BD8" s="12">
        <f>IF('Données projet'!$A$88&gt;35,BD7+BC8-BL7,IF(A8&lt;'Données projet'!$A$88,$BA$205^A8,IF(A8='Données projet'!$A$88,'Données projet'!$B$88,BD7+BC8-BL7)))</f>
        <v>2.2979704576846265</v>
      </c>
      <c r="BE8" s="13">
        <f>BD8*VLOOKUP('Données projet'!$B$11,Paramètres!$A$1:$I$89,3,0)*VLOOKUP('Données projet'!$B$11,Paramètres!$A$1:$I$89,5,0)</f>
        <v>1.0754501741964051</v>
      </c>
      <c r="BF8" s="13">
        <f t="shared" si="37"/>
        <v>0.49143405532927165</v>
      </c>
      <c r="BG8" s="20">
        <f t="shared" si="7"/>
        <v>2.7289900330905534</v>
      </c>
      <c r="BH8" s="59">
        <f t="shared" si="8"/>
        <v>296.06232336642387</v>
      </c>
      <c r="BI8" s="59">
        <f ca="1">AVERAGE(OFFSET($BH$3,0,0,'Données projet'!$E$11+1,1))-AVERAGE(OFFSET($H$3,0,0,'Données projet'!$E$11+1,1))</f>
        <v>181.79645720099597</v>
      </c>
      <c r="BJ8" s="59">
        <f t="shared" si="38"/>
        <v>120.20040029102233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5.9083916083916082</v>
      </c>
      <c r="BY8" s="12">
        <f>IF('Données projet'!$A$114&gt;35,BY7+BX8-CG7,IF(A8&lt;'Données projet'!$A$114,$BV$205^A8,IF(A8='Données projet'!$A$114,'Données projet'!$B$114,BY7+BX8-CG7)))</f>
        <v>3.0229432167410835</v>
      </c>
      <c r="BZ8" s="13">
        <f>BY8*VLOOKUP('Données projet'!$B$12,Paramètres!$A$1:$I$89,3,0)*VLOOKUP('Données projet'!$B$12,Paramètres!$A$1:$I$89,5,0)</f>
        <v>1.807720043611168</v>
      </c>
      <c r="CA8" s="13">
        <f t="shared" si="39"/>
        <v>0.7775944813334934</v>
      </c>
      <c r="CB8" s="20">
        <f t="shared" si="10"/>
        <v>4.5027561309452855</v>
      </c>
      <c r="CC8" s="59">
        <f t="shared" si="11"/>
        <v>297.83608946427859</v>
      </c>
      <c r="CD8" s="59">
        <f ca="1">AVERAGE(OFFSET($CC$3,0,0,'Données projet'!$E$12+1,1))-AVERAGE(OFFSET($H$3,0,0,'Données projet'!$E$12+1,1))</f>
        <v>213.18424462765137</v>
      </c>
      <c r="CE8" s="59">
        <f t="shared" si="40"/>
        <v>158.77848520346532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1.1000000000000001</v>
      </c>
      <c r="CT8" s="12">
        <f>IF('Données projet'!$A$140&gt;35,CT7+CS8-DB7,IF(A8&lt;'Données projet'!$A$140,$CQ$205^A8,IF(A8='Données projet'!$A$140,'Données projet'!$B$140,CT7+CS8-DB7)))</f>
        <v>3.3166247903554016</v>
      </c>
      <c r="CU8" s="17">
        <f>CT8*VLOOKUP('Données projet'!$B$13,Paramètres!$A$1:$I$89,3,0)*VLOOKUP('Données projet'!$B$13,Paramètres!$A$1:$I$89,5,0)</f>
        <v>2.6387066832067574</v>
      </c>
      <c r="CV8" s="13">
        <f t="shared" si="41"/>
        <v>1.0861586266766543</v>
      </c>
      <c r="CW8" s="20">
        <f t="shared" si="13"/>
        <v>6.4874737480469413</v>
      </c>
      <c r="CX8" s="59">
        <f t="shared" si="14"/>
        <v>299.82080708138028</v>
      </c>
      <c r="CY8" s="59">
        <f ca="1">AVERAGE(OFFSET($CX$3,0,0,'Données projet'!$E$13+1,1))-AVERAGE(OFFSET($H$3,0,0,'Données projet'!$E$13+1,1))</f>
        <v>279.49721661620544</v>
      </c>
      <c r="CZ8" s="59">
        <f t="shared" si="42"/>
        <v>275.18739333988754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10.16068376068376</v>
      </c>
      <c r="N9" s="13">
        <f>IF('Données projet'!$A$36&gt;35,N8+M9-V8,IF(A9&lt;'Données projet'!$A$36,$K$205^A9,IF(A9='Données projet'!$A$36,'Données projet'!$B$36,N8+M9-V8)))</f>
        <v>5.6762974664613317</v>
      </c>
      <c r="O9" s="13">
        <f>N9*VLOOKUP('Données projet'!$B$9,Paramètres!$A$1:$I$89,3,0)*VLOOKUP('Données projet'!$B$9,Paramètres!$A$1:$I$89,5,0)</f>
        <v>3.1730502837518846</v>
      </c>
      <c r="P9" s="13">
        <f t="shared" si="33"/>
        <v>1.27837156453606</v>
      </c>
      <c r="Q9" s="20">
        <f t="shared" si="2"/>
        <v>7.7528930524348363</v>
      </c>
      <c r="R9" s="59">
        <f t="shared" si="0"/>
        <v>301.08622638576816</v>
      </c>
      <c r="S9" s="59">
        <f ca="1">AVERAGE(OFFSET($R$3,0,0,'Données projet'!$E$9+1,1))-AVERAGE(OFFSET($H$3,0,0,'Données projet'!$E$9+1,1))</f>
        <v>278.5296012747549</v>
      </c>
      <c r="T9" s="59">
        <f t="shared" si="34"/>
        <v>370.55343097937077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4.746666666666667</v>
      </c>
      <c r="AI9" s="13">
        <f>IF('Données projet'!$A$62&gt;35,AI8+AH9-AQ8,IF(A9&lt;'Données projet'!$A$62,$AF$205^A9,IF(A9='Données projet'!$A$62,'Données projet'!$B$62,AI8+AH9-AQ8)))</f>
        <v>2.6958889452732757</v>
      </c>
      <c r="AJ9" s="13">
        <f>AI9*VLOOKUP('Données projet'!$B$10,Paramètres!$A$1:$I$89,3,0)*VLOOKUP('Données projet'!$B$10,Paramètres!$A$1:$I$89,5,0)</f>
        <v>1.2967225826764457</v>
      </c>
      <c r="AK9" s="13">
        <f t="shared" si="35"/>
        <v>0.57978068049924147</v>
      </c>
      <c r="AL9" s="20">
        <f t="shared" si="4"/>
        <v>3.2682431833643211</v>
      </c>
      <c r="AM9" s="59">
        <f t="shared" si="5"/>
        <v>296.60157651669766</v>
      </c>
      <c r="AN9" s="59">
        <f ca="1">AVERAGE(OFFSET($AM$3,0,0,'Données projet'!$E$10+1,1))-AVERAGE(OFFSET($H$3,0,0,'Données projet'!$E$10+1,1))</f>
        <v>255.05550867459038</v>
      </c>
      <c r="AO9" s="59">
        <f t="shared" si="36"/>
        <v>119.28597757550295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4.9084615384615384</v>
      </c>
      <c r="BD9" s="12">
        <f>IF('Données projet'!$A$88&gt;35,BD8+BC9-BL8,IF(A9&lt;'Données projet'!$A$88,$BA$205^A9,IF(A9='Données projet'!$A$88,'Données projet'!$B$88,BD8+BC9-BL8)))</f>
        <v>2.7140217853749289</v>
      </c>
      <c r="BE9" s="13">
        <f>BD9*VLOOKUP('Données projet'!$B$11,Paramètres!$A$1:$I$89,3,0)*VLOOKUP('Données projet'!$B$11,Paramètres!$A$1:$I$89,5,0)</f>
        <v>1.2701621955554667</v>
      </c>
      <c r="BF9" s="13">
        <f t="shared" si="37"/>
        <v>0.56927490371064715</v>
      </c>
      <c r="BG9" s="20">
        <f t="shared" si="7"/>
        <v>3.203686281221815</v>
      </c>
      <c r="BH9" s="59">
        <f t="shared" si="8"/>
        <v>296.53701961455511</v>
      </c>
      <c r="BI9" s="59">
        <f ca="1">AVERAGE(OFFSET($BH$3,0,0,'Données projet'!$E$11+1,1))-AVERAGE(OFFSET($H$3,0,0,'Données projet'!$E$11+1,1))</f>
        <v>181.79645720099597</v>
      </c>
      <c r="BJ9" s="59">
        <f t="shared" si="38"/>
        <v>120.20040029102233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5.9083916083916082</v>
      </c>
      <c r="BY9" s="12">
        <f>IF('Données projet'!$A$114&gt;35,BY8+BX9-CG8,IF(A9&lt;'Données projet'!$A$114,$BV$205^A9,IF(A9='Données projet'!$A$114,'Données projet'!$B$114,BY8+BX9-CG8)))</f>
        <v>3.7715162851474426</v>
      </c>
      <c r="BZ9" s="13">
        <f>BY9*VLOOKUP('Données projet'!$B$12,Paramètres!$A$1:$I$89,3,0)*VLOOKUP('Données projet'!$B$12,Paramètres!$A$1:$I$89,5,0)</f>
        <v>2.255366738518171</v>
      </c>
      <c r="CA9" s="13">
        <f t="shared" si="39"/>
        <v>0.9454852486634967</v>
      </c>
      <c r="CB9" s="20">
        <f t="shared" si="10"/>
        <v>5.5748172110080709</v>
      </c>
      <c r="CC9" s="59">
        <f t="shared" si="11"/>
        <v>298.90815054434137</v>
      </c>
      <c r="CD9" s="59">
        <f ca="1">AVERAGE(OFFSET($CC$3,0,0,'Données projet'!$E$12+1,1))-AVERAGE(OFFSET($H$3,0,0,'Données projet'!$E$12+1,1))</f>
        <v>213.18424462765137</v>
      </c>
      <c r="CE9" s="59">
        <f t="shared" si="40"/>
        <v>158.77848520346532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1.1000000000000001</v>
      </c>
      <c r="CT9" s="12">
        <f>IF('Données projet'!$A$140&gt;35,CT8+CS9-DB8,IF(A9&lt;'Données projet'!$A$140,$CQ$205^A9,IF(A9='Données projet'!$A$140,'Données projet'!$B$140,CT8+CS9-DB8)))</f>
        <v>4.2153691330919028</v>
      </c>
      <c r="CU9" s="17">
        <f>CT9*VLOOKUP('Données projet'!$B$13,Paramètres!$A$1:$I$89,3,0)*VLOOKUP('Données projet'!$B$13,Paramètres!$A$1:$I$89,5,0)</f>
        <v>3.353747682287918</v>
      </c>
      <c r="CV9" s="13">
        <f t="shared" si="41"/>
        <v>1.3424889309030987</v>
      </c>
      <c r="CW9" s="20">
        <f t="shared" si="13"/>
        <v>8.1792787679743544</v>
      </c>
      <c r="CX9" s="59">
        <f t="shared" si="14"/>
        <v>301.5126121013077</v>
      </c>
      <c r="CY9" s="59">
        <f ca="1">AVERAGE(OFFSET($CX$3,0,0,'Données projet'!$E$13+1,1))-AVERAGE(OFFSET($H$3,0,0,'Données projet'!$E$13+1,1))</f>
        <v>279.49721661620544</v>
      </c>
      <c r="CZ9" s="59">
        <f t="shared" si="42"/>
        <v>275.18739333988754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10.16068376068376</v>
      </c>
      <c r="N10" s="13">
        <f>IF('Données projet'!$A$36&gt;35,N9+M10-V9,IF(A10&lt;'Données projet'!$A$36,$K$205^A10,IF(A10='Données projet'!$A$36,'Données projet'!$B$36,N9+M10-V9)))</f>
        <v>7.5812823436396872</v>
      </c>
      <c r="O10" s="13">
        <f>N10*VLOOKUP('Données projet'!$B$9,Paramètres!$A$1:$I$89,3,0)*VLOOKUP('Données projet'!$B$9,Paramètres!$A$1:$I$89,5,0)</f>
        <v>4.2379368300945854</v>
      </c>
      <c r="P10" s="13">
        <f t="shared" si="33"/>
        <v>1.6508429615446465</v>
      </c>
      <c r="Q10" s="20">
        <f t="shared" si="2"/>
        <v>10.256291470438329</v>
      </c>
      <c r="R10" s="59">
        <f t="shared" si="0"/>
        <v>303.58962480377164</v>
      </c>
      <c r="S10" s="59">
        <f ca="1">AVERAGE(OFFSET($R$3,0,0,'Données projet'!$E$9+1,1))-AVERAGE(OFFSET($H$3,0,0,'Données projet'!$E$9+1,1))</f>
        <v>278.5296012747549</v>
      </c>
      <c r="T10" s="59">
        <f t="shared" si="34"/>
        <v>370.55343097937077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4.746666666666667</v>
      </c>
      <c r="AI10" s="13">
        <f>IF('Données projet'!$A$62&gt;35,AI9+AH10-AQ9,IF(A10&lt;'Données projet'!$A$62,$AF$205^A10,IF(A10='Données projet'!$A$62,'Données projet'!$B$62,AI9+AH10-AQ9)))</f>
        <v>3.1804287023372764</v>
      </c>
      <c r="AJ10" s="13">
        <f>AI10*VLOOKUP('Données projet'!$B$10,Paramètres!$A$1:$I$89,3,0)*VLOOKUP('Données projet'!$B$10,Paramètres!$A$1:$I$89,5,0)</f>
        <v>1.5297862058242298</v>
      </c>
      <c r="AK10" s="13">
        <f t="shared" si="35"/>
        <v>0.67095251820169843</v>
      </c>
      <c r="AL10" s="20">
        <f t="shared" si="4"/>
        <v>3.8329532776784916</v>
      </c>
      <c r="AM10" s="59">
        <f t="shared" si="5"/>
        <v>297.1662866110118</v>
      </c>
      <c r="AN10" s="59">
        <f ca="1">AVERAGE(OFFSET($AM$3,0,0,'Données projet'!$E$10+1,1))-AVERAGE(OFFSET($H$3,0,0,'Données projet'!$E$10+1,1))</f>
        <v>255.05550867459038</v>
      </c>
      <c r="AO10" s="59">
        <f t="shared" si="36"/>
        <v>119.28597757550295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4.9084615384615384</v>
      </c>
      <c r="BD10" s="12">
        <f>IF('Données projet'!$A$88&gt;35,BD9+BC10-BL9,IF(A10&lt;'Données projet'!$A$88,$BA$205^A10,IF(A10='Données projet'!$A$88,'Données projet'!$B$88,BD9+BC10-BL9)))</f>
        <v>3.2053998896536791</v>
      </c>
      <c r="BE10" s="13">
        <f>BD10*VLOOKUP('Données projet'!$B$11,Paramètres!$A$1:$I$89,3,0)*VLOOKUP('Données projet'!$B$11,Paramètres!$A$1:$I$89,5,0)</f>
        <v>1.5001271483579217</v>
      </c>
      <c r="BF10" s="13">
        <f t="shared" si="37"/>
        <v>0.65944537721878049</v>
      </c>
      <c r="BG10" s="20">
        <f t="shared" si="7"/>
        <v>3.7612554820460891</v>
      </c>
      <c r="BH10" s="59">
        <f t="shared" si="8"/>
        <v>297.09458881537938</v>
      </c>
      <c r="BI10" s="59">
        <f ca="1">AVERAGE(OFFSET($BH$3,0,0,'Données projet'!$E$11+1,1))-AVERAGE(OFFSET($H$3,0,0,'Données projet'!$E$11+1,1))</f>
        <v>181.79645720099597</v>
      </c>
      <c r="BJ10" s="59">
        <f t="shared" si="38"/>
        <v>120.20040029102233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5.9083916083916082</v>
      </c>
      <c r="BY10" s="12">
        <f>IF('Données projet'!$A$114&gt;35,BY9+BX10-CG9,IF(A10&lt;'Données projet'!$A$114,$BV$205^A10,IF(A10='Données projet'!$A$114,'Données projet'!$B$114,BY9+BX10-CG9)))</f>
        <v>4.7054589085093914</v>
      </c>
      <c r="BZ10" s="13">
        <f>BY10*VLOOKUP('Données projet'!$B$12,Paramètres!$A$1:$I$89,3,0)*VLOOKUP('Données projet'!$B$12,Paramètres!$A$1:$I$89,5,0)</f>
        <v>2.8138644272886166</v>
      </c>
      <c r="CA10" s="13">
        <f t="shared" si="39"/>
        <v>1.1496253855959169</v>
      </c>
      <c r="CB10" s="20">
        <f t="shared" si="10"/>
        <v>6.9030780907738958</v>
      </c>
      <c r="CC10" s="59">
        <f t="shared" si="11"/>
        <v>300.23641142410719</v>
      </c>
      <c r="CD10" s="59">
        <f ca="1">AVERAGE(OFFSET($CC$3,0,0,'Données projet'!$E$12+1,1))-AVERAGE(OFFSET($H$3,0,0,'Données projet'!$E$12+1,1))</f>
        <v>213.18424462765137</v>
      </c>
      <c r="CE10" s="59">
        <f t="shared" si="40"/>
        <v>158.77848520346532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1.1000000000000001</v>
      </c>
      <c r="CT10" s="12">
        <f>IF('Données projet'!$A$140&gt;35,CT9+CS10-DB9,IF(A10&lt;'Données projet'!$A$140,$CQ$205^A10,IF(A10='Données projet'!$A$140,'Données projet'!$B$140,CT9+CS10-DB9)))</f>
        <v>5.3576566694841175</v>
      </c>
      <c r="CU10" s="17">
        <f>CT10*VLOOKUP('Données projet'!$B$13,Paramètres!$A$1:$I$89,3,0)*VLOOKUP('Données projet'!$B$13,Paramètres!$A$1:$I$89,5,0)</f>
        <v>4.2625516462415645</v>
      </c>
      <c r="CV10" s="13">
        <f t="shared" si="41"/>
        <v>1.6593124478620722</v>
      </c>
      <c r="CW10" s="20">
        <f t="shared" si="13"/>
        <v>10.313913297230501</v>
      </c>
      <c r="CX10" s="59">
        <f t="shared" si="14"/>
        <v>303.64724663056381</v>
      </c>
      <c r="CY10" s="59">
        <f ca="1">AVERAGE(OFFSET($CX$3,0,0,'Données projet'!$E$13+1,1))-AVERAGE(OFFSET($H$3,0,0,'Données projet'!$E$13+1,1))</f>
        <v>279.49721661620544</v>
      </c>
      <c r="CZ10" s="59">
        <f t="shared" si="42"/>
        <v>275.18739333988754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10.16068376068376</v>
      </c>
      <c r="N11" s="13">
        <f>IF('Données projet'!$A$36&gt;35,N10+M11-V10,IF(A11&lt;'Données projet'!$A$36,$K$205^A11,IF(A11='Données projet'!$A$36,'Données projet'!$B$36,N10+M11-V10)))</f>
        <v>10.125586672224557</v>
      </c>
      <c r="O11" s="13">
        <f>N11*VLOOKUP('Données projet'!$B$9,Paramètres!$A$1:$I$89,3,0)*VLOOKUP('Données projet'!$B$9,Paramètres!$A$1:$I$89,5,0)</f>
        <v>5.6602029497735273</v>
      </c>
      <c r="P11" s="13">
        <f t="shared" si="33"/>
        <v>2.1318390984944533</v>
      </c>
      <c r="Q11" s="20">
        <f t="shared" si="2"/>
        <v>13.571139900733398</v>
      </c>
      <c r="R11" s="59">
        <f t="shared" si="0"/>
        <v>306.9044732340667</v>
      </c>
      <c r="S11" s="59">
        <f ca="1">AVERAGE(OFFSET($R$3,0,0,'Données projet'!$E$9+1,1))-AVERAGE(OFFSET($H$3,0,0,'Données projet'!$E$9+1,1))</f>
        <v>278.5296012747549</v>
      </c>
      <c r="T11" s="59">
        <f t="shared" si="34"/>
        <v>370.55343097937077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4.746666666666667</v>
      </c>
      <c r="AI11" s="13">
        <f>IF('Données projet'!$A$62&gt;35,AI10+AH11-AQ10,IF(A11&lt;'Données projet'!$A$62,$AF$205^A11,IF(A11='Données projet'!$A$62,'Données projet'!$B$62,AI10+AH11-AQ10)))</f>
        <v>3.7520561625454598</v>
      </c>
      <c r="AJ11" s="13">
        <f>AI11*VLOOKUP('Données projet'!$B$10,Paramètres!$A$1:$I$89,3,0)*VLOOKUP('Données projet'!$B$10,Paramètres!$A$1:$I$89,5,0)</f>
        <v>1.8047390141843662</v>
      </c>
      <c r="AK11" s="13">
        <f t="shared" si="35"/>
        <v>0.77646133585127231</v>
      </c>
      <c r="AL11" s="20">
        <f t="shared" si="4"/>
        <v>4.4955906096454035</v>
      </c>
      <c r="AM11" s="59">
        <f t="shared" si="5"/>
        <v>297.82892394297869</v>
      </c>
      <c r="AN11" s="59">
        <f ca="1">AVERAGE(OFFSET($AM$3,0,0,'Données projet'!$E$10+1,1))-AVERAGE(OFFSET($H$3,0,0,'Données projet'!$E$10+1,1))</f>
        <v>255.05550867459038</v>
      </c>
      <c r="AO11" s="59">
        <f t="shared" si="36"/>
        <v>119.28597757550295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4.9084615384615384</v>
      </c>
      <c r="BD11" s="12">
        <f>IF('Données projet'!$A$88&gt;35,BD10+BC11-BL10,IF(A11&lt;'Données projet'!$A$88,$BA$205^A11,IF(A11='Données projet'!$A$88,'Données projet'!$B$88,BD10+BC11-BL10)))</f>
        <v>3.7857428072090569</v>
      </c>
      <c r="BE11" s="13">
        <f>BD11*VLOOKUP('Données projet'!$B$11,Paramètres!$A$1:$I$89,3,0)*VLOOKUP('Données projet'!$B$11,Paramètres!$A$1:$I$89,5,0)</f>
        <v>1.7717276337738388</v>
      </c>
      <c r="BF11" s="13">
        <f t="shared" si="37"/>
        <v>0.76389843061877893</v>
      </c>
      <c r="BG11" s="20">
        <f t="shared" si="7"/>
        <v>4.4162153954838086</v>
      </c>
      <c r="BH11" s="59">
        <f t="shared" si="8"/>
        <v>297.7495487288171</v>
      </c>
      <c r="BI11" s="59">
        <f ca="1">AVERAGE(OFFSET($BH$3,0,0,'Données projet'!$E$11+1,1))-AVERAGE(OFFSET($H$3,0,0,'Données projet'!$E$11+1,1))</f>
        <v>181.79645720099597</v>
      </c>
      <c r="BJ11" s="59">
        <f t="shared" si="38"/>
        <v>120.20040029102233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5.9083916083916082</v>
      </c>
      <c r="BY11" s="12">
        <f>IF('Données projet'!$A$114&gt;35,BY10+BX11-CG10,IF(A11&lt;'Données projet'!$A$114,$BV$205^A11,IF(A11='Données projet'!$A$114,'Données projet'!$B$114,BY10+BX11-CG10)))</f>
        <v>5.8706742502650497</v>
      </c>
      <c r="BZ11" s="13">
        <f>BY11*VLOOKUP('Données projet'!$B$12,Paramètres!$A$1:$I$89,3,0)*VLOOKUP('Données projet'!$B$12,Paramètres!$A$1:$I$89,5,0)</f>
        <v>3.5106632016584998</v>
      </c>
      <c r="CA11" s="13">
        <f t="shared" si="39"/>
        <v>1.3978415095050716</v>
      </c>
      <c r="CB11" s="20">
        <f t="shared" si="10"/>
        <v>8.5489790386098861</v>
      </c>
      <c r="CC11" s="59">
        <f t="shared" si="11"/>
        <v>301.88231237194321</v>
      </c>
      <c r="CD11" s="59">
        <f ca="1">AVERAGE(OFFSET($CC$3,0,0,'Données projet'!$E$12+1,1))-AVERAGE(OFFSET($H$3,0,0,'Données projet'!$E$12+1,1))</f>
        <v>213.18424462765137</v>
      </c>
      <c r="CE11" s="59">
        <f t="shared" si="40"/>
        <v>158.77848520346532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1.1000000000000001</v>
      </c>
      <c r="CT11" s="12">
        <f>IF('Données projet'!$A$140&gt;35,CT10+CS11-DB10,IF(A11&lt;'Données projet'!$A$140,$CQ$205^A11,IF(A11='Données projet'!$A$140,'Données projet'!$B$140,CT10+CS11-DB10)))</f>
        <v>6.8094831275223076</v>
      </c>
      <c r="CU11" s="17">
        <f>CT11*VLOOKUP('Données projet'!$B$13,Paramètres!$A$1:$I$89,3,0)*VLOOKUP('Données projet'!$B$13,Paramètres!$A$1:$I$89,5,0)</f>
        <v>5.4176247762567487</v>
      </c>
      <c r="CV11" s="13">
        <f t="shared" si="41"/>
        <v>2.0509054013412618</v>
      </c>
      <c r="CW11" s="20">
        <f t="shared" si="13"/>
        <v>13.007690059316532</v>
      </c>
      <c r="CX11" s="59">
        <f t="shared" si="14"/>
        <v>306.34102339264984</v>
      </c>
      <c r="CY11" s="59">
        <f ca="1">AVERAGE(OFFSET($CX$3,0,0,'Données projet'!$E$13+1,1))-AVERAGE(OFFSET($H$3,0,0,'Données projet'!$E$13+1,1))</f>
        <v>279.49721661620544</v>
      </c>
      <c r="CZ11" s="59">
        <f t="shared" si="42"/>
        <v>275.18739333988754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10.16068376068376</v>
      </c>
      <c r="N12" s="13">
        <f>IF('Données projet'!$A$36&gt;35,N11+M12-V11,IF(A12&lt;'Données projet'!$A$36,$K$205^A12,IF(A12='Données projet'!$A$36,'Données projet'!$B$36,N11+M12-V11)))</f>
        <v>13.523768250465828</v>
      </c>
      <c r="O12" s="13">
        <f>N12*VLOOKUP('Données projet'!$B$9,Paramètres!$A$1:$I$89,3,0)*VLOOKUP('Données projet'!$B$9,Paramètres!$A$1:$I$89,5,0)</f>
        <v>7.5597864520103979</v>
      </c>
      <c r="P12" s="13">
        <f t="shared" si="33"/>
        <v>2.7529801730003816</v>
      </c>
      <c r="Q12" s="20">
        <f t="shared" si="2"/>
        <v>17.961401871893774</v>
      </c>
      <c r="R12" s="59">
        <f t="shared" si="0"/>
        <v>311.29473520522708</v>
      </c>
      <c r="S12" s="59">
        <f ca="1">AVERAGE(OFFSET($R$3,0,0,'Données projet'!$E$9+1,1))-AVERAGE(OFFSET($H$3,0,0,'Données projet'!$E$9+1,1))</f>
        <v>278.5296012747549</v>
      </c>
      <c r="T12" s="59">
        <f t="shared" si="34"/>
        <v>370.55343097937077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4.746666666666667</v>
      </c>
      <c r="AI12" s="13">
        <f>IF('Données projet'!$A$62&gt;35,AI11+AH12-AQ11,IF(A12&lt;'Données projet'!$A$62,$AF$205^A12,IF(A12='Données projet'!$A$62,'Données projet'!$B$62,AI11+AH12-AQ11)))</f>
        <v>4.4264238454864859</v>
      </c>
      <c r="AJ12" s="13">
        <f>AI12*VLOOKUP('Données projet'!$B$10,Paramètres!$A$1:$I$89,3,0)*VLOOKUP('Données projet'!$B$10,Paramètres!$A$1:$I$89,5,0)</f>
        <v>2.1291098696789996</v>
      </c>
      <c r="AK12" s="13">
        <f t="shared" si="35"/>
        <v>0.89856165632677987</v>
      </c>
      <c r="AL12" s="20">
        <f t="shared" si="4"/>
        <v>5.2731945744600655</v>
      </c>
      <c r="AM12" s="59">
        <f t="shared" si="5"/>
        <v>298.60652790779341</v>
      </c>
      <c r="AN12" s="59">
        <f ca="1">AVERAGE(OFFSET($AM$3,0,0,'Données projet'!$E$10+1,1))-AVERAGE(OFFSET($H$3,0,0,'Données projet'!$E$10+1,1))</f>
        <v>255.05550867459038</v>
      </c>
      <c r="AO12" s="59">
        <f t="shared" si="36"/>
        <v>119.28597757550295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4.9084615384615384</v>
      </c>
      <c r="BD12" s="12">
        <f>IF('Données projet'!$A$88&gt;35,BD11+BC12-BL11,IF(A12&lt;'Données projet'!$A$88,$BA$205^A12,IF(A12='Données projet'!$A$88,'Données projet'!$B$88,BD11+BC12-BL11)))</f>
        <v>4.4711577636834461</v>
      </c>
      <c r="BE12" s="13">
        <f>BD12*VLOOKUP('Données projet'!$B$11,Paramètres!$A$1:$I$89,3,0)*VLOOKUP('Données projet'!$B$11,Paramètres!$A$1:$I$89,5,0)</f>
        <v>2.0925018334038525</v>
      </c>
      <c r="BF12" s="13">
        <f t="shared" si="37"/>
        <v>0.8848963575465858</v>
      </c>
      <c r="BG12" s="20">
        <f t="shared" si="7"/>
        <v>5.1856351825720131</v>
      </c>
      <c r="BH12" s="59">
        <f t="shared" si="8"/>
        <v>298.51896851590533</v>
      </c>
      <c r="BI12" s="59">
        <f ca="1">AVERAGE(OFFSET($BH$3,0,0,'Données projet'!$E$11+1,1))-AVERAGE(OFFSET($H$3,0,0,'Données projet'!$E$11+1,1))</f>
        <v>181.79645720099597</v>
      </c>
      <c r="BJ12" s="59">
        <f t="shared" si="38"/>
        <v>120.20040029102233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5.9083916083916082</v>
      </c>
      <c r="BY12" s="12">
        <f>IF('Données projet'!$A$114&gt;35,BY11+BX12-CG11,IF(A12&lt;'Données projet'!$A$114,$BV$205^A12,IF(A12='Données projet'!$A$114,'Données projet'!$B$114,BY11+BX12-CG11)))</f>
        <v>7.3244324991126044</v>
      </c>
      <c r="BZ12" s="13">
        <f>BY12*VLOOKUP('Données projet'!$B$12,Paramètres!$A$1:$I$89,3,0)*VLOOKUP('Données projet'!$B$12,Paramètres!$A$1:$I$89,5,0)</f>
        <v>4.3800106344693379</v>
      </c>
      <c r="CA12" s="13">
        <f t="shared" si="39"/>
        <v>1.6996500861735646</v>
      </c>
      <c r="CB12" s="20">
        <f t="shared" si="10"/>
        <v>10.588742421786387</v>
      </c>
      <c r="CC12" s="59">
        <f t="shared" si="11"/>
        <v>303.92207575511969</v>
      </c>
      <c r="CD12" s="59">
        <f ca="1">AVERAGE(OFFSET($CC$3,0,0,'Données projet'!$E$12+1,1))-AVERAGE(OFFSET($H$3,0,0,'Données projet'!$E$12+1,1))</f>
        <v>213.18424462765137</v>
      </c>
      <c r="CE12" s="59">
        <f t="shared" si="40"/>
        <v>158.77848520346532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1.1000000000000001</v>
      </c>
      <c r="CT12" s="12">
        <f>IF('Données projet'!$A$140&gt;35,CT11+CS12-DB11,IF(A12&lt;'Données projet'!$A$140,$CQ$205^A12,IF(A12='Données projet'!$A$140,'Données projet'!$B$140,CT11+CS12-DB11)))</f>
        <v>8.6547278641645029</v>
      </c>
      <c r="CU12" s="17">
        <f>CT12*VLOOKUP('Données projet'!$B$13,Paramètres!$A$1:$I$89,3,0)*VLOOKUP('Données projet'!$B$13,Paramètres!$A$1:$I$89,5,0)</f>
        <v>6.8857014887292793</v>
      </c>
      <c r="CV12" s="13">
        <f t="shared" si="41"/>
        <v>2.5349131627802968</v>
      </c>
      <c r="CW12" s="20">
        <f t="shared" si="13"/>
        <v>16.407570518045844</v>
      </c>
      <c r="CX12" s="59">
        <f t="shared" si="14"/>
        <v>309.74090385137913</v>
      </c>
      <c r="CY12" s="59">
        <f ca="1">AVERAGE(OFFSET($CX$3,0,0,'Données projet'!$E$13+1,1))-AVERAGE(OFFSET($H$3,0,0,'Données projet'!$E$13+1,1))</f>
        <v>279.49721661620544</v>
      </c>
      <c r="CZ12" s="59">
        <f t="shared" si="42"/>
        <v>275.18739333988754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10.16068376068376</v>
      </c>
      <c r="N13" s="13">
        <f>IF('Données projet'!$A$36&gt;35,N12+M13-V12,IF(A13&lt;'Données projet'!$A$36,$K$205^A13,IF(A13='Données projet'!$A$36,'Données projet'!$B$36,N12+M13-V12)))</f>
        <v>18.062391208797656</v>
      </c>
      <c r="O13" s="13">
        <f>N13*VLOOKUP('Données projet'!$B$9,Paramètres!$A$1:$I$89,3,0)*VLOOKUP('Données projet'!$B$9,Paramètres!$A$1:$I$89,5,0)</f>
        <v>10.09687668571789</v>
      </c>
      <c r="P13" s="13">
        <f t="shared" si="33"/>
        <v>3.5550993685619052</v>
      </c>
      <c r="Q13" s="20">
        <f t="shared" si="2"/>
        <v>23.777191627870639</v>
      </c>
      <c r="R13" s="59">
        <f t="shared" si="0"/>
        <v>317.11052496120396</v>
      </c>
      <c r="S13" s="59">
        <f ca="1">AVERAGE(OFFSET($R$3,0,0,'Données projet'!$E$9+1,1))-AVERAGE(OFFSET($H$3,0,0,'Données projet'!$E$9+1,1))</f>
        <v>278.5296012747549</v>
      </c>
      <c r="T13" s="59">
        <f t="shared" si="34"/>
        <v>370.55343097937077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4.746666666666667</v>
      </c>
      <c r="AI13" s="13">
        <f>IF('Données projet'!$A$62&gt;35,AI12+AH13-AQ12,IF(A13&lt;'Données projet'!$A$62,$AF$205^A13,IF(A13='Données projet'!$A$62,'Données projet'!$B$62,AI12+AH13-AQ12)))</f>
        <v>5.2219975424352345</v>
      </c>
      <c r="AJ13" s="13">
        <f>AI13*VLOOKUP('Données projet'!$B$10,Paramètres!$A$1:$I$89,3,0)*VLOOKUP('Données projet'!$B$10,Paramètres!$A$1:$I$89,5,0)</f>
        <v>2.5117808179113479</v>
      </c>
      <c r="AK13" s="13">
        <f t="shared" si="35"/>
        <v>1.0398625313847984</v>
      </c>
      <c r="AL13" s="20">
        <f t="shared" si="4"/>
        <v>6.1857788333574542</v>
      </c>
      <c r="AM13" s="59">
        <f t="shared" si="5"/>
        <v>299.51911216669077</v>
      </c>
      <c r="AN13" s="59">
        <f ca="1">AVERAGE(OFFSET($AM$3,0,0,'Données projet'!$E$10+1,1))-AVERAGE(OFFSET($H$3,0,0,'Données projet'!$E$10+1,1))</f>
        <v>255.05550867459038</v>
      </c>
      <c r="AO13" s="59">
        <f t="shared" si="36"/>
        <v>119.28597757550295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4.9084615384615384</v>
      </c>
      <c r="BD13" s="12">
        <f>IF('Données projet'!$A$88&gt;35,BD12+BC13-BL12,IF(A13&lt;'Données projet'!$A$88,$BA$205^A13,IF(A13='Données projet'!$A$88,'Données projet'!$B$88,BD12+BC13-BL12)))</f>
        <v>5.2806682243912917</v>
      </c>
      <c r="BE13" s="13">
        <f>BD13*VLOOKUP('Données projet'!$B$11,Paramètres!$A$1:$I$89,3,0)*VLOOKUP('Données projet'!$B$11,Paramètres!$A$1:$I$89,5,0)</f>
        <v>2.4713527290151243</v>
      </c>
      <c r="BF13" s="13">
        <f t="shared" si="37"/>
        <v>1.0250597883345953</v>
      </c>
      <c r="BG13" s="20">
        <f t="shared" si="7"/>
        <v>6.0895851343840945</v>
      </c>
      <c r="BH13" s="59">
        <f t="shared" si="8"/>
        <v>299.42291846771741</v>
      </c>
      <c r="BI13" s="59">
        <f ca="1">AVERAGE(OFFSET($BH$3,0,0,'Données projet'!$E$11+1,1))-AVERAGE(OFFSET($H$3,0,0,'Données projet'!$E$11+1,1))</f>
        <v>181.79645720099597</v>
      </c>
      <c r="BJ13" s="59">
        <f t="shared" si="38"/>
        <v>120.20040029102233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5.9083916083916082</v>
      </c>
      <c r="BY13" s="12">
        <f>IF('Données projet'!$A$114&gt;35,BY12+BX13-CG12,IF(A13&lt;'Données projet'!$A$114,$BV$205^A13,IF(A13='Données projet'!$A$114,'Données projet'!$B$114,BY12+BX13-CG12)))</f>
        <v>9.1381856916409276</v>
      </c>
      <c r="BZ13" s="13">
        <f>BY13*VLOOKUP('Données projet'!$B$12,Paramètres!$A$1:$I$89,3,0)*VLOOKUP('Données projet'!$B$12,Paramètres!$A$1:$I$89,5,0)</f>
        <v>5.4646350436012749</v>
      </c>
      <c r="CA13" s="13">
        <f t="shared" si="39"/>
        <v>2.0666222857072225</v>
      </c>
      <c r="CB13" s="20">
        <f t="shared" si="10"/>
        <v>13.116939848545632</v>
      </c>
      <c r="CC13" s="59">
        <f t="shared" si="11"/>
        <v>306.45027318187897</v>
      </c>
      <c r="CD13" s="59">
        <f ca="1">AVERAGE(OFFSET($CC$3,0,0,'Données projet'!$E$12+1,1))-AVERAGE(OFFSET($H$3,0,0,'Données projet'!$E$12+1,1))</f>
        <v>213.18424462765137</v>
      </c>
      <c r="CE13" s="59">
        <f t="shared" si="40"/>
        <v>158.77848520346532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>
        <f>VLOOKUP(A13,'Données projet'!$A$139:$I$159,2,0)</f>
        <v>11</v>
      </c>
      <c r="CR13" s="12">
        <f>VLOOKUP(A13,'Données projet'!$A$139:$I$159,9,0)</f>
        <v>1.1000000000000001</v>
      </c>
      <c r="CS13" s="12">
        <f t="array" ref="CS13">INDEX(CR:CR,MIN(IF(ISNUMBER(CR13:CR209),ROW(CR13:CR209),"")))</f>
        <v>1.1000000000000001</v>
      </c>
      <c r="CT13" s="12">
        <f>IF('Données projet'!$A$140&gt;35,CT12+CS13-DB12,IF(A13&lt;'Données projet'!$A$140,$CQ$205^A13,IF(A13='Données projet'!$A$140,'Données projet'!$B$140,CT12+CS13-DB12)))</f>
        <v>11</v>
      </c>
      <c r="CU13" s="17">
        <f>CT13*VLOOKUP('Données projet'!$B$13,Paramètres!$A$1:$I$89,3,0)*VLOOKUP('Données projet'!$B$13,Paramètres!$A$1:$I$89,5,0)</f>
        <v>8.7516000000000016</v>
      </c>
      <c r="CV13" s="13">
        <f t="shared" si="41"/>
        <v>3.1331453604025001</v>
      </c>
      <c r="CW13" s="20">
        <f t="shared" si="13"/>
        <v>20.699264836034356</v>
      </c>
      <c r="CX13" s="59">
        <f t="shared" si="14"/>
        <v>314.03259816936765</v>
      </c>
      <c r="CY13" s="59">
        <f ca="1">AVERAGE(OFFSET($CX$3,0,0,'Données projet'!$E$13+1,1))-AVERAGE(OFFSET($H$3,0,0,'Données projet'!$E$13+1,1))</f>
        <v>279.49721661620544</v>
      </c>
      <c r="CZ13" s="59">
        <f t="shared" si="42"/>
        <v>275.18739333988754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10.16068376068376</v>
      </c>
      <c r="N14" s="13">
        <f>IF('Données projet'!$A$36&gt;35,N13+M14-V13,IF(A14&lt;'Données projet'!$A$36,$K$205^A14,IF(A14='Données projet'!$A$36,'Données projet'!$B$36,N13+M14-V13)))</f>
        <v>24.124191581618767</v>
      </c>
      <c r="O14" s="13">
        <f>N14*VLOOKUP('Données projet'!$B$9,Paramètres!$A$1:$I$89,3,0)*VLOOKUP('Données projet'!$B$9,Paramètres!$A$1:$I$89,5,0)</f>
        <v>13.48542309412489</v>
      </c>
      <c r="P14" s="13">
        <f t="shared" si="33"/>
        <v>4.5909271865822117</v>
      </c>
      <c r="Q14" s="20">
        <f t="shared" si="2"/>
        <v>31.482976738898202</v>
      </c>
      <c r="R14" s="59">
        <f t="shared" si="0"/>
        <v>324.81631007223154</v>
      </c>
      <c r="S14" s="59">
        <f ca="1">AVERAGE(OFFSET($R$3,0,0,'Données projet'!$E$9+1,1))-AVERAGE(OFFSET($H$3,0,0,'Données projet'!$E$9+1,1))</f>
        <v>278.5296012747549</v>
      </c>
      <c r="T14" s="59">
        <f t="shared" si="34"/>
        <v>370.55343097937077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4.746666666666667</v>
      </c>
      <c r="AI14" s="13">
        <f>IF('Données projet'!$A$62&gt;35,AI13+AH14-AQ13,IF(A14&lt;'Données projet'!$A$62,$AF$205^A14,IF(A14='Données projet'!$A$62,'Données projet'!$B$62,AI13+AH14-AQ13)))</f>
        <v>6.1605619536424223</v>
      </c>
      <c r="AJ14" s="13">
        <f>AI14*VLOOKUP('Données projet'!$B$10,Paramètres!$A$1:$I$89,3,0)*VLOOKUP('Données projet'!$B$10,Paramètres!$A$1:$I$89,5,0)</f>
        <v>2.9632302997020057</v>
      </c>
      <c r="AK14" s="13">
        <f t="shared" si="35"/>
        <v>1.2033832921363377</v>
      </c>
      <c r="AL14" s="20">
        <f t="shared" si="4"/>
        <v>7.256852005785114</v>
      </c>
      <c r="AM14" s="59">
        <f t="shared" si="5"/>
        <v>300.59018533911842</v>
      </c>
      <c r="AN14" s="59">
        <f ca="1">AVERAGE(OFFSET($AM$3,0,0,'Données projet'!$E$10+1,1))-AVERAGE(OFFSET($H$3,0,0,'Données projet'!$E$10+1,1))</f>
        <v>255.05550867459038</v>
      </c>
      <c r="AO14" s="59">
        <f t="shared" si="36"/>
        <v>119.28597757550295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4.9084615384615384</v>
      </c>
      <c r="BD14" s="12">
        <f>IF('Données projet'!$A$88&gt;35,BD13+BC14-BL13,IF(A14&lt;'Données projet'!$A$88,$BA$205^A14,IF(A14='Données projet'!$A$88,'Données projet'!$B$88,BD13+BC14-BL13)))</f>
        <v>6.2367418843040729</v>
      </c>
      <c r="BE14" s="13">
        <f>BD14*VLOOKUP('Données projet'!$B$11,Paramètres!$A$1:$I$89,3,0)*VLOOKUP('Données projet'!$B$11,Paramètres!$A$1:$I$89,5,0)</f>
        <v>2.9187952018543064</v>
      </c>
      <c r="BF14" s="13">
        <f t="shared" si="37"/>
        <v>1.1874244488629264</v>
      </c>
      <c r="BG14" s="20">
        <f t="shared" si="7"/>
        <v>7.1516658916658464</v>
      </c>
      <c r="BH14" s="59">
        <f t="shared" si="8"/>
        <v>300.48499922499917</v>
      </c>
      <c r="BI14" s="59">
        <f ca="1">AVERAGE(OFFSET($BH$3,0,0,'Données projet'!$E$11+1,1))-AVERAGE(OFFSET($H$3,0,0,'Données projet'!$E$11+1,1))</f>
        <v>181.79645720099597</v>
      </c>
      <c r="BJ14" s="59">
        <f t="shared" si="38"/>
        <v>120.20040029102233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5.9083916083916082</v>
      </c>
      <c r="BY14" s="12">
        <f>IF('Données projet'!$A$114&gt;35,BY13+BX14-CG13,IF(A14&lt;'Données projet'!$A$114,$BV$205^A14,IF(A14='Données projet'!$A$114,'Données projet'!$B$114,BY13+BX14-CG13)))</f>
        <v>11.401079571014991</v>
      </c>
      <c r="BZ14" s="13">
        <f>BY14*VLOOKUP('Données projet'!$B$12,Paramètres!$A$1:$I$89,3,0)*VLOOKUP('Données projet'!$B$12,Paramètres!$A$1:$I$89,5,0)</f>
        <v>6.8178455834669647</v>
      </c>
      <c r="CA14" s="13">
        <f t="shared" si="39"/>
        <v>2.5128276146515063</v>
      </c>
      <c r="CB14" s="20">
        <f t="shared" si="10"/>
        <v>16.250922486723002</v>
      </c>
      <c r="CC14" s="59">
        <f t="shared" si="11"/>
        <v>309.58425582005634</v>
      </c>
      <c r="CD14" s="59">
        <f ca="1">AVERAGE(OFFSET($CC$3,0,0,'Données projet'!$E$12+1,1))-AVERAGE(OFFSET($H$3,0,0,'Données projet'!$E$12+1,1))</f>
        <v>213.18424462765137</v>
      </c>
      <c r="CE14" s="59">
        <f t="shared" si="40"/>
        <v>158.77848520346532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10.8</v>
      </c>
      <c r="CT14" s="12">
        <f>IF('Données projet'!$A$140&gt;35,CT13+CS14-DB13,IF(A14&lt;'Données projet'!$A$140,$CQ$205^A14,IF(A14='Données projet'!$A$140,'Données projet'!$B$140,CT13+CS14-DB13)))</f>
        <v>21.8</v>
      </c>
      <c r="CU14" s="17">
        <f>CT14*VLOOKUP('Données projet'!$B$13,Paramètres!$A$1:$I$89,3,0)*VLOOKUP('Données projet'!$B$13,Paramètres!$A$1:$I$89,5,0)</f>
        <v>17.344080000000002</v>
      </c>
      <c r="CV14" s="13">
        <f t="shared" si="41"/>
        <v>5.7341113912136308</v>
      </c>
      <c r="CW14" s="20">
        <f t="shared" si="13"/>
        <v>40.194516673030414</v>
      </c>
      <c r="CX14" s="59">
        <f t="shared" si="14"/>
        <v>333.52785000636374</v>
      </c>
      <c r="CY14" s="59">
        <f ca="1">AVERAGE(OFFSET($CX$3,0,0,'Données projet'!$E$13+1,1))-AVERAGE(OFFSET($H$3,0,0,'Données projet'!$E$13+1,1))</f>
        <v>279.49721661620544</v>
      </c>
      <c r="CZ14" s="59">
        <f t="shared" si="42"/>
        <v>275.18739333988754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10.16068376068376</v>
      </c>
      <c r="N15" s="13">
        <f>IF('Données projet'!$A$36&gt;35,N14+M15-V14,IF(A15&lt;'Données projet'!$A$36,$K$205^A15,IF(A15='Données projet'!$A$36,'Données projet'!$B$36,N14+M15-V14)))</f>
        <v>32.220352927755336</v>
      </c>
      <c r="O15" s="13">
        <f>N15*VLOOKUP('Données projet'!$B$9,Paramètres!$A$1:$I$89,3,0)*VLOOKUP('Données projet'!$B$9,Paramètres!$A$1:$I$89,5,0)</f>
        <v>18.011177286615233</v>
      </c>
      <c r="P15" s="13">
        <f t="shared" si="33"/>
        <v>5.9285578959851977</v>
      </c>
      <c r="Q15" s="20">
        <f t="shared" si="2"/>
        <v>41.695038776362409</v>
      </c>
      <c r="R15" s="59">
        <f t="shared" si="0"/>
        <v>335.02837210969574</v>
      </c>
      <c r="S15" s="59">
        <f ca="1">AVERAGE(OFFSET($R$3,0,0,'Données projet'!$E$9+1,1))-AVERAGE(OFFSET($H$3,0,0,'Données projet'!$E$9+1,1))</f>
        <v>278.5296012747549</v>
      </c>
      <c r="T15" s="59">
        <f t="shared" si="34"/>
        <v>370.55343097937077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4.746666666666667</v>
      </c>
      <c r="AI15" s="13">
        <f>IF('Données projet'!$A$62&gt;35,AI14+AH15-AQ14,IF(A15&lt;'Données projet'!$A$62,$AF$205^A15,IF(A15='Données projet'!$A$62,'Données projet'!$B$62,AI14+AH15-AQ14)))</f>
        <v>7.2678172052466543</v>
      </c>
      <c r="AJ15" s="13">
        <f>AI15*VLOOKUP('Données projet'!$B$10,Paramètres!$A$1:$I$89,3,0)*VLOOKUP('Données projet'!$B$10,Paramètres!$A$1:$I$89,5,0)</f>
        <v>3.4958200757236408</v>
      </c>
      <c r="AK15" s="13">
        <f t="shared" si="35"/>
        <v>1.3926180664134469</v>
      </c>
      <c r="AL15" s="20">
        <f t="shared" si="4"/>
        <v>8.5140297642220943</v>
      </c>
      <c r="AM15" s="59">
        <f t="shared" si="5"/>
        <v>301.84736309755539</v>
      </c>
      <c r="AN15" s="59">
        <f ca="1">AVERAGE(OFFSET($AM$3,0,0,'Données projet'!$E$10+1,1))-AVERAGE(OFFSET($H$3,0,0,'Données projet'!$E$10+1,1))</f>
        <v>255.05550867459038</v>
      </c>
      <c r="AO15" s="59">
        <f t="shared" si="36"/>
        <v>119.28597757550295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4.9084615384615384</v>
      </c>
      <c r="BD15" s="12">
        <f>IF('Données projet'!$A$88&gt;35,BD14+BC15-BL14,IF(A15&lt;'Données projet'!$A$88,$BA$205^A15,IF(A15='Données projet'!$A$88,'Données projet'!$B$88,BD14+BC15-BL14)))</f>
        <v>7.3659142514897171</v>
      </c>
      <c r="BE15" s="13">
        <f>BD15*VLOOKUP('Données projet'!$B$11,Paramètres!$A$1:$I$89,3,0)*VLOOKUP('Données projet'!$B$11,Paramètres!$A$1:$I$89,5,0)</f>
        <v>3.447247869697188</v>
      </c>
      <c r="BF15" s="13">
        <f t="shared" si="37"/>
        <v>1.3755069097464061</v>
      </c>
      <c r="BG15" s="20">
        <f t="shared" si="7"/>
        <v>8.3996312408642595</v>
      </c>
      <c r="BH15" s="59">
        <f t="shared" si="8"/>
        <v>301.73296457419758</v>
      </c>
      <c r="BI15" s="59">
        <f ca="1">AVERAGE(OFFSET($BH$3,0,0,'Données projet'!$E$11+1,1))-AVERAGE(OFFSET($H$3,0,0,'Données projet'!$E$11+1,1))</f>
        <v>181.79645720099597</v>
      </c>
      <c r="BJ15" s="59">
        <f t="shared" si="38"/>
        <v>120.20040029102233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5.9083916083916082</v>
      </c>
      <c r="BY15" s="12">
        <f>IF('Données projet'!$A$114&gt;35,BY14+BX15-CG14,IF(A15&lt;'Données projet'!$A$114,$BV$205^A15,IF(A15='Données projet'!$A$114,'Données projet'!$B$114,BY14+BX15-CG14)))</f>
        <v>14.224335089132365</v>
      </c>
      <c r="BZ15" s="13">
        <f>BY15*VLOOKUP('Données projet'!$B$12,Paramètres!$A$1:$I$89,3,0)*VLOOKUP('Données projet'!$B$12,Paramètres!$A$1:$I$89,5,0)</f>
        <v>8.5061523833011545</v>
      </c>
      <c r="CA15" s="13">
        <f t="shared" si="39"/>
        <v>3.0553733329137835</v>
      </c>
      <c r="CB15" s="20">
        <f t="shared" si="10"/>
        <v>20.136323955741016</v>
      </c>
      <c r="CC15" s="59">
        <f t="shared" si="11"/>
        <v>313.46965728907435</v>
      </c>
      <c r="CD15" s="59">
        <f ca="1">AVERAGE(OFFSET($CC$3,0,0,'Données projet'!$E$12+1,1))-AVERAGE(OFFSET($H$3,0,0,'Données projet'!$E$12+1,1))</f>
        <v>213.18424462765137</v>
      </c>
      <c r="CE15" s="59">
        <f t="shared" si="40"/>
        <v>158.77848520346532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10.8</v>
      </c>
      <c r="CT15" s="12">
        <f>IF('Données projet'!$A$140&gt;35,CT14+CS15-DB14,IF(A15&lt;'Données projet'!$A$140,$CQ$205^A15,IF(A15='Données projet'!$A$140,'Données projet'!$B$140,CT14+CS15-DB14)))</f>
        <v>32.6</v>
      </c>
      <c r="CU15" s="17">
        <f>CT15*VLOOKUP('Données projet'!$B$13,Paramètres!$A$1:$I$89,3,0)*VLOOKUP('Données projet'!$B$13,Paramètres!$A$1:$I$89,5,0)</f>
        <v>25.936560000000004</v>
      </c>
      <c r="CV15" s="13">
        <f t="shared" si="41"/>
        <v>8.1824816304360635</v>
      </c>
      <c r="CW15" s="20">
        <f t="shared" si="13"/>
        <v>59.423997506342801</v>
      </c>
      <c r="CX15" s="59">
        <f t="shared" si="14"/>
        <v>352.75733083967611</v>
      </c>
      <c r="CY15" s="59">
        <f ca="1">AVERAGE(OFFSET($CX$3,0,0,'Données projet'!$E$13+1,1))-AVERAGE(OFFSET($H$3,0,0,'Données projet'!$E$13+1,1))</f>
        <v>279.49721661620544</v>
      </c>
      <c r="CZ15" s="59">
        <f t="shared" si="42"/>
        <v>275.18739333988754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10.16068376068376</v>
      </c>
      <c r="N16" s="13">
        <f>IF('Données projet'!$A$36&gt;35,N15+M16-V15,IF(A16&lt;'Données projet'!$A$36,$K$205^A16,IF(A16='Données projet'!$A$36,'Données projet'!$B$36,N15+M16-V15)))</f>
        <v>43.033613759729988</v>
      </c>
      <c r="O16" s="13">
        <f>N16*VLOOKUP('Données projet'!$B$9,Paramètres!$A$1:$I$89,3,0)*VLOOKUP('Données projet'!$B$9,Paramètres!$A$1:$I$89,5,0)</f>
        <v>24.055790091689062</v>
      </c>
      <c r="P16" s="13">
        <f t="shared" si="33"/>
        <v>7.6559259813080898</v>
      </c>
      <c r="Q16" s="20">
        <f t="shared" si="2"/>
        <v>55.231238827136707</v>
      </c>
      <c r="R16" s="59">
        <f t="shared" si="0"/>
        <v>348.56457216046999</v>
      </c>
      <c r="S16" s="59">
        <f ca="1">AVERAGE(OFFSET($R$3,0,0,'Données projet'!$E$9+1,1))-AVERAGE(OFFSET($H$3,0,0,'Données projet'!$E$9+1,1))</f>
        <v>278.5296012747549</v>
      </c>
      <c r="T16" s="59">
        <f t="shared" si="34"/>
        <v>370.55343097937077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4.746666666666667</v>
      </c>
      <c r="AI16" s="13">
        <f>IF('Données projet'!$A$62&gt;35,AI15+AH16-AQ15,IF(A16&lt;'Données projet'!$A$62,$AF$205^A16,IF(A16='Données projet'!$A$62,'Données projet'!$B$62,AI15+AH16-AQ15)))</f>
        <v>8.5740825798608942</v>
      </c>
      <c r="AJ16" s="13">
        <f>AI16*VLOOKUP('Données projet'!$B$10,Paramètres!$A$1:$I$89,3,0)*VLOOKUP('Données projet'!$B$10,Paramètres!$A$1:$I$89,5,0)</f>
        <v>4.1241337209130906</v>
      </c>
      <c r="AK16" s="13">
        <f t="shared" si="35"/>
        <v>1.6116104416392423</v>
      </c>
      <c r="AL16" s="20">
        <f t="shared" si="4"/>
        <v>9.9897544164453134</v>
      </c>
      <c r="AM16" s="59">
        <f t="shared" si="5"/>
        <v>303.32308774977861</v>
      </c>
      <c r="AN16" s="59">
        <f ca="1">AVERAGE(OFFSET($AM$3,0,0,'Données projet'!$E$10+1,1))-AVERAGE(OFFSET($H$3,0,0,'Données projet'!$E$10+1,1))</f>
        <v>255.05550867459038</v>
      </c>
      <c r="AO16" s="59">
        <f t="shared" si="36"/>
        <v>119.28597757550295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4.9084615384615384</v>
      </c>
      <c r="BD16" s="12">
        <f>IF('Données projet'!$A$88&gt;35,BD15+BC16-BL15,IF(A16&lt;'Données projet'!$A$88,$BA$205^A16,IF(A16='Données projet'!$A$88,'Données projet'!$B$88,BD15+BC16-BL15)))</f>
        <v>8.6995251313584792</v>
      </c>
      <c r="BE16" s="13">
        <f>BD16*VLOOKUP('Données projet'!$B$11,Paramètres!$A$1:$I$89,3,0)*VLOOKUP('Données projet'!$B$11,Paramètres!$A$1:$I$89,5,0)</f>
        <v>4.0713777614757687</v>
      </c>
      <c r="BF16" s="13">
        <f t="shared" si="37"/>
        <v>1.5933807498842545</v>
      </c>
      <c r="BG16" s="20">
        <f t="shared" si="7"/>
        <v>9.8661210739520406</v>
      </c>
      <c r="BH16" s="59">
        <f t="shared" si="8"/>
        <v>303.19945440728537</v>
      </c>
      <c r="BI16" s="59">
        <f ca="1">AVERAGE(OFFSET($BH$3,0,0,'Données projet'!$E$11+1,1))-AVERAGE(OFFSET($H$3,0,0,'Données projet'!$E$11+1,1))</f>
        <v>181.79645720099597</v>
      </c>
      <c r="BJ16" s="59">
        <f t="shared" si="38"/>
        <v>120.20040029102233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5.9083916083916082</v>
      </c>
      <c r="BY16" s="12">
        <f>IF('Données projet'!$A$114&gt;35,BY15+BX16-CG15,IF(A16&lt;'Données projet'!$A$114,$BV$205^A16,IF(A16='Données projet'!$A$114,'Données projet'!$B$114,BY15+BX16-CG15)))</f>
        <v>17.746714902535278</v>
      </c>
      <c r="BZ16" s="13">
        <f>BY16*VLOOKUP('Données projet'!$B$12,Paramètres!$A$1:$I$89,3,0)*VLOOKUP('Données projet'!$B$12,Paramètres!$A$1:$I$89,5,0)</f>
        <v>10.612535511716098</v>
      </c>
      <c r="CA16" s="13">
        <f t="shared" si="39"/>
        <v>3.7150603364311414</v>
      </c>
      <c r="CB16" s="20">
        <f t="shared" si="10"/>
        <v>24.953896102189773</v>
      </c>
      <c r="CC16" s="59">
        <f t="shared" si="11"/>
        <v>318.2872294355231</v>
      </c>
      <c r="CD16" s="59">
        <f ca="1">AVERAGE(OFFSET($CC$3,0,0,'Données projet'!$E$12+1,1))-AVERAGE(OFFSET($H$3,0,0,'Données projet'!$E$12+1,1))</f>
        <v>213.18424462765137</v>
      </c>
      <c r="CE16" s="59">
        <f t="shared" si="40"/>
        <v>158.77848520346532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10.8</v>
      </c>
      <c r="CT16" s="12">
        <f>IF('Données projet'!$A$140&gt;35,CT15+CS16-DB15,IF(A16&lt;'Données projet'!$A$140,$CQ$205^A16,IF(A16='Données projet'!$A$140,'Données projet'!$B$140,CT15+CS16-DB15)))</f>
        <v>43.400000000000006</v>
      </c>
      <c r="CU16" s="17">
        <f>CT16*VLOOKUP('Données projet'!$B$13,Paramètres!$A$1:$I$89,3,0)*VLOOKUP('Données projet'!$B$13,Paramètres!$A$1:$I$89,5,0)</f>
        <v>34.529040000000009</v>
      </c>
      <c r="CV16" s="13">
        <f t="shared" si="41"/>
        <v>10.536391336679102</v>
      </c>
      <c r="CW16" s="20">
        <f t="shared" si="13"/>
        <v>78.488959578049446</v>
      </c>
      <c r="CX16" s="59">
        <f t="shared" si="14"/>
        <v>371.82229291138276</v>
      </c>
      <c r="CY16" s="59">
        <f ca="1">AVERAGE(OFFSET($CX$3,0,0,'Données projet'!$E$13+1,1))-AVERAGE(OFFSET($H$3,0,0,'Données projet'!$E$13+1,1))</f>
        <v>279.49721661620544</v>
      </c>
      <c r="CZ16" s="59">
        <f t="shared" si="42"/>
        <v>275.18739333988754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10.16068376068376</v>
      </c>
      <c r="N17" s="13">
        <f>IF('Données projet'!$A$36&gt;35,N16+M17-V16,IF(A17&lt;'Données projet'!$A$36,$K$205^A17,IF(A17='Données projet'!$A$36,'Données projet'!$B$36,N16+M17-V16)))</f>
        <v>57.475841973982881</v>
      </c>
      <c r="O17" s="13">
        <f>N17*VLOOKUP('Données projet'!$B$9,Paramètres!$A$1:$I$89,3,0)*VLOOKUP('Données projet'!$B$9,Paramètres!$A$1:$I$89,5,0)</f>
        <v>32.128995663456436</v>
      </c>
      <c r="P17" s="13">
        <f t="shared" si="33"/>
        <v>9.8865868664217604</v>
      </c>
      <c r="Q17" s="20">
        <f t="shared" si="2"/>
        <v>73.177139572871184</v>
      </c>
      <c r="R17" s="59">
        <f t="shared" si="0"/>
        <v>366.51047290620448</v>
      </c>
      <c r="S17" s="59">
        <f ca="1">AVERAGE(OFFSET($R$3,0,0,'Données projet'!$E$9+1,1))-AVERAGE(OFFSET($H$3,0,0,'Données projet'!$E$9+1,1))</f>
        <v>278.5296012747549</v>
      </c>
      <c r="T17" s="59">
        <f t="shared" si="34"/>
        <v>370.55343097937077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4.746666666666667</v>
      </c>
      <c r="AI17" s="13">
        <f>IF('Données projet'!$A$62&gt;35,AI16+AH17-AQ16,IF(A17&lt;'Données projet'!$A$62,$AF$205^A17,IF(A17='Données projet'!$A$62,'Données projet'!$B$62,AI16+AH17-AQ16)))</f>
        <v>10.115126730650774</v>
      </c>
      <c r="AJ17" s="13">
        <f>AI17*VLOOKUP('Données projet'!$B$10,Paramètres!$A$1:$I$89,3,0)*VLOOKUP('Données projet'!$B$10,Paramètres!$A$1:$I$89,5,0)</f>
        <v>4.865375957443022</v>
      </c>
      <c r="AK17" s="13">
        <f t="shared" si="35"/>
        <v>1.8650398686049625</v>
      </c>
      <c r="AL17" s="20">
        <f t="shared" si="4"/>
        <v>11.722140897033571</v>
      </c>
      <c r="AM17" s="59">
        <f t="shared" si="5"/>
        <v>305.05547423036688</v>
      </c>
      <c r="AN17" s="59">
        <f ca="1">AVERAGE(OFFSET($AM$3,0,0,'Données projet'!$E$10+1,1))-AVERAGE(OFFSET($H$3,0,0,'Données projet'!$E$10+1,1))</f>
        <v>255.05550867459038</v>
      </c>
      <c r="AO17" s="59">
        <f t="shared" si="36"/>
        <v>119.28597757550295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4.9084615384615384</v>
      </c>
      <c r="BD17" s="12">
        <f>IF('Données projet'!$A$88&gt;35,BD16+BC17-BL16,IF(A17&lt;'Données projet'!$A$88,$BA$205^A17,IF(A17='Données projet'!$A$88,'Données projet'!$B$88,BD16+BC17-BL16)))</f>
        <v>10.27458845259182</v>
      </c>
      <c r="BE17" s="13">
        <f>BD17*VLOOKUP('Données projet'!$B$11,Paramètres!$A$1:$I$89,3,0)*VLOOKUP('Données projet'!$B$11,Paramètres!$A$1:$I$89,5,0)</f>
        <v>4.8085073958129714</v>
      </c>
      <c r="BF17" s="13">
        <f t="shared" si="37"/>
        <v>1.8457647839586531</v>
      </c>
      <c r="BG17" s="20">
        <f t="shared" si="7"/>
        <v>11.589524046435578</v>
      </c>
      <c r="BH17" s="59">
        <f t="shared" si="8"/>
        <v>304.92285737976891</v>
      </c>
      <c r="BI17" s="59">
        <f ca="1">AVERAGE(OFFSET($BH$3,0,0,'Données projet'!$E$11+1,1))-AVERAGE(OFFSET($H$3,0,0,'Données projet'!$E$11+1,1))</f>
        <v>181.79645720099597</v>
      </c>
      <c r="BJ17" s="59">
        <f t="shared" si="38"/>
        <v>120.20040029102233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5.9083916083916082</v>
      </c>
      <c r="BY17" s="12">
        <f>IF('Données projet'!$A$114&gt;35,BY16+BX17-CG16,IF(A17&lt;'Données projet'!$A$114,$BV$205^A17,IF(A17='Données projet'!$A$114,'Données projet'!$B$114,BY16+BX17-CG16)))</f>
        <v>22.141343539670387</v>
      </c>
      <c r="BZ17" s="13">
        <f>BY17*VLOOKUP('Données projet'!$B$12,Paramètres!$A$1:$I$89,3,0)*VLOOKUP('Données projet'!$B$12,Paramètres!$A$1:$I$89,5,0)</f>
        <v>13.240523436722894</v>
      </c>
      <c r="CA17" s="13">
        <f t="shared" si="39"/>
        <v>4.5171806517541881</v>
      </c>
      <c r="CB17" s="20">
        <f t="shared" si="10"/>
        <v>30.928001287430916</v>
      </c>
      <c r="CC17" s="59">
        <f t="shared" si="11"/>
        <v>324.26133462076422</v>
      </c>
      <c r="CD17" s="59">
        <f ca="1">AVERAGE(OFFSET($CC$3,0,0,'Données projet'!$E$12+1,1))-AVERAGE(OFFSET($H$3,0,0,'Données projet'!$E$12+1,1))</f>
        <v>213.18424462765137</v>
      </c>
      <c r="CE17" s="59">
        <f t="shared" si="40"/>
        <v>158.77848520346532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10.8</v>
      </c>
      <c r="CT17" s="12">
        <f>IF('Données projet'!$A$140&gt;35,CT16+CS17-DB16,IF(A17&lt;'Données projet'!$A$140,$CQ$205^A17,IF(A17='Données projet'!$A$140,'Données projet'!$B$140,CT16+CS17-DB16)))</f>
        <v>54.2</v>
      </c>
      <c r="CU17" s="17">
        <f>CT17*VLOOKUP('Données projet'!$B$13,Paramètres!$A$1:$I$89,3,0)*VLOOKUP('Données projet'!$B$13,Paramètres!$A$1:$I$89,5,0)</f>
        <v>43.121520000000004</v>
      </c>
      <c r="CV17" s="13">
        <f t="shared" si="41"/>
        <v>12.822353245070515</v>
      </c>
      <c r="CW17" s="20">
        <f t="shared" si="13"/>
        <v>97.435579235164482</v>
      </c>
      <c r="CX17" s="59">
        <f t="shared" si="14"/>
        <v>390.7689125684978</v>
      </c>
      <c r="CY17" s="59">
        <f ca="1">AVERAGE(OFFSET($CX$3,0,0,'Données projet'!$E$13+1,1))-AVERAGE(OFFSET($H$3,0,0,'Données projet'!$E$13+1,1))</f>
        <v>279.49721661620544</v>
      </c>
      <c r="CZ17" s="59">
        <f t="shared" si="42"/>
        <v>275.18739333988754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10.16068376068376</v>
      </c>
      <c r="N18" s="13">
        <f>IF('Données projet'!$A$36&gt;35,N17+M18-V17,IF(A18&lt;'Données projet'!$A$36,$K$205^A18,IF(A18='Données projet'!$A$36,'Données projet'!$B$36,N17+M18-V17)))</f>
        <v>76.764931457129379</v>
      </c>
      <c r="O18" s="13">
        <f>N18*VLOOKUP('Données projet'!$B$9,Paramètres!$A$1:$I$89,3,0)*VLOOKUP('Données projet'!$B$9,Paramètres!$A$1:$I$89,5,0)</f>
        <v>42.911596684535326</v>
      </c>
      <c r="P18" s="13">
        <f t="shared" si="33"/>
        <v>12.767181932785956</v>
      </c>
      <c r="Q18" s="20">
        <f t="shared" si="2"/>
        <v>96.97387275850123</v>
      </c>
      <c r="R18" s="59">
        <f t="shared" si="0"/>
        <v>390.30720609183453</v>
      </c>
      <c r="S18" s="59">
        <f ca="1">AVERAGE(OFFSET($R$3,0,0,'Données projet'!$E$9+1,1))-AVERAGE(OFFSET($H$3,0,0,'Données projet'!$E$9+1,1))</f>
        <v>278.5296012747549</v>
      </c>
      <c r="T18" s="59">
        <f t="shared" si="34"/>
        <v>370.55343097937077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4.746666666666667</v>
      </c>
      <c r="AI18" s="13">
        <f>IF('Données projet'!$A$62&gt;35,AI17+AH18-AQ17,IF(A18&lt;'Données projet'!$A$62,$AF$205^A18,IF(A18='Données projet'!$A$62,'Données projet'!$B$62,AI17+AH18-AQ17)))</f>
        <v>11.933147112141038</v>
      </c>
      <c r="AJ18" s="13">
        <f>AI18*VLOOKUP('Données projet'!$B$10,Paramètres!$A$1:$I$89,3,0)*VLOOKUP('Données projet'!$B$10,Paramètres!$A$1:$I$89,5,0)</f>
        <v>5.7398437609398396</v>
      </c>
      <c r="AK18" s="13">
        <f t="shared" si="35"/>
        <v>2.1583216524385413</v>
      </c>
      <c r="AL18" s="20">
        <f t="shared" si="4"/>
        <v>13.755971428300681</v>
      </c>
      <c r="AM18" s="59">
        <f t="shared" si="5"/>
        <v>307.08930476163397</v>
      </c>
      <c r="AN18" s="59">
        <f ca="1">AVERAGE(OFFSET($AM$3,0,0,'Données projet'!$E$10+1,1))-AVERAGE(OFFSET($H$3,0,0,'Données projet'!$E$10+1,1))</f>
        <v>255.05550867459038</v>
      </c>
      <c r="AO18" s="59">
        <f t="shared" si="36"/>
        <v>119.28597757550295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4.9084615384615384</v>
      </c>
      <c r="BD18" s="12">
        <f>IF('Données projet'!$A$88&gt;35,BD17+BC18-BL17,IF(A18&lt;'Données projet'!$A$88,$BA$205^A18,IF(A18='Données projet'!$A$88,'Données projet'!$B$88,BD17+BC18-BL17)))</f>
        <v>12.134819576485119</v>
      </c>
      <c r="BE18" s="13">
        <f>BD18*VLOOKUP('Données projet'!$B$11,Paramètres!$A$1:$I$89,3,0)*VLOOKUP('Données projet'!$B$11,Paramètres!$A$1:$I$89,5,0)</f>
        <v>5.6790955617950356</v>
      </c>
      <c r="BF18" s="13">
        <f t="shared" si="37"/>
        <v>2.1381252647550886</v>
      </c>
      <c r="BG18" s="20">
        <f t="shared" si="7"/>
        <v>13.614992939574798</v>
      </c>
      <c r="BH18" s="59">
        <f t="shared" si="8"/>
        <v>306.9483262729081</v>
      </c>
      <c r="BI18" s="59">
        <f ca="1">AVERAGE(OFFSET($BH$3,0,0,'Données projet'!$E$11+1,1))-AVERAGE(OFFSET($H$3,0,0,'Données projet'!$E$11+1,1))</f>
        <v>181.79645720099597</v>
      </c>
      <c r="BJ18" s="59">
        <f t="shared" si="38"/>
        <v>120.20040029102233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5.9083916083916082</v>
      </c>
      <c r="BY18" s="12">
        <f>IF('Données projet'!$A$114&gt;35,BY17+BX18-CG17,IF(A18&lt;'Données projet'!$A$114,$BV$205^A18,IF(A18='Données projet'!$A$114,'Données projet'!$B$114,BY17+BX18-CG17)))</f>
        <v>27.62421644986637</v>
      </c>
      <c r="BZ18" s="13">
        <f>BY18*VLOOKUP('Données projet'!$B$12,Paramètres!$A$1:$I$89,3,0)*VLOOKUP('Données projet'!$B$12,Paramètres!$A$1:$I$89,5,0)</f>
        <v>16.519281437020091</v>
      </c>
      <c r="CA18" s="13">
        <f t="shared" si="39"/>
        <v>5.4924871180381194</v>
      </c>
      <c r="CB18" s="20">
        <f t="shared" si="10"/>
        <v>38.337163566726382</v>
      </c>
      <c r="CC18" s="59">
        <f t="shared" si="11"/>
        <v>331.67049690005967</v>
      </c>
      <c r="CD18" s="59">
        <f ca="1">AVERAGE(OFFSET($CC$3,0,0,'Données projet'!$E$12+1,1))-AVERAGE(OFFSET($H$3,0,0,'Données projet'!$E$12+1,1))</f>
        <v>213.18424462765137</v>
      </c>
      <c r="CE18" s="59">
        <f t="shared" si="40"/>
        <v>158.77848520346532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65</v>
      </c>
      <c r="CR18" s="12">
        <f>VLOOKUP(A18,'Données projet'!$A$139:$I$159,9,0)</f>
        <v>10.8</v>
      </c>
      <c r="CS18" s="12">
        <f t="array" ref="CS18">INDEX(CR:CR,MIN(IF(ISNUMBER(CR18:CR214),ROW(CR18:CR214),"")))</f>
        <v>10.8</v>
      </c>
      <c r="CT18" s="12">
        <f>IF('Données projet'!$A$140&gt;35,CT17+CS18-DB17,IF(A18&lt;'Données projet'!$A$140,$CQ$205^A18,IF(A18='Données projet'!$A$140,'Données projet'!$B$140,CT17+CS18-DB17)))</f>
        <v>65</v>
      </c>
      <c r="CU18" s="17">
        <f>CT18*VLOOKUP('Données projet'!$B$13,Paramètres!$A$1:$I$89,3,0)*VLOOKUP('Données projet'!$B$13,Paramètres!$A$1:$I$89,5,0)</f>
        <v>51.713999999999999</v>
      </c>
      <c r="CV18" s="13">
        <f t="shared" si="41"/>
        <v>15.055535578337075</v>
      </c>
      <c r="CW18" s="20">
        <f t="shared" si="13"/>
        <v>116.29027446560372</v>
      </c>
      <c r="CX18" s="59">
        <f t="shared" si="14"/>
        <v>409.62360779893703</v>
      </c>
      <c r="CY18" s="59">
        <f ca="1">AVERAGE(OFFSET($CX$3,0,0,'Données projet'!$E$13+1,1))-AVERAGE(OFFSET($H$3,0,0,'Données projet'!$E$13+1,1))</f>
        <v>279.49721661620544</v>
      </c>
      <c r="CZ18" s="59">
        <f t="shared" si="42"/>
        <v>275.18739333988754</v>
      </c>
      <c r="DA18" s="15">
        <f>IF(ISNA(VLOOKUP(A18,'Données projet'!$A$139:$I$159,3,0)),0,VLOOKUP(A18,'Données projet'!$A$139:$I$159,3,0))</f>
        <v>1</v>
      </c>
      <c r="DB18" s="15">
        <f>IF(ISNA(VLOOKUP(A18,'Données projet'!$A$139:$I$159,4,0)),0,VLOOKUP(A18,'Données projet'!$A$139:$I$159,4,0))</f>
        <v>32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10.16068376068376</v>
      </c>
      <c r="N19" s="13">
        <f>IF('Données projet'!$A$36&gt;35,N18+M19-V18,IF(A19&lt;'Données projet'!$A$36,$K$205^A19,IF(A19='Données projet'!$A$36,'Données projet'!$B$36,N18+M19-V18)))</f>
        <v>102.52750545673157</v>
      </c>
      <c r="O19" s="13">
        <f>N19*VLOOKUP('Données projet'!$B$9,Paramètres!$A$1:$I$89,3,0)*VLOOKUP('Données projet'!$B$9,Paramètres!$A$1:$I$89,5,0)</f>
        <v>57.312875550312953</v>
      </c>
      <c r="P19" s="13">
        <f t="shared" si="33"/>
        <v>16.487078574959277</v>
      </c>
      <c r="Q19" s="20">
        <f t="shared" si="2"/>
        <v>128.53492010151578</v>
      </c>
      <c r="R19" s="59">
        <f t="shared" si="0"/>
        <v>421.86825343484907</v>
      </c>
      <c r="S19" s="59">
        <f ca="1">AVERAGE(OFFSET($R$3,0,0,'Données projet'!$E$9+1,1))-AVERAGE(OFFSET($H$3,0,0,'Données projet'!$E$9+1,1))</f>
        <v>278.5296012747549</v>
      </c>
      <c r="T19" s="59">
        <f t="shared" si="34"/>
        <v>370.55343097937077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4.746666666666667</v>
      </c>
      <c r="AI19" s="13">
        <f>IF('Données projet'!$A$62&gt;35,AI18+AH19-AQ18,IF(A19&lt;'Données projet'!$A$62,$AF$205^A19,IF(A19='Données projet'!$A$62,'Données projet'!$B$62,AI18+AH19-AQ18)))</f>
        <v>14.077925446895362</v>
      </c>
      <c r="AJ19" s="13">
        <f>AI19*VLOOKUP('Données projet'!$B$10,Paramètres!$A$1:$I$89,3,0)*VLOOKUP('Données projet'!$B$10,Paramètres!$A$1:$I$89,5,0)</f>
        <v>6.77148213995667</v>
      </c>
      <c r="AK19" s="13">
        <f t="shared" si="35"/>
        <v>2.4977226673816113</v>
      </c>
      <c r="AL19" s="20">
        <f t="shared" si="4"/>
        <v>16.143865039447505</v>
      </c>
      <c r="AM19" s="59">
        <f t="shared" si="5"/>
        <v>309.47719837278083</v>
      </c>
      <c r="AN19" s="59">
        <f ca="1">AVERAGE(OFFSET($AM$3,0,0,'Données projet'!$E$10+1,1))-AVERAGE(OFFSET($H$3,0,0,'Données projet'!$E$10+1,1))</f>
        <v>255.05550867459038</v>
      </c>
      <c r="AO19" s="59">
        <f t="shared" si="36"/>
        <v>119.28597757550295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4.9084615384615384</v>
      </c>
      <c r="BD19" s="12">
        <f>IF('Données projet'!$A$88&gt;35,BD18+BC19-BL18,IF(A19&lt;'Données projet'!$A$88,$BA$205^A19,IF(A19='Données projet'!$A$88,'Données projet'!$B$88,BD18+BC19-BL18)))</f>
        <v>14.331848602335111</v>
      </c>
      <c r="BE19" s="13">
        <f>BD19*VLOOKUP('Données projet'!$B$11,Paramètres!$A$1:$I$89,3,0)*VLOOKUP('Données projet'!$B$11,Paramètres!$A$1:$I$89,5,0)</f>
        <v>6.7073051458928319</v>
      </c>
      <c r="BF19" s="13">
        <f t="shared" si="37"/>
        <v>2.4767942738506736</v>
      </c>
      <c r="BG19" s="20">
        <f t="shared" si="7"/>
        <v>15.995639822719939</v>
      </c>
      <c r="BH19" s="59">
        <f t="shared" si="8"/>
        <v>309.32897315605328</v>
      </c>
      <c r="BI19" s="59">
        <f ca="1">AVERAGE(OFFSET($BH$3,0,0,'Données projet'!$E$11+1,1))-AVERAGE(OFFSET($H$3,0,0,'Données projet'!$E$11+1,1))</f>
        <v>181.79645720099597</v>
      </c>
      <c r="BJ19" s="59">
        <f t="shared" si="38"/>
        <v>120.20040029102233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5.9083916083916082</v>
      </c>
      <c r="BY19" s="12">
        <f>IF('Données projet'!$A$114&gt;35,BY18+BX19-CG18,IF(A19&lt;'Données projet'!$A$114,$BV$205^A19,IF(A19='Données projet'!$A$114,'Données projet'!$B$114,BY18+BX19-CG18)))</f>
        <v>34.464816152725106</v>
      </c>
      <c r="BZ19" s="13">
        <f>BY19*VLOOKUP('Données projet'!$B$12,Paramètres!$A$1:$I$89,3,0)*VLOOKUP('Données projet'!$B$12,Paramètres!$A$1:$I$89,5,0)</f>
        <v>20.609960059329616</v>
      </c>
      <c r="CA19" s="13">
        <f t="shared" si="39"/>
        <v>6.6783724334999919</v>
      </c>
      <c r="CB19" s="20">
        <f t="shared" si="10"/>
        <v>47.527179091678228</v>
      </c>
      <c r="CC19" s="59">
        <f t="shared" si="11"/>
        <v>340.86051242501156</v>
      </c>
      <c r="CD19" s="59">
        <f ca="1">AVERAGE(OFFSET($CC$3,0,0,'Données projet'!$E$12+1,1))-AVERAGE(OFFSET($H$3,0,0,'Données projet'!$E$12+1,1))</f>
        <v>213.18424462765137</v>
      </c>
      <c r="CE19" s="59">
        <f t="shared" si="40"/>
        <v>158.77848520346532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13.8</v>
      </c>
      <c r="CT19" s="12">
        <f>IF('Données projet'!$A$140&gt;35,CT18+CS19-DB18,IF(A19&lt;'Données projet'!$A$140,$CQ$205^A19,IF(A19='Données projet'!$A$140,'Données projet'!$B$140,CT18+CS19-DB18)))</f>
        <v>46.8</v>
      </c>
      <c r="CU19" s="17">
        <f>CT19*VLOOKUP('Données projet'!$B$13,Paramètres!$A$1:$I$89,3,0)*VLOOKUP('Données projet'!$B$13,Paramètres!$A$1:$I$89,5,0)</f>
        <v>37.234079999999999</v>
      </c>
      <c r="CV19" s="13">
        <f t="shared" si="41"/>
        <v>11.262510356679771</v>
      </c>
      <c r="CW19" s="20">
        <f t="shared" si="13"/>
        <v>84.464894871217254</v>
      </c>
      <c r="CX19" s="59">
        <f t="shared" si="14"/>
        <v>377.79822820455058</v>
      </c>
      <c r="CY19" s="59">
        <f ca="1">AVERAGE(OFFSET($CX$3,0,0,'Données projet'!$E$13+1,1))-AVERAGE(OFFSET($H$3,0,0,'Données projet'!$E$13+1,1))</f>
        <v>279.49721661620544</v>
      </c>
      <c r="CZ19" s="59">
        <f t="shared" si="42"/>
        <v>275.18739333988754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10.16068376068376</v>
      </c>
      <c r="N20" s="13">
        <f>IF('Données projet'!$A$36&gt;35,N19+M20-V19,IF(A20&lt;'Données projet'!$A$36,$K$205^A20,IF(A20='Données projet'!$A$36,'Données projet'!$B$36,N19+M20-V19)))</f>
        <v>136.93608755517039</v>
      </c>
      <c r="O20" s="13">
        <f>N20*VLOOKUP('Données projet'!$B$9,Paramètres!$A$1:$I$89,3,0)*VLOOKUP('Données projet'!$B$9,Paramètres!$A$1:$I$89,5,0)</f>
        <v>76.547272943340246</v>
      </c>
      <c r="P20" s="13">
        <f t="shared" si="33"/>
        <v>21.290819020824138</v>
      </c>
      <c r="Q20" s="20">
        <f t="shared" si="2"/>
        <v>170.40134350425296</v>
      </c>
      <c r="R20" s="59">
        <f t="shared" si="0"/>
        <v>463.73467683758628</v>
      </c>
      <c r="S20" s="59">
        <f ca="1">AVERAGE(OFFSET($R$3,0,0,'Données projet'!$E$9+1,1))-AVERAGE(OFFSET($H$3,0,0,'Données projet'!$E$9+1,1))</f>
        <v>278.5296012747549</v>
      </c>
      <c r="T20" s="59">
        <f t="shared" si="34"/>
        <v>370.55343097937077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4.746666666666667</v>
      </c>
      <c r="AI20" s="13">
        <f>IF('Données projet'!$A$62&gt;35,AI19+AH20-AQ19,IF(A20&lt;'Données projet'!$A$62,$AF$205^A20,IF(A20='Données projet'!$A$62,'Données projet'!$B$62,AI19+AH20-AQ19)))</f>
        <v>16.60819086749574</v>
      </c>
      <c r="AJ20" s="13">
        <f>AI20*VLOOKUP('Données projet'!$B$10,Paramètres!$A$1:$I$89,3,0)*VLOOKUP('Données projet'!$B$10,Paramètres!$A$1:$I$89,5,0)</f>
        <v>7.9885398072654512</v>
      </c>
      <c r="AK20" s="13">
        <f t="shared" si="35"/>
        <v>2.8904952679797815</v>
      </c>
      <c r="AL20" s="20">
        <f t="shared" si="4"/>
        <v>18.947652756052111</v>
      </c>
      <c r="AM20" s="59">
        <f t="shared" si="5"/>
        <v>312.28098608938541</v>
      </c>
      <c r="AN20" s="59">
        <f ca="1">AVERAGE(OFFSET($AM$3,0,0,'Données projet'!$E$10+1,1))-AVERAGE(OFFSET($H$3,0,0,'Données projet'!$E$10+1,1))</f>
        <v>255.05550867459038</v>
      </c>
      <c r="AO20" s="59">
        <f t="shared" si="36"/>
        <v>119.28597757550295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4.9084615384615384</v>
      </c>
      <c r="BD20" s="12">
        <f>IF('Données projet'!$A$88&gt;35,BD19+BC20-BL19,IF(A20&lt;'Données projet'!$A$88,$BA$205^A20,IF(A20='Données projet'!$A$88,'Données projet'!$B$88,BD19+BC20-BL19)))</f>
        <v>16.926653343761537</v>
      </c>
      <c r="BE20" s="13">
        <f>BD20*VLOOKUP('Données projet'!$B$11,Paramètres!$A$1:$I$89,3,0)*VLOOKUP('Données projet'!$B$11,Paramètres!$A$1:$I$89,5,0)</f>
        <v>7.9216737648803992</v>
      </c>
      <c r="BF20" s="13">
        <f t="shared" si="37"/>
        <v>2.8691068648319642</v>
      </c>
      <c r="BG20" s="20">
        <f t="shared" si="7"/>
        <v>18.793942930082366</v>
      </c>
      <c r="BH20" s="59">
        <f t="shared" si="8"/>
        <v>312.12727626341569</v>
      </c>
      <c r="BI20" s="59">
        <f ca="1">AVERAGE(OFFSET($BH$3,0,0,'Données projet'!$E$11+1,1))-AVERAGE(OFFSET($H$3,0,0,'Données projet'!$E$11+1,1))</f>
        <v>181.79645720099597</v>
      </c>
      <c r="BJ20" s="59">
        <f t="shared" si="38"/>
        <v>120.20040029102233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5.9083916083916082</v>
      </c>
      <c r="BY20" s="12">
        <f>IF('Données projet'!$A$114&gt;35,BY19+BX20-CG19,IF(A20&lt;'Données projet'!$A$114,$BV$205^A20,IF(A20='Données projet'!$A$114,'Données projet'!$B$114,BY19+BX20-CG19)))</f>
        <v>42.999357270344852</v>
      </c>
      <c r="BZ20" s="13">
        <f>BY20*VLOOKUP('Données projet'!$B$12,Paramètres!$A$1:$I$89,3,0)*VLOOKUP('Données projet'!$B$12,Paramètres!$A$1:$I$89,5,0)</f>
        <v>25.71361564766622</v>
      </c>
      <c r="CA20" s="13">
        <f t="shared" si="39"/>
        <v>8.1203027703164814</v>
      </c>
      <c r="CB20" s="20">
        <f t="shared" si="10"/>
        <v>58.927407911319868</v>
      </c>
      <c r="CC20" s="59">
        <f t="shared" si="11"/>
        <v>352.26074124465316</v>
      </c>
      <c r="CD20" s="59">
        <f ca="1">AVERAGE(OFFSET($CC$3,0,0,'Données projet'!$E$12+1,1))-AVERAGE(OFFSET($H$3,0,0,'Données projet'!$E$12+1,1))</f>
        <v>213.18424462765137</v>
      </c>
      <c r="CE20" s="59">
        <f t="shared" si="40"/>
        <v>158.77848520346532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13.8</v>
      </c>
      <c r="CT20" s="12">
        <f>IF('Données projet'!$A$140&gt;35,CT19+CS20-DB19,IF(A20&lt;'Données projet'!$A$140,$CQ$205^A20,IF(A20='Données projet'!$A$140,'Données projet'!$B$140,CT19+CS20-DB19)))</f>
        <v>60.599999999999994</v>
      </c>
      <c r="CU20" s="17">
        <f>CT20*VLOOKUP('Données projet'!$B$13,Paramètres!$A$1:$I$89,3,0)*VLOOKUP('Données projet'!$B$13,Paramètres!$A$1:$I$89,5,0)</f>
        <v>48.213360000000002</v>
      </c>
      <c r="CV20" s="13">
        <f t="shared" si="41"/>
        <v>14.151379520104694</v>
      </c>
      <c r="CW20" s="20">
        <f t="shared" si="13"/>
        <v>108.61858799751566</v>
      </c>
      <c r="CX20" s="59">
        <f t="shared" si="14"/>
        <v>401.95192133084896</v>
      </c>
      <c r="CY20" s="59">
        <f ca="1">AVERAGE(OFFSET($CX$3,0,0,'Données projet'!$E$13+1,1))-AVERAGE(OFFSET($H$3,0,0,'Données projet'!$E$13+1,1))</f>
        <v>279.49721661620544</v>
      </c>
      <c r="CZ20" s="59">
        <f t="shared" si="42"/>
        <v>275.18739333988754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10.16068376068376</v>
      </c>
      <c r="M21" s="12">
        <f t="array" ref="M21">INDEX(L:L,MIN(IF(ISNUMBER(L21:L217),ROW(L21:L217),"")))</f>
        <v>10.16068376068376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278.5296012747549</v>
      </c>
      <c r="T21" s="59">
        <f t="shared" si="34"/>
        <v>370.55343097937077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0.30800000000000005</v>
      </c>
      <c r="Y21" s="16">
        <f>IF(ISNA(VLOOKUP(A21,'Données projet'!$A$35:$I$55,7,0)),0%,VLOOKUP(A21,'Données projet'!$A$35:$I$55,7,0))</f>
        <v>0.44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15.762109241455983</v>
      </c>
      <c r="AB21" s="21">
        <f>EXP(-LN(2)/2)*AB20+(1-EXP(-LN(2)/2))/(LN(2)/2)*V21*Y21*VLOOKUP('Données projet'!$B$9,Paramètres!$A$1:$I$89,3,0)*0.475*44/12</f>
        <v>19.294646846829099</v>
      </c>
      <c r="AC21" s="22">
        <f t="shared" si="3"/>
        <v>35.056756088285084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4.746666666666667</v>
      </c>
      <c r="AI21" s="13">
        <f>IF('Données projet'!$A$62&gt;35,AI20+AH21-AQ20,IF(A21&lt;'Données projet'!$A$62,$AF$205^A21,IF(A21='Données projet'!$A$62,'Données projet'!$B$62,AI20+AH21-AQ20)))</f>
        <v>19.59322805989137</v>
      </c>
      <c r="AJ21" s="13">
        <f>AI21*VLOOKUP('Données projet'!$B$10,Paramètres!$A$1:$I$89,3,0)*VLOOKUP('Données projet'!$B$10,Paramètres!$A$1:$I$89,5,0)</f>
        <v>9.4243426968077504</v>
      </c>
      <c r="AK21" s="13">
        <f t="shared" si="35"/>
        <v>3.3450322581137923</v>
      </c>
      <c r="AL21" s="20">
        <f t="shared" si="4"/>
        <v>22.239994713155017</v>
      </c>
      <c r="AM21" s="59">
        <f t="shared" si="5"/>
        <v>315.57332804648831</v>
      </c>
      <c r="AN21" s="59">
        <f ca="1">AVERAGE(OFFSET($AM$3,0,0,'Données projet'!$E$10+1,1))-AVERAGE(OFFSET($H$3,0,0,'Données projet'!$E$10+1,1))</f>
        <v>255.05550867459038</v>
      </c>
      <c r="AO21" s="59">
        <f t="shared" si="36"/>
        <v>119.28597757550295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4.9084615384615384</v>
      </c>
      <c r="BD21" s="12">
        <f>IF('Données projet'!$A$88&gt;35,BD20+BC21-BL20,IF(A21&lt;'Données projet'!$A$88,$BA$205^A21,IF(A21='Données projet'!$A$88,'Données projet'!$B$88,BD20+BC21-BL20)))</f>
        <v>19.991251747746755</v>
      </c>
      <c r="BE21" s="13">
        <f>BD21*VLOOKUP('Données projet'!$B$11,Paramètres!$A$1:$I$89,3,0)*VLOOKUP('Données projet'!$B$11,Paramètres!$A$1:$I$89,5,0)</f>
        <v>9.3559058179454802</v>
      </c>
      <c r="BF21" s="13">
        <f t="shared" si="37"/>
        <v>3.3235599293549551</v>
      </c>
      <c r="BG21" s="20">
        <f t="shared" si="7"/>
        <v>22.083402843214927</v>
      </c>
      <c r="BH21" s="59">
        <f t="shared" si="8"/>
        <v>315.41673617654823</v>
      </c>
      <c r="BI21" s="59">
        <f ca="1">AVERAGE(OFFSET($BH$3,0,0,'Données projet'!$E$11+1,1))-AVERAGE(OFFSET($H$3,0,0,'Données projet'!$E$11+1,1))</f>
        <v>181.79645720099597</v>
      </c>
      <c r="BJ21" s="59">
        <f t="shared" si="38"/>
        <v>120.20040029102233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5.9083916083916082</v>
      </c>
      <c r="BY21" s="12">
        <f>IF('Données projet'!$A$114&gt;35,BY20+BX21-CG20,IF(A21&lt;'Données projet'!$A$114,$BV$205^A21,IF(A21='Données projet'!$A$114,'Données projet'!$B$114,BY20+BX21-CG20)))</f>
        <v>53.64731143405691</v>
      </c>
      <c r="BZ21" s="13">
        <f>BY21*VLOOKUP('Données projet'!$B$12,Paramètres!$A$1:$I$89,3,0)*VLOOKUP('Données projet'!$B$12,Paramètres!$A$1:$I$89,5,0)</f>
        <v>32.081092237566033</v>
      </c>
      <c r="CA21" s="13">
        <f t="shared" si="39"/>
        <v>9.8735609219464049</v>
      </c>
      <c r="CB21" s="20">
        <f t="shared" si="10"/>
        <v>73.071020919484155</v>
      </c>
      <c r="CC21" s="59">
        <f t="shared" si="11"/>
        <v>366.40435425281748</v>
      </c>
      <c r="CD21" s="59">
        <f ca="1">AVERAGE(OFFSET($CC$3,0,0,'Données projet'!$E$12+1,1))-AVERAGE(OFFSET($H$3,0,0,'Données projet'!$E$12+1,1))</f>
        <v>213.18424462765137</v>
      </c>
      <c r="CE21" s="59">
        <f t="shared" si="40"/>
        <v>158.77848520346532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13.8</v>
      </c>
      <c r="CT21" s="12">
        <f>IF('Données projet'!$A$140&gt;35,CT20+CS21-DB20,IF(A21&lt;'Données projet'!$A$140,$CQ$205^A21,IF(A21='Données projet'!$A$140,'Données projet'!$B$140,CT20+CS21-DB20)))</f>
        <v>74.399999999999991</v>
      </c>
      <c r="CU21" s="17">
        <f>CT21*VLOOKUP('Données projet'!$B$13,Paramètres!$A$1:$I$89,3,0)*VLOOKUP('Données projet'!$B$13,Paramètres!$A$1:$I$89,5,0)</f>
        <v>59.192639999999997</v>
      </c>
      <c r="CV21" s="13">
        <f t="shared" si="41"/>
        <v>16.963982408330725</v>
      </c>
      <c r="CW21" s="20">
        <f t="shared" si="13"/>
        <v>132.63945069450935</v>
      </c>
      <c r="CX21" s="59">
        <f t="shared" si="14"/>
        <v>425.97278402784264</v>
      </c>
      <c r="CY21" s="59">
        <f ca="1">AVERAGE(OFFSET($CX$3,0,0,'Données projet'!$E$13+1,1))-AVERAGE(OFFSET($H$3,0,0,'Données projet'!$E$13+1,1))</f>
        <v>279.49721661620544</v>
      </c>
      <c r="CZ21" s="59">
        <f t="shared" si="42"/>
        <v>275.18739333988754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278.5296012747549</v>
      </c>
      <c r="T22" s="59">
        <f t="shared" si="34"/>
        <v>370.55343097937077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15.33109353535507</v>
      </c>
      <c r="AB22" s="21">
        <f>EXP(-LN(2)/2)*AB21+(1-EXP(-LN(2)/2))/(LN(2)/2)*V22*Y22*VLOOKUP('Données projet'!$B$9,Paramètres!$A$1:$I$89,3,0)*0.475*44/12</f>
        <v>13.643375625992494</v>
      </c>
      <c r="AC22" s="22">
        <f t="shared" si="3"/>
        <v>28.974469161347564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4.746666666666667</v>
      </c>
      <c r="AI22" s="13">
        <f>IF('Données projet'!$A$62&gt;35,AI21+AH22-AQ21,IF(A22&lt;'Données projet'!$A$62,$AF$205^A22,IF(A22='Données projet'!$A$62,'Données projet'!$B$62,AI21+AH22-AQ21)))</f>
        <v>23.114774442907148</v>
      </c>
      <c r="AJ22" s="13">
        <f>AI22*VLOOKUP('Données projet'!$B$10,Paramètres!$A$1:$I$89,3,0)*VLOOKUP('Données projet'!$B$10,Paramètres!$A$1:$I$89,5,0)</f>
        <v>11.118206507038337</v>
      </c>
      <c r="AK22" s="13">
        <f t="shared" si="35"/>
        <v>3.8710462292651355</v>
      </c>
      <c r="AL22" s="20">
        <f t="shared" si="4"/>
        <v>26.106281849061883</v>
      </c>
      <c r="AM22" s="59">
        <f t="shared" si="5"/>
        <v>319.43961518239519</v>
      </c>
      <c r="AN22" s="59">
        <f ca="1">AVERAGE(OFFSET($AM$3,0,0,'Données projet'!$E$10+1,1))-AVERAGE(OFFSET($H$3,0,0,'Données projet'!$E$10+1,1))</f>
        <v>255.05550867459038</v>
      </c>
      <c r="AO22" s="59">
        <f t="shared" si="36"/>
        <v>119.28597757550295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4.9084615384615384</v>
      </c>
      <c r="BD22" s="12">
        <f>IF('Données projet'!$A$88&gt;35,BD21+BC22-BL21,IF(A22&lt;'Données projet'!$A$88,$BA$205^A22,IF(A22='Données projet'!$A$88,'Données projet'!$B$88,BD21+BC22-BL21)))</f>
        <v>23.610700728923604</v>
      </c>
      <c r="BE22" s="13">
        <f>BD22*VLOOKUP('Données projet'!$B$11,Paramètres!$A$1:$I$89,3,0)*VLOOKUP('Données projet'!$B$11,Paramètres!$A$1:$I$89,5,0)</f>
        <v>11.049807941136248</v>
      </c>
      <c r="BF22" s="13">
        <f t="shared" si="37"/>
        <v>3.8499962268435248</v>
      </c>
      <c r="BG22" s="20">
        <f t="shared" si="7"/>
        <v>25.950492259231435</v>
      </c>
      <c r="BH22" s="59">
        <f t="shared" si="8"/>
        <v>319.28382559256477</v>
      </c>
      <c r="BI22" s="59">
        <f ca="1">AVERAGE(OFFSET($BH$3,0,0,'Données projet'!$E$11+1,1))-AVERAGE(OFFSET($H$3,0,0,'Données projet'!$E$11+1,1))</f>
        <v>181.79645720099597</v>
      </c>
      <c r="BJ22" s="59">
        <f t="shared" si="38"/>
        <v>120.20040029102233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5.9083916083916082</v>
      </c>
      <c r="BY22" s="12">
        <f>IF('Données projet'!$A$114&gt;35,BY21+BX22-CG21,IF(A22&lt;'Données projet'!$A$114,$BV$205^A22,IF(A22='Données projet'!$A$114,'Données projet'!$B$114,BY21+BX22-CG21)))</f>
        <v>66.932024262780615</v>
      </c>
      <c r="BZ22" s="13">
        <f>BY22*VLOOKUP('Données projet'!$B$12,Paramètres!$A$1:$I$89,3,0)*VLOOKUP('Données projet'!$B$12,Paramètres!$A$1:$I$89,5,0)</f>
        <v>40.025350509142811</v>
      </c>
      <c r="CA22" s="13">
        <f t="shared" si="39"/>
        <v>12.005365814160106</v>
      </c>
      <c r="CB22" s="20">
        <f t="shared" si="10"/>
        <v>90.620164263085925</v>
      </c>
      <c r="CC22" s="59">
        <f t="shared" si="11"/>
        <v>383.95349759641925</v>
      </c>
      <c r="CD22" s="59">
        <f ca="1">AVERAGE(OFFSET($CC$3,0,0,'Données projet'!$E$12+1,1))-AVERAGE(OFFSET($H$3,0,0,'Données projet'!$E$12+1,1))</f>
        <v>213.18424462765137</v>
      </c>
      <c r="CE22" s="59">
        <f t="shared" si="40"/>
        <v>158.77848520346532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13.8</v>
      </c>
      <c r="CT22" s="12">
        <f>IF('Données projet'!$A$140&gt;35,CT21+CS22-DB21,IF(A22&lt;'Données projet'!$A$140,$CQ$205^A22,IF(A22='Données projet'!$A$140,'Données projet'!$B$140,CT21+CS22-DB21)))</f>
        <v>88.199999999999989</v>
      </c>
      <c r="CU22" s="17">
        <f>CT22*VLOOKUP('Données projet'!$B$13,Paramètres!$A$1:$I$89,3,0)*VLOOKUP('Données projet'!$B$13,Paramètres!$A$1:$I$89,5,0)</f>
        <v>70.171919999999986</v>
      </c>
      <c r="CV22" s="13">
        <f t="shared" si="41"/>
        <v>19.716145269554726</v>
      </c>
      <c r="CW22" s="20">
        <f t="shared" si="13"/>
        <v>156.55504701114111</v>
      </c>
      <c r="CX22" s="59">
        <f t="shared" si="14"/>
        <v>449.8883803444744</v>
      </c>
      <c r="CY22" s="59">
        <f ca="1">AVERAGE(OFFSET($CX$3,0,0,'Données projet'!$E$13+1,1))-AVERAGE(OFFSET($H$3,0,0,'Données projet'!$E$13+1,1))</f>
        <v>279.49721661620544</v>
      </c>
      <c r="CZ22" s="59">
        <f t="shared" si="42"/>
        <v>275.18739333988754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278.5296012747549</v>
      </c>
      <c r="T23" s="59">
        <f t="shared" si="34"/>
        <v>370.55343097937077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14.911863976403616</v>
      </c>
      <c r="AB23" s="21">
        <f>EXP(-LN(2)/2)*AB22+(1-EXP(-LN(2)/2))/(LN(2)/2)*V23*Y23*VLOOKUP('Données projet'!$B$9,Paramètres!$A$1:$I$89,3,0)*0.475*44/12</f>
        <v>9.6473234234145515</v>
      </c>
      <c r="AC23" s="22">
        <f t="shared" si="3"/>
        <v>24.559187399818168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4.746666666666667</v>
      </c>
      <c r="AI23" s="13">
        <f>IF('Données projet'!$A$62&gt;35,AI22+AH23-AQ22,IF(A23&lt;'Données projet'!$A$62,$AF$205^A23,IF(A23='Données projet'!$A$62,'Données projet'!$B$62,AI22+AH23-AQ22)))</f>
        <v>27.26925833319963</v>
      </c>
      <c r="AJ23" s="13">
        <f>AI23*VLOOKUP('Données projet'!$B$10,Paramètres!$A$1:$I$89,3,0)*VLOOKUP('Données projet'!$B$10,Paramètres!$A$1:$I$89,5,0)</f>
        <v>13.116513258269023</v>
      </c>
      <c r="AK23" s="13">
        <f t="shared" si="35"/>
        <v>4.479777100134041</v>
      </c>
      <c r="AL23" s="20">
        <f t="shared" si="4"/>
        <v>30.64687237421867</v>
      </c>
      <c r="AM23" s="59">
        <f t="shared" si="5"/>
        <v>323.98020570755199</v>
      </c>
      <c r="AN23" s="59">
        <f ca="1">AVERAGE(OFFSET($AM$3,0,0,'Données projet'!$E$10+1,1))-AVERAGE(OFFSET($H$3,0,0,'Données projet'!$E$10+1,1))</f>
        <v>255.05550867459038</v>
      </c>
      <c r="AO23" s="59">
        <f t="shared" si="36"/>
        <v>119.28597757550295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4.9084615384615384</v>
      </c>
      <c r="BD23" s="12">
        <f>IF('Données projet'!$A$88&gt;35,BD22+BC23-BL22,IF(A23&lt;'Données projet'!$A$88,$BA$205^A23,IF(A23='Données projet'!$A$88,'Données projet'!$B$88,BD22+BC23-BL22)))</f>
        <v>27.885456896095882</v>
      </c>
      <c r="BE23" s="13">
        <f>BD23*VLOOKUP('Données projet'!$B$11,Paramètres!$A$1:$I$89,3,0)*VLOOKUP('Données projet'!$B$11,Paramètres!$A$1:$I$89,5,0)</f>
        <v>13.050393827372874</v>
      </c>
      <c r="BF23" s="13">
        <f t="shared" si="37"/>
        <v>4.459817563628576</v>
      </c>
      <c r="BG23" s="20">
        <f t="shared" si="7"/>
        <v>30.49695150599419</v>
      </c>
      <c r="BH23" s="59">
        <f t="shared" si="8"/>
        <v>323.83028483932753</v>
      </c>
      <c r="BI23" s="59">
        <f ca="1">AVERAGE(OFFSET($BH$3,0,0,'Données projet'!$E$11+1,1))-AVERAGE(OFFSET($H$3,0,0,'Données projet'!$E$11+1,1))</f>
        <v>181.79645720099597</v>
      </c>
      <c r="BJ23" s="59">
        <f t="shared" si="38"/>
        <v>120.20040029102233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5.9083916083916082</v>
      </c>
      <c r="BY23" s="12">
        <f>IF('Données projet'!$A$114&gt;35,BY22+BX23-CG22,IF(A23&lt;'Données projet'!$A$114,$BV$205^A23,IF(A23='Données projet'!$A$114,'Données projet'!$B$114,BY22+BX23-CG22)))</f>
        <v>83.506437734910989</v>
      </c>
      <c r="BZ23" s="13">
        <f>BY23*VLOOKUP('Données projet'!$B$12,Paramètres!$A$1:$I$89,3,0)*VLOOKUP('Données projet'!$B$12,Paramètres!$A$1:$I$89,5,0)</f>
        <v>49.936849765476779</v>
      </c>
      <c r="CA23" s="13">
        <f t="shared" si="39"/>
        <v>14.597449640629918</v>
      </c>
      <c r="CB23" s="20">
        <f t="shared" si="10"/>
        <v>112.39723813230249</v>
      </c>
      <c r="CC23" s="59">
        <f t="shared" si="11"/>
        <v>405.73057146563582</v>
      </c>
      <c r="CD23" s="59">
        <f ca="1">AVERAGE(OFFSET($CC$3,0,0,'Données projet'!$E$12+1,1))-AVERAGE(OFFSET($H$3,0,0,'Données projet'!$E$12+1,1))</f>
        <v>213.18424462765137</v>
      </c>
      <c r="CE23" s="59">
        <f t="shared" si="40"/>
        <v>158.77848520346532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102</v>
      </c>
      <c r="CR23" s="12">
        <f>VLOOKUP(A23,'Données projet'!$A$139:$I$159,9,0)</f>
        <v>13.8</v>
      </c>
      <c r="CS23" s="12">
        <f t="array" ref="CS23">INDEX(CR:CR,MIN(IF(ISNUMBER(CR23:CR219),ROW(CR23:CR219),"")))</f>
        <v>13.8</v>
      </c>
      <c r="CT23" s="12">
        <f>IF('Données projet'!$A$140&gt;35,CT22+CS23-DB22,IF(A23&lt;'Données projet'!$A$140,$CQ$205^A23,IF(A23='Données projet'!$A$140,'Données projet'!$B$140,CT22+CS23-DB22)))</f>
        <v>101.99999999999999</v>
      </c>
      <c r="CU23" s="17">
        <f>CT23*VLOOKUP('Données projet'!$B$13,Paramètres!$A$1:$I$89,3,0)*VLOOKUP('Données projet'!$B$13,Paramètres!$A$1:$I$89,5,0)</f>
        <v>81.151200000000003</v>
      </c>
      <c r="CV23" s="13">
        <f t="shared" si="41"/>
        <v>22.418424032002342</v>
      </c>
      <c r="CW23" s="20">
        <f t="shared" si="13"/>
        <v>180.38376185573739</v>
      </c>
      <c r="CX23" s="59">
        <f t="shared" si="14"/>
        <v>473.71709518907073</v>
      </c>
      <c r="CY23" s="59">
        <f ca="1">AVERAGE(OFFSET($CX$3,0,0,'Données projet'!$E$13+1,1))-AVERAGE(OFFSET($H$3,0,0,'Données projet'!$E$13+1,1))</f>
        <v>279.49721661620544</v>
      </c>
      <c r="CZ23" s="59">
        <f t="shared" si="42"/>
        <v>275.18739333988754</v>
      </c>
      <c r="DA23" s="15">
        <f>IF(ISNA(VLOOKUP(A23,'Données projet'!$A$139:$I$159,3,0)),0,VLOOKUP(A23,'Données projet'!$A$139:$I$159,3,0))</f>
        <v>2</v>
      </c>
      <c r="DB23" s="15">
        <f>IF(ISNA(VLOOKUP(A23,'Données projet'!$A$139:$I$159,4,0)),0,VLOOKUP(A23,'Données projet'!$A$139:$I$159,4,0))</f>
        <v>35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1.5900000000000001E-2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0.48752141272860278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0.48752141272860278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278.5296012747549</v>
      </c>
      <c r="T24" s="59">
        <f t="shared" si="34"/>
        <v>370.55343097937077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14.504098271788013</v>
      </c>
      <c r="AB24" s="21">
        <f>EXP(-LN(2)/2)*AB23+(1-EXP(-LN(2)/2))/(LN(2)/2)*V24*Y24*VLOOKUP('Données projet'!$B$9,Paramètres!$A$1:$I$89,3,0)*0.475*44/12</f>
        <v>6.8216878129962479</v>
      </c>
      <c r="AC24" s="22">
        <f t="shared" si="3"/>
        <v>21.325786084784262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4.746666666666667</v>
      </c>
      <c r="AI24" s="13">
        <f>IF('Données projet'!$A$62&gt;35,AI23+AH24-AQ23,IF(A24&lt;'Données projet'!$A$62,$AF$205^A24,IF(A24='Données projet'!$A$62,'Données projet'!$B$62,AI23+AH24-AQ23)))</f>
        <v>32.170439381940739</v>
      </c>
      <c r="AJ24" s="13">
        <f>AI24*VLOOKUP('Données projet'!$B$10,Paramètres!$A$1:$I$89,3,0)*VLOOKUP('Données projet'!$B$10,Paramètres!$A$1:$I$89,5,0)</f>
        <v>15.473981342713497</v>
      </c>
      <c r="AK24" s="13">
        <f t="shared" si="35"/>
        <v>5.1842322923369135</v>
      </c>
      <c r="AL24" s="20">
        <f t="shared" si="4"/>
        <v>35.979722081046127</v>
      </c>
      <c r="AM24" s="59">
        <f t="shared" si="5"/>
        <v>329.31305541437945</v>
      </c>
      <c r="AN24" s="59">
        <f ca="1">AVERAGE(OFFSET($AM$3,0,0,'Données projet'!$E$10+1,1))-AVERAGE(OFFSET($H$3,0,0,'Données projet'!$E$10+1,1))</f>
        <v>255.05550867459038</v>
      </c>
      <c r="AO24" s="59">
        <f t="shared" si="36"/>
        <v>119.28597757550295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4.9084615384615384</v>
      </c>
      <c r="BD24" s="12">
        <f>IF('Données projet'!$A$88&gt;35,BD23+BC24-BL23,IF(A24&lt;'Données projet'!$A$88,$BA$205^A24,IF(A24='Données projet'!$A$88,'Données projet'!$B$88,BD23+BC24-BL23)))</f>
        <v>32.934164692174789</v>
      </c>
      <c r="BE24" s="13">
        <f>BD24*VLOOKUP('Données projet'!$B$11,Paramètres!$A$1:$I$89,3,0)*VLOOKUP('Données projet'!$B$11,Paramètres!$A$1:$I$89,5,0)</f>
        <v>15.413189075937803</v>
      </c>
      <c r="BF24" s="13">
        <f t="shared" si="37"/>
        <v>5.166231738662507</v>
      </c>
      <c r="BG24" s="20">
        <f t="shared" si="7"/>
        <v>35.842491252095542</v>
      </c>
      <c r="BH24" s="59">
        <f t="shared" si="8"/>
        <v>329.17582458542887</v>
      </c>
      <c r="BI24" s="59">
        <f ca="1">AVERAGE(OFFSET($BH$3,0,0,'Données projet'!$E$11+1,1))-AVERAGE(OFFSET($H$3,0,0,'Données projet'!$E$11+1,1))</f>
        <v>181.79645720099597</v>
      </c>
      <c r="BJ24" s="59">
        <f t="shared" si="38"/>
        <v>120.20040029102233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5.9083916083916082</v>
      </c>
      <c r="BY24" s="12">
        <f>IF('Données projet'!$A$114&gt;35,BY23+BX24-CG23,IF(A24&lt;'Données projet'!$A$114,$BV$205^A24,IF(A24='Données projet'!$A$114,'Données projet'!$B$114,BY23+BX24-CG23)))</f>
        <v>104.18518220510889</v>
      </c>
      <c r="BZ24" s="13">
        <f>BY24*VLOOKUP('Données projet'!$B$12,Paramètres!$A$1:$I$89,3,0)*VLOOKUP('Données projet'!$B$12,Paramètres!$A$1:$I$89,5,0)</f>
        <v>62.302738958655119</v>
      </c>
      <c r="CA24" s="13">
        <f t="shared" si="39"/>
        <v>17.749191429002199</v>
      </c>
      <c r="CB24" s="20">
        <f t="shared" si="10"/>
        <v>139.42377875850318</v>
      </c>
      <c r="CC24" s="59">
        <f t="shared" si="11"/>
        <v>432.75711209183646</v>
      </c>
      <c r="CD24" s="59">
        <f ca="1">AVERAGE(OFFSET($CC$3,0,0,'Données projet'!$E$12+1,1))-AVERAGE(OFFSET($H$3,0,0,'Données projet'!$E$12+1,1))</f>
        <v>213.18424462765137</v>
      </c>
      <c r="CE24" s="59">
        <f t="shared" si="40"/>
        <v>158.77848520346532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14.8</v>
      </c>
      <c r="CT24" s="12">
        <f>IF('Données projet'!$A$140&gt;35,CT23+CS24-DB23,IF(A24&lt;'Données projet'!$A$140,$CQ$205^A24,IF(A24='Données projet'!$A$140,'Données projet'!$B$140,CT23+CS24-DB23)))</f>
        <v>81.799999999999983</v>
      </c>
      <c r="CU24" s="17">
        <f>CT24*VLOOKUP('Données projet'!$B$13,Paramètres!$A$1:$I$89,3,0)*VLOOKUP('Données projet'!$B$13,Paramètres!$A$1:$I$89,5,0)</f>
        <v>65.080079999999981</v>
      </c>
      <c r="CV24" s="13">
        <f t="shared" si="41"/>
        <v>18.44653442602603</v>
      </c>
      <c r="CW24" s="20">
        <f t="shared" si="13"/>
        <v>145.47552012532864</v>
      </c>
      <c r="CX24" s="59">
        <f t="shared" si="14"/>
        <v>438.80885345866193</v>
      </c>
      <c r="CY24" s="59">
        <f ca="1">AVERAGE(OFFSET($CX$3,0,0,'Données projet'!$E$13+1,1))-AVERAGE(OFFSET($H$3,0,0,'Données projet'!$E$13+1,1))</f>
        <v>279.49721661620544</v>
      </c>
      <c r="CZ24" s="59">
        <f t="shared" si="42"/>
        <v>275.18739333988754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0.4741901140599023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0.4741901140599023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278.5296012747549</v>
      </c>
      <c r="T25" s="59">
        <f t="shared" si="34"/>
        <v>370.55343097937077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14.107482941808591</v>
      </c>
      <c r="AB25" s="21">
        <f>EXP(-LN(2)/2)*AB24+(1-EXP(-LN(2)/2))/(LN(2)/2)*V25*Y25*VLOOKUP('Données projet'!$B$9,Paramètres!$A$1:$I$89,3,0)*0.475*44/12</f>
        <v>4.8236617117072758</v>
      </c>
      <c r="AC25" s="22">
        <f t="shared" si="3"/>
        <v>18.931144653515865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4.746666666666667</v>
      </c>
      <c r="AI25" s="13">
        <f>IF('Données projet'!$A$62&gt;35,AI24+AH25-AQ24,IF(A25&lt;'Données projet'!$A$62,$AF$205^A25,IF(A25='Données projet'!$A$62,'Données projet'!$B$62,AI24+AH25-AQ24)))</f>
        <v>37.952523584666544</v>
      </c>
      <c r="AJ25" s="13">
        <f>AI25*VLOOKUP('Données projet'!$B$10,Paramètres!$A$1:$I$89,3,0)*VLOOKUP('Données projet'!$B$10,Paramètres!$A$1:$I$89,5,0)</f>
        <v>18.255163844224608</v>
      </c>
      <c r="AK25" s="13">
        <f t="shared" si="35"/>
        <v>5.9994646742813771</v>
      </c>
      <c r="AL25" s="20">
        <f t="shared" si="4"/>
        <v>42.243478003064588</v>
      </c>
      <c r="AM25" s="59">
        <f t="shared" si="5"/>
        <v>335.5768113363979</v>
      </c>
      <c r="AN25" s="59">
        <f ca="1">AVERAGE(OFFSET($AM$3,0,0,'Données projet'!$E$10+1,1))-AVERAGE(OFFSET($H$3,0,0,'Données projet'!$E$10+1,1))</f>
        <v>255.05550867459038</v>
      </c>
      <c r="AO25" s="59">
        <f t="shared" si="36"/>
        <v>119.28597757550295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4.9084615384615384</v>
      </c>
      <c r="BD25" s="12">
        <f>IF('Données projet'!$A$88&gt;35,BD24+BC25-BL24,IF(A25&lt;'Données projet'!$A$88,$BA$205^A25,IF(A25='Données projet'!$A$88,'Données projet'!$B$88,BD24+BC25-BL24)))</f>
        <v>38.896949331432715</v>
      </c>
      <c r="BE25" s="13">
        <f>BD25*VLOOKUP('Données projet'!$B$11,Paramètres!$A$1:$I$89,3,0)*VLOOKUP('Données projet'!$B$11,Paramètres!$A$1:$I$89,5,0)</f>
        <v>18.20377228711051</v>
      </c>
      <c r="BF25" s="13">
        <f t="shared" si="37"/>
        <v>5.9845386042761088</v>
      </c>
      <c r="BG25" s="20">
        <f t="shared" si="7"/>
        <v>42.127974802498365</v>
      </c>
      <c r="BH25" s="59">
        <f t="shared" si="8"/>
        <v>335.4613081358317</v>
      </c>
      <c r="BI25" s="59">
        <f ca="1">AVERAGE(OFFSET($BH$3,0,0,'Données projet'!$E$11+1,1))-AVERAGE(OFFSET($H$3,0,0,'Données projet'!$E$11+1,1))</f>
        <v>181.79645720099597</v>
      </c>
      <c r="BJ25" s="59">
        <f t="shared" si="38"/>
        <v>120.20040029102233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>
        <f>VLOOKUP(A25,'Données projet'!$A$113:$I$133,2,0)</f>
        <v>129.98461538461538</v>
      </c>
      <c r="BW25" s="12">
        <f>VLOOKUP(A25,'Données projet'!$A$113:$I$133,9,0)</f>
        <v>5.9083916083916082</v>
      </c>
      <c r="BX25" s="12">
        <f t="array" ref="BX25">INDEX(BW:BW,MIN(IF(ISNUMBER(BW25:BW221),ROW(BW25:BW221),"")))</f>
        <v>5.9083916083916082</v>
      </c>
      <c r="BY25" s="12">
        <f>IF('Données projet'!$A$114&gt;35,BY24+BX25-CG24,IF(A25&lt;'Données projet'!$A$114,$BV$205^A25,IF(A25='Données projet'!$A$114,'Données projet'!$B$114,BY24+BX25-CG24)))</f>
        <v>129.98461538461538</v>
      </c>
      <c r="BZ25" s="13">
        <f>BY25*VLOOKUP('Données projet'!$B$12,Paramètres!$A$1:$I$89,3,0)*VLOOKUP('Données projet'!$B$12,Paramètres!$A$1:$I$89,5,0)</f>
        <v>77.730800000000002</v>
      </c>
      <c r="CA25" s="13">
        <f t="shared" si="39"/>
        <v>21.581427176601697</v>
      </c>
      <c r="CB25" s="20">
        <f t="shared" si="10"/>
        <v>172.96879566591463</v>
      </c>
      <c r="CC25" s="59">
        <f t="shared" si="11"/>
        <v>466.30212899924794</v>
      </c>
      <c r="CD25" s="59">
        <f ca="1">AVERAGE(OFFSET($CC$3,0,0,'Données projet'!$E$12+1,1))-AVERAGE(OFFSET($H$3,0,0,'Données projet'!$E$12+1,1))</f>
        <v>213.18424462765137</v>
      </c>
      <c r="CE25" s="59">
        <f t="shared" si="40"/>
        <v>158.77848520346532</v>
      </c>
      <c r="CF25" s="15">
        <f>IF(ISNA(VLOOKUP(A25,'Données projet'!$A$113:$I$133,3,0)),0,VLOOKUP(A25,'Données projet'!$A$113:$I$133,3,0))</f>
        <v>1</v>
      </c>
      <c r="CG25" s="15">
        <f>IF(ISNA(VLOOKUP(A25,'Données projet'!$A$113:$I$133,4,0)),0,VLOOKUP(A25,'Données projet'!$A$113:$I$133,4,0))</f>
        <v>52.746153846153838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0.25200000000000006</v>
      </c>
      <c r="CJ25" s="16">
        <f>IF(ISNA(VLOOKUP(A25,'Données projet'!$A$113:$I$133,7,0)),0%,VLOOKUP(A25,'Données projet'!$A$113:$I$133,7,0))</f>
        <v>0.44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10.502858638823966</v>
      </c>
      <c r="CM25" s="21">
        <f>EXP(-LN(2)/2)*CM24+(1-EXP(-LN(2)/2))/(LN(2)/2)*CG25*CJ25*VLOOKUP('Données projet'!$B$12,Paramètres!$A$1:$I$89,3,0)*0.475*44/12</f>
        <v>15.713762933017286</v>
      </c>
      <c r="CN25" s="22">
        <f t="shared" si="12"/>
        <v>26.216621571841252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14.8</v>
      </c>
      <c r="CT25" s="12">
        <f>IF('Données projet'!$A$140&gt;35,CT24+CS25-DB24,IF(A25&lt;'Données projet'!$A$140,$CQ$205^A25,IF(A25='Données projet'!$A$140,'Données projet'!$B$140,CT24+CS25-DB24)))</f>
        <v>96.59999999999998</v>
      </c>
      <c r="CU25" s="17">
        <f>CT25*VLOOKUP('Données projet'!$B$13,Paramètres!$A$1:$I$89,3,0)*VLOOKUP('Données projet'!$B$13,Paramètres!$A$1:$I$89,5,0)</f>
        <v>76.854959999999991</v>
      </c>
      <c r="CV25" s="13">
        <f t="shared" si="41"/>
        <v>21.366419773799993</v>
      </c>
      <c r="CW25" s="20">
        <f t="shared" si="13"/>
        <v>171.06890310603498</v>
      </c>
      <c r="CX25" s="59">
        <f t="shared" si="14"/>
        <v>464.40223643936827</v>
      </c>
      <c r="CY25" s="59">
        <f ca="1">AVERAGE(OFFSET($CX$3,0,0,'Données projet'!$E$13+1,1))-AVERAGE(OFFSET($H$3,0,0,'Données projet'!$E$13+1,1))</f>
        <v>279.49721661620544</v>
      </c>
      <c r="CZ25" s="59">
        <f t="shared" si="42"/>
        <v>275.18739333988754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0.46122336045435997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0.46122336045435997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278.5296012747549</v>
      </c>
      <c r="T26" s="59">
        <f t="shared" si="34"/>
        <v>370.55343097937077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13.72171307888455</v>
      </c>
      <c r="AB26" s="21">
        <f>EXP(-LN(2)/2)*AB25+(1-EXP(-LN(2)/2))/(LN(2)/2)*V26*Y26*VLOOKUP('Données projet'!$B$9,Paramètres!$A$1:$I$89,3,0)*0.475*44/12</f>
        <v>3.410843906498124</v>
      </c>
      <c r="AC26" s="22">
        <f t="shared" si="3"/>
        <v>17.132556985382674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4.746666666666667</v>
      </c>
      <c r="AI26" s="13">
        <f>IF('Données projet'!$A$62&gt;35,AI25+AH26-AQ25,IF(A26&lt;'Données projet'!$A$62,$AF$205^A26,IF(A26='Données projet'!$A$62,'Données projet'!$B$62,AI25+AH26-AQ25)))</f>
        <v>44.773838160670337</v>
      </c>
      <c r="AJ26" s="13">
        <f>AI26*VLOOKUP('Données projet'!$B$10,Paramètres!$A$1:$I$89,3,0)*VLOOKUP('Données projet'!$B$10,Paramètres!$A$1:$I$89,5,0)</f>
        <v>21.536216155282435</v>
      </c>
      <c r="AK26" s="13">
        <f t="shared" si="35"/>
        <v>6.9428942123511996</v>
      </c>
      <c r="AL26" s="20">
        <f t="shared" si="4"/>
        <v>49.601117223628584</v>
      </c>
      <c r="AM26" s="59">
        <f t="shared" si="5"/>
        <v>342.93445055696191</v>
      </c>
      <c r="AN26" s="59">
        <f ca="1">AVERAGE(OFFSET($AM$3,0,0,'Données projet'!$E$10+1,1))-AVERAGE(OFFSET($H$3,0,0,'Données projet'!$E$10+1,1))</f>
        <v>255.05550867459038</v>
      </c>
      <c r="AO26" s="59">
        <f t="shared" si="36"/>
        <v>119.28597757550295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4.9084615384615384</v>
      </c>
      <c r="BD26" s="12">
        <f>IF('Données projet'!$A$88&gt;35,BD25+BC26-BL25,IF(A26&lt;'Données projet'!$A$88,$BA$205^A26,IF(A26='Données projet'!$A$88,'Données projet'!$B$88,BD25+BC26-BL25)))</f>
        <v>45.939305928458197</v>
      </c>
      <c r="BE26" s="13">
        <f>BD26*VLOOKUP('Données projet'!$B$11,Paramètres!$A$1:$I$89,3,0)*VLOOKUP('Données projet'!$B$11,Paramètres!$A$1:$I$89,5,0)</f>
        <v>21.499595174518436</v>
      </c>
      <c r="BF26" s="13">
        <f t="shared" si="37"/>
        <v>6.9324614376170377</v>
      </c>
      <c r="BG26" s="20">
        <f t="shared" si="7"/>
        <v>49.51916526613595</v>
      </c>
      <c r="BH26" s="59">
        <f t="shared" si="8"/>
        <v>342.85249859946924</v>
      </c>
      <c r="BI26" s="59">
        <f ca="1">AVERAGE(OFFSET($BH$3,0,0,'Données projet'!$E$11+1,1))-AVERAGE(OFFSET($H$3,0,0,'Données projet'!$E$11+1,1))</f>
        <v>181.79645720099597</v>
      </c>
      <c r="BJ26" s="59">
        <f t="shared" si="38"/>
        <v>120.20040029102233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12.695384615384615</v>
      </c>
      <c r="BY26" s="12">
        <f>IF('Données projet'!$A$114&gt;35,BY25+BX26-CG25,IF(A26&lt;'Données projet'!$A$114,$BV$205^A26,IF(A26='Données projet'!$A$114,'Données projet'!$B$114,BY25+BX26-CG25)))</f>
        <v>89.933846153846162</v>
      </c>
      <c r="BZ26" s="13">
        <f>BY26*VLOOKUP('Données projet'!$B$12,Paramètres!$A$1:$I$89,3,0)*VLOOKUP('Données projet'!$B$12,Paramètres!$A$1:$I$89,5,0)</f>
        <v>53.780440000000013</v>
      </c>
      <c r="CA26" s="13">
        <f t="shared" si="39"/>
        <v>15.5858948320701</v>
      </c>
      <c r="CB26" s="20">
        <f t="shared" si="10"/>
        <v>120.81303316585546</v>
      </c>
      <c r="CC26" s="59">
        <f t="shared" si="11"/>
        <v>414.14636649918879</v>
      </c>
      <c r="CD26" s="59">
        <f ca="1">AVERAGE(OFFSET($CC$3,0,0,'Données projet'!$E$12+1,1))-AVERAGE(OFFSET($H$3,0,0,'Données projet'!$E$12+1,1))</f>
        <v>213.18424462765137</v>
      </c>
      <c r="CE26" s="59">
        <f t="shared" si="40"/>
        <v>158.77848520346532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10.215657417023994</v>
      </c>
      <c r="CM26" s="21">
        <f>EXP(-LN(2)/2)*CM25+(1-EXP(-LN(2)/2))/(LN(2)/2)*CG26*CJ26*VLOOKUP('Données projet'!$B$12,Paramètres!$A$1:$I$89,3,0)*0.475*44/12</f>
        <v>11.111308327894335</v>
      </c>
      <c r="CN26" s="22">
        <f t="shared" si="12"/>
        <v>21.326965744918329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14.8</v>
      </c>
      <c r="CT26" s="12">
        <f>IF('Données projet'!$A$140&gt;35,CT25+CS26-DB25,IF(A26&lt;'Données projet'!$A$140,$CQ$205^A26,IF(A26='Données projet'!$A$140,'Données projet'!$B$140,CT25+CS26-DB25)))</f>
        <v>111.39999999999998</v>
      </c>
      <c r="CU26" s="17">
        <f>CT26*VLOOKUP('Données projet'!$B$13,Paramètres!$A$1:$I$89,3,0)*VLOOKUP('Données projet'!$B$13,Paramètres!$A$1:$I$89,5,0)</f>
        <v>88.629839999999987</v>
      </c>
      <c r="CV26" s="13">
        <f t="shared" si="41"/>
        <v>24.23448093253452</v>
      </c>
      <c r="CW26" s="20">
        <f t="shared" si="13"/>
        <v>196.57202562416424</v>
      </c>
      <c r="CX26" s="59">
        <f t="shared" si="14"/>
        <v>489.90535895749758</v>
      </c>
      <c r="CY26" s="59">
        <f ca="1">AVERAGE(OFFSET($CX$3,0,0,'Données projet'!$E$13+1,1))-AVERAGE(OFFSET($H$3,0,0,'Données projet'!$E$13+1,1))</f>
        <v>279.49721661620544</v>
      </c>
      <c r="CZ26" s="59">
        <f t="shared" si="42"/>
        <v>275.18739333988754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0.44861118340805312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0.44861118340805312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278.5296012747549</v>
      </c>
      <c r="T27" s="59">
        <f t="shared" si="34"/>
        <v>370.55343097937077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0.38500000000000001</v>
      </c>
      <c r="X27" s="16">
        <f>IF(ISNA(VLOOKUP(A27,'Données projet'!$A$35:$I$55,6,0)),0%,VLOOKUP(A27,'Données projet'!$A$35:$I$55,6,0)*VLOOKUP('Données projet'!$B$9,Paramètres!$A$1:$I$89,7,0))</f>
        <v>9.240000000000001E-2</v>
      </c>
      <c r="Y27" s="16">
        <f>IF(ISNA(VLOOKUP(A27,'Données projet'!$A$35:$I$55,7,0)),0%,VLOOKUP(A27,'Données projet'!$A$35:$I$55,7,0))</f>
        <v>0.13200000000000001</v>
      </c>
      <c r="Z27" s="21">
        <f>EXP(-LN(2)/35)*Z26+(1-EXP(-LN(2)/35))/(LN(2)/35)*V27*W27*VLOOKUP('Données projet'!$B$9,Paramètres!$A$1:$I$89,3,0)*0.475*44/12</f>
        <v>12.179722870865961</v>
      </c>
      <c r="AA27" s="21">
        <f>EXP(-LN(2)/25)*AA26+(1-EXP(-LN(2)/25))/(LN(2)/25)*Calculateur!V27*Calculateur!X27*VLOOKUP('Données projet'!$B$9,Paramètres!$A$1:$I$89,3,0)*0.475*44/12</f>
        <v>16.25811611180935</v>
      </c>
      <c r="AB27" s="21">
        <f>EXP(-LN(2)/2)*AB26+(1-EXP(-LN(2)/2))/(LN(2)/2)*V27*Y27*VLOOKUP('Données projet'!$B$9,Paramètres!$A$1:$I$89,3,0)*0.475*44/12</f>
        <v>5.9759957746672558</v>
      </c>
      <c r="AC27" s="22">
        <f t="shared" si="3"/>
        <v>34.413834757342563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4.746666666666667</v>
      </c>
      <c r="AI27" s="13">
        <f>IF('Données projet'!$A$62&gt;35,AI26+AH27-AQ26,IF(A27&lt;'Données projet'!$A$62,$AF$205^A27,IF(A27='Données projet'!$A$62,'Données projet'!$B$62,AI26+AH27-AQ26)))</f>
        <v>52.821166928879286</v>
      </c>
      <c r="AJ27" s="13">
        <f>AI27*VLOOKUP('Données projet'!$B$10,Paramètres!$A$1:$I$89,3,0)*VLOOKUP('Données projet'!$B$10,Paramètres!$A$1:$I$89,5,0)</f>
        <v>25.406981292790938</v>
      </c>
      <c r="AK27" s="13">
        <f t="shared" si="35"/>
        <v>8.0346802024755082</v>
      </c>
      <c r="AL27" s="20">
        <f t="shared" si="4"/>
        <v>58.244227104255721</v>
      </c>
      <c r="AM27" s="59">
        <f t="shared" si="5"/>
        <v>351.57756043758906</v>
      </c>
      <c r="AN27" s="59">
        <f ca="1">AVERAGE(OFFSET($AM$3,0,0,'Données projet'!$E$10+1,1))-AVERAGE(OFFSET($H$3,0,0,'Données projet'!$E$10+1,1))</f>
        <v>255.05550867459038</v>
      </c>
      <c r="AO27" s="59">
        <f t="shared" si="36"/>
        <v>119.28597757550295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4.9084615384615384</v>
      </c>
      <c r="BD27" s="12">
        <f>IF('Données projet'!$A$88&gt;35,BD26+BC27-BL26,IF(A27&lt;'Données projet'!$A$88,$BA$205^A27,IF(A27='Données projet'!$A$88,'Données projet'!$B$88,BD26+BC27-BL26)))</f>
        <v>54.256692760299323</v>
      </c>
      <c r="BE27" s="13">
        <f>BD27*VLOOKUP('Données projet'!$B$11,Paramètres!$A$1:$I$89,3,0)*VLOOKUP('Données projet'!$B$11,Paramètres!$A$1:$I$89,5,0)</f>
        <v>25.392132211820083</v>
      </c>
      <c r="BF27" s="13">
        <f t="shared" si="37"/>
        <v>8.0305307997692346</v>
      </c>
      <c r="BG27" s="20">
        <f t="shared" si="7"/>
        <v>58.211138078518069</v>
      </c>
      <c r="BH27" s="59">
        <f t="shared" si="8"/>
        <v>351.54447141185136</v>
      </c>
      <c r="BI27" s="59">
        <f ca="1">AVERAGE(OFFSET($BH$3,0,0,'Données projet'!$E$11+1,1))-AVERAGE(OFFSET($H$3,0,0,'Données projet'!$E$11+1,1))</f>
        <v>181.79645720099597</v>
      </c>
      <c r="BJ27" s="59">
        <f t="shared" si="38"/>
        <v>120.20040029102233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12.695384615384615</v>
      </c>
      <c r="BY27" s="12">
        <f>IF('Données projet'!$A$114&gt;35,BY26+BX27-CG26,IF(A27&lt;'Données projet'!$A$114,$BV$205^A27,IF(A27='Données projet'!$A$114,'Données projet'!$B$114,BY26+BX27-CG26)))</f>
        <v>102.62923076923077</v>
      </c>
      <c r="BZ27" s="13">
        <f>BY27*VLOOKUP('Données projet'!$B$12,Paramètres!$A$1:$I$89,3,0)*VLOOKUP('Données projet'!$B$12,Paramètres!$A$1:$I$89,5,0)</f>
        <v>61.372280000000011</v>
      </c>
      <c r="CA27" s="13">
        <f t="shared" si="39"/>
        <v>17.514766499235456</v>
      </c>
      <c r="CB27" s="20">
        <f t="shared" si="10"/>
        <v>137.39493931950179</v>
      </c>
      <c r="CC27" s="59">
        <f t="shared" si="11"/>
        <v>430.72827265283513</v>
      </c>
      <c r="CD27" s="59">
        <f ca="1">AVERAGE(OFFSET($CC$3,0,0,'Données projet'!$E$12+1,1))-AVERAGE(OFFSET($H$3,0,0,'Données projet'!$E$12+1,1))</f>
        <v>213.18424462765137</v>
      </c>
      <c r="CE27" s="59">
        <f t="shared" si="40"/>
        <v>158.77848520346532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9.9363097277373971</v>
      </c>
      <c r="CM27" s="21">
        <f>EXP(-LN(2)/2)*CM26+(1-EXP(-LN(2)/2))/(LN(2)/2)*CG27*CJ27*VLOOKUP('Données projet'!$B$12,Paramètres!$A$1:$I$89,3,0)*0.475*44/12</f>
        <v>7.8568814665086437</v>
      </c>
      <c r="CN27" s="22">
        <f t="shared" si="12"/>
        <v>17.793191194246042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14.8</v>
      </c>
      <c r="CT27" s="12">
        <f>IF('Données projet'!$A$140&gt;35,CT26+CS27-DB26,IF(A27&lt;'Données projet'!$A$140,$CQ$205^A27,IF(A27='Données projet'!$A$140,'Données projet'!$B$140,CT26+CS27-DB26)))</f>
        <v>126.19999999999997</v>
      </c>
      <c r="CU27" s="17">
        <f>CT27*VLOOKUP('Données projet'!$B$13,Paramètres!$A$1:$I$89,3,0)*VLOOKUP('Données projet'!$B$13,Paramètres!$A$1:$I$89,5,0)</f>
        <v>100.40472</v>
      </c>
      <c r="CV27" s="13">
        <f t="shared" si="41"/>
        <v>27.058393830330502</v>
      </c>
      <c r="CW27" s="20">
        <f t="shared" si="13"/>
        <v>221.99825658782561</v>
      </c>
      <c r="CX27" s="59">
        <f t="shared" si="14"/>
        <v>515.33158992115887</v>
      </c>
      <c r="CY27" s="59">
        <f ca="1">AVERAGE(OFFSET($CX$3,0,0,'Données projet'!$E$13+1,1))-AVERAGE(OFFSET($H$3,0,0,'Données projet'!$E$13+1,1))</f>
        <v>279.49721661620544</v>
      </c>
      <c r="CZ27" s="59">
        <f t="shared" si="42"/>
        <v>275.18739333988754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0.43634388700632309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0.43634388700632309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278.5296012747549</v>
      </c>
      <c r="T28" s="59">
        <f t="shared" si="34"/>
        <v>370.55343097937077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11.940885934265687</v>
      </c>
      <c r="AA28" s="21">
        <f>EXP(-LN(2)/25)*AA27+(1-EXP(-LN(2)/25))/(LN(2)/25)*Calculateur!V28*Calculateur!X28*VLOOKUP('Données projet'!$B$9,Paramètres!$A$1:$I$89,3,0)*0.475*44/12</f>
        <v>15.813537071754755</v>
      </c>
      <c r="AB28" s="21">
        <f>EXP(-LN(2)/2)*AB27+(1-EXP(-LN(2)/2))/(LN(2)/2)*V28*Y28*VLOOKUP('Données projet'!$B$9,Paramètres!$A$1:$I$89,3,0)*0.475*44/12</f>
        <v>4.2256671366093723</v>
      </c>
      <c r="AC28" s="22">
        <f t="shared" si="3"/>
        <v>31.980090142629813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4.746666666666667</v>
      </c>
      <c r="AI28" s="13">
        <f>IF('Données projet'!$A$62&gt;35,AI27+AH28-AQ27,IF(A28&lt;'Données projet'!$A$62,$AF$205^A28,IF(A28='Données projet'!$A$62,'Données projet'!$B$62,AI27+AH28-AQ27)))</f>
        <v>62.314864893118624</v>
      </c>
      <c r="AJ28" s="13">
        <f>AI28*VLOOKUP('Données projet'!$B$10,Paramètres!$A$1:$I$89,3,0)*VLOOKUP('Données projet'!$B$10,Paramètres!$A$1:$I$89,5,0)</f>
        <v>29.97345001359006</v>
      </c>
      <c r="AK28" s="13">
        <f t="shared" si="35"/>
        <v>9.2981520359634207</v>
      </c>
      <c r="AL28" s="20">
        <f t="shared" si="4"/>
        <v>68.398040236305633</v>
      </c>
      <c r="AM28" s="59">
        <f t="shared" si="5"/>
        <v>361.73137356963895</v>
      </c>
      <c r="AN28" s="59">
        <f ca="1">AVERAGE(OFFSET($AM$3,0,0,'Données projet'!$E$10+1,1))-AVERAGE(OFFSET($H$3,0,0,'Données projet'!$E$10+1,1))</f>
        <v>255.05550867459038</v>
      </c>
      <c r="AO28" s="59">
        <f t="shared" si="36"/>
        <v>119.28597757550295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4.9084615384615384</v>
      </c>
      <c r="BD28" s="12">
        <f>IF('Données projet'!$A$88&gt;35,BD27+BC28-BL27,IF(A28&lt;'Données projet'!$A$88,$BA$205^A28,IF(A28='Données projet'!$A$88,'Données projet'!$B$88,BD27+BC28-BL27)))</f>
        <v>64.079956146266369</v>
      </c>
      <c r="BE28" s="13">
        <f>BD28*VLOOKUP('Données projet'!$B$11,Paramètres!$A$1:$I$89,3,0)*VLOOKUP('Données projet'!$B$11,Paramètres!$A$1:$I$89,5,0)</f>
        <v>29.98941947645266</v>
      </c>
      <c r="BF28" s="13">
        <f t="shared" si="37"/>
        <v>9.3025291963556676</v>
      </c>
      <c r="BG28" s="20">
        <f t="shared" si="7"/>
        <v>68.433477271807831</v>
      </c>
      <c r="BH28" s="59">
        <f t="shared" si="8"/>
        <v>361.76681060514113</v>
      </c>
      <c r="BI28" s="59">
        <f ca="1">AVERAGE(OFFSET($BH$3,0,0,'Données projet'!$E$11+1,1))-AVERAGE(OFFSET($H$3,0,0,'Données projet'!$E$11+1,1))</f>
        <v>181.79645720099597</v>
      </c>
      <c r="BJ28" s="59">
        <f t="shared" si="38"/>
        <v>120.20040029102233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12.695384615384615</v>
      </c>
      <c r="BY28" s="12">
        <f>IF('Données projet'!$A$114&gt;35,BY27+BX28-CG27,IF(A28&lt;'Données projet'!$A$114,$BV$205^A28,IF(A28='Données projet'!$A$114,'Données projet'!$B$114,BY27+BX28-CG27)))</f>
        <v>115.32461538461538</v>
      </c>
      <c r="BZ28" s="13">
        <f>BY28*VLOOKUP('Données projet'!$B$12,Paramètres!$A$1:$I$89,3,0)*VLOOKUP('Données projet'!$B$12,Paramètres!$A$1:$I$89,5,0)</f>
        <v>68.964120000000008</v>
      </c>
      <c r="CA28" s="13">
        <f t="shared" si="39"/>
        <v>19.415989273317052</v>
      </c>
      <c r="CB28" s="20">
        <f t="shared" si="10"/>
        <v>153.92869031769388</v>
      </c>
      <c r="CC28" s="59">
        <f t="shared" si="11"/>
        <v>447.26202365102722</v>
      </c>
      <c r="CD28" s="59">
        <f ca="1">AVERAGE(OFFSET($CC$3,0,0,'Données projet'!$E$12+1,1))-AVERAGE(OFFSET($H$3,0,0,'Données projet'!$E$12+1,1))</f>
        <v>213.18424462765137</v>
      </c>
      <c r="CE28" s="59">
        <f t="shared" si="40"/>
        <v>158.77848520346532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9.6646008157045991</v>
      </c>
      <c r="CM28" s="21">
        <f>EXP(-LN(2)/2)*CM27+(1-EXP(-LN(2)/2))/(LN(2)/2)*CG28*CJ28*VLOOKUP('Données projet'!$B$12,Paramètres!$A$1:$I$89,3,0)*0.475*44/12</f>
        <v>5.5556541639471684</v>
      </c>
      <c r="CN28" s="22">
        <f t="shared" si="12"/>
        <v>15.220254979651767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141</v>
      </c>
      <c r="CR28" s="12">
        <f>VLOOKUP(A28,'Données projet'!$A$139:$I$159,9,0)</f>
        <v>14.8</v>
      </c>
      <c r="CS28" s="12">
        <f t="array" ref="CS28">INDEX(CR:CR,MIN(IF(ISNUMBER(CR28:CR224),ROW(CR28:CR224),"")))</f>
        <v>14.8</v>
      </c>
      <c r="CT28" s="12">
        <f>IF('Données projet'!$A$140&gt;35,CT27+CS28-DB27,IF(A28&lt;'Données projet'!$A$140,$CQ$205^A28,IF(A28='Données projet'!$A$140,'Données projet'!$B$140,CT27+CS28-DB27)))</f>
        <v>140.99999999999997</v>
      </c>
      <c r="CU28" s="17">
        <f>CT28*VLOOKUP('Données projet'!$B$13,Paramètres!$A$1:$I$89,3,0)*VLOOKUP('Données projet'!$B$13,Paramètres!$A$1:$I$89,5,0)</f>
        <v>112.17959999999998</v>
      </c>
      <c r="CV28" s="13">
        <f t="shared" si="41"/>
        <v>29.8439274472838</v>
      </c>
      <c r="CW28" s="20">
        <f t="shared" si="13"/>
        <v>247.35764363735257</v>
      </c>
      <c r="CX28" s="59">
        <f t="shared" si="14"/>
        <v>540.69097697068582</v>
      </c>
      <c r="CY28" s="59">
        <f ca="1">AVERAGE(OFFSET($CX$3,0,0,'Données projet'!$E$13+1,1))-AVERAGE(OFFSET($H$3,0,0,'Données projet'!$E$13+1,1))</f>
        <v>279.49721661620544</v>
      </c>
      <c r="CZ28" s="59">
        <f t="shared" si="42"/>
        <v>275.18739333988754</v>
      </c>
      <c r="DA28" s="15">
        <f>IF(ISNA(VLOOKUP(A28,'Données projet'!$A$139:$I$159,3,0)),0,VLOOKUP(A28,'Données projet'!$A$139:$I$159,3,0))</f>
        <v>3</v>
      </c>
      <c r="DB28" s="15">
        <f>IF(ISNA(VLOOKUP(A28,'Données projet'!$A$139:$I$159,4,0)),0,VLOOKUP(A28,'Données projet'!$A$139:$I$159,4,0))</f>
        <v>35</v>
      </c>
      <c r="DC28" s="16">
        <f>IF(ISNA(VLOOKUP(A28,'Données projet'!$A$139:$I$159,5,0)),0%,VLOOKUP(A28,'Données projet'!$A$139:$I$159,5,0)*VLOOKUP('Données projet'!$B$13,Paramètres!$A$1:$I$89,7,0))</f>
        <v>1.5900000000000001E-2</v>
      </c>
      <c r="DD28" s="16">
        <f>IF(ISNA(VLOOKUP(A28,'Données projet'!$A$139:$I$159,6,0)),0%,VLOOKUP(A28,'Données projet'!$A$139:$I$159,6,0)*VLOOKUP('Données projet'!$B$13,Paramètres!$A$1:$I$89,7,0))</f>
        <v>0.12190000000000001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0.48944855819674515</v>
      </c>
      <c r="DG28" s="21">
        <f>EXP(-LN(2)/25)*DG27+(1-EXP(-LN(2)/25))/(LN(2)/25)*Calculateur!DB28*Calculateur!DD28*VLOOKUP('Données projet'!$B$13,Paramètres!$A$1:$I$89,3,0)*0.475*44/12</f>
        <v>4.1620762047224291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4.6515247629191743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278.5296012747549</v>
      </c>
      <c r="T29" s="59">
        <f t="shared" si="34"/>
        <v>370.55343097937077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11.706732444315998</v>
      </c>
      <c r="AA29" s="21">
        <f>EXP(-LN(2)/25)*AA28+(1-EXP(-LN(2)/25))/(LN(2)/25)*Calculateur!V29*Calculateur!X29*VLOOKUP('Données projet'!$B$9,Paramètres!$A$1:$I$89,3,0)*0.475*44/12</f>
        <v>15.38111506892985</v>
      </c>
      <c r="AB29" s="21">
        <f>EXP(-LN(2)/2)*AB28+(1-EXP(-LN(2)/2))/(LN(2)/2)*V29*Y29*VLOOKUP('Données projet'!$B$9,Paramètres!$A$1:$I$89,3,0)*0.475*44/12</f>
        <v>2.9879978873336284</v>
      </c>
      <c r="AC29" s="22">
        <f t="shared" si="3"/>
        <v>30.075845400579475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4.746666666666667</v>
      </c>
      <c r="AI29" s="13">
        <f>IF('Données projet'!$A$62&gt;35,AI28+AH29-AQ28,IF(A29&lt;'Données projet'!$A$62,$AF$205^A29,IF(A29='Données projet'!$A$62,'Données projet'!$B$62,AI28+AH29-AQ28)))</f>
        <v>73.514892086274031</v>
      </c>
      <c r="AJ29" s="13">
        <f>AI29*VLOOKUP('Données projet'!$B$10,Paramètres!$A$1:$I$89,3,0)*VLOOKUP('Données projet'!$B$10,Paramètres!$A$1:$I$89,5,0)</f>
        <v>35.360663093497813</v>
      </c>
      <c r="AK29" s="13">
        <f t="shared" si="35"/>
        <v>10.760307704251057</v>
      </c>
      <c r="AL29" s="20">
        <f t="shared" si="4"/>
        <v>80.327357472745945</v>
      </c>
      <c r="AM29" s="59">
        <f t="shared" si="5"/>
        <v>373.66069080607929</v>
      </c>
      <c r="AN29" s="59">
        <f ca="1">AVERAGE(OFFSET($AM$3,0,0,'Données projet'!$E$10+1,1))-AVERAGE(OFFSET($H$3,0,0,'Données projet'!$E$10+1,1))</f>
        <v>255.05550867459038</v>
      </c>
      <c r="AO29" s="59">
        <f t="shared" si="36"/>
        <v>119.28597757550295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4.9084615384615384</v>
      </c>
      <c r="BD29" s="12">
        <f>IF('Données projet'!$A$88&gt;35,BD28+BC29-BL28,IF(A29&lt;'Données projet'!$A$88,$BA$205^A29,IF(A29='Données projet'!$A$88,'Données projet'!$B$88,BD28+BC29-BL28)))</f>
        <v>75.681737511137769</v>
      </c>
      <c r="BE29" s="13">
        <f>BD29*VLOOKUP('Données projet'!$B$11,Paramètres!$A$1:$I$89,3,0)*VLOOKUP('Données projet'!$B$11,Paramètres!$A$1:$I$89,5,0)</f>
        <v>35.419053155212474</v>
      </c>
      <c r="BF29" s="13">
        <f t="shared" si="37"/>
        <v>10.776006170294048</v>
      </c>
      <c r="BG29" s="20">
        <f t="shared" si="7"/>
        <v>80.456394991923858</v>
      </c>
      <c r="BH29" s="59">
        <f t="shared" si="8"/>
        <v>373.78972832525716</v>
      </c>
      <c r="BI29" s="59">
        <f ca="1">AVERAGE(OFFSET($BH$3,0,0,'Données projet'!$E$11+1,1))-AVERAGE(OFFSET($H$3,0,0,'Données projet'!$E$11+1,1))</f>
        <v>181.79645720099597</v>
      </c>
      <c r="BJ29" s="59">
        <f t="shared" si="38"/>
        <v>120.20040029102233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12.695384615384615</v>
      </c>
      <c r="BY29" s="12">
        <f>IF('Données projet'!$A$114&gt;35,BY28+BX29-CG28,IF(A29&lt;'Données projet'!$A$114,$BV$205^A29,IF(A29='Données projet'!$A$114,'Données projet'!$B$114,BY28+BX29-CG28)))</f>
        <v>128.02000000000001</v>
      </c>
      <c r="BZ29" s="13">
        <f>BY29*VLOOKUP('Données projet'!$B$12,Paramètres!$A$1:$I$89,3,0)*VLOOKUP('Données projet'!$B$12,Paramètres!$A$1:$I$89,5,0)</f>
        <v>76.555960000000013</v>
      </c>
      <c r="CA29" s="13">
        <f t="shared" si="39"/>
        <v>21.292953972936246</v>
      </c>
      <c r="CB29" s="20">
        <f t="shared" si="10"/>
        <v>170.42019183619729</v>
      </c>
      <c r="CC29" s="59">
        <f t="shared" si="11"/>
        <v>463.75352516953058</v>
      </c>
      <c r="CD29" s="59">
        <f ca="1">AVERAGE(OFFSET($CC$3,0,0,'Données projet'!$E$12+1,1))-AVERAGE(OFFSET($H$3,0,0,'Données projet'!$E$12+1,1))</f>
        <v>213.18424462765137</v>
      </c>
      <c r="CE29" s="59">
        <f t="shared" si="40"/>
        <v>158.77848520346532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9.4003217981598883</v>
      </c>
      <c r="CM29" s="21">
        <f>EXP(-LN(2)/2)*CM28+(1-EXP(-LN(2)/2))/(LN(2)/2)*CG29*CJ29*VLOOKUP('Données projet'!$B$12,Paramètres!$A$1:$I$89,3,0)*0.475*44/12</f>
        <v>3.9284407332543223</v>
      </c>
      <c r="CN29" s="22">
        <f t="shared" si="12"/>
        <v>13.32876253141421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14.2</v>
      </c>
      <c r="CT29" s="12">
        <f>IF('Données projet'!$A$140&gt;35,CT28+CS29-DB28,IF(A29&lt;'Données projet'!$A$140,$CQ$205^A29,IF(A29='Données projet'!$A$140,'Données projet'!$B$140,CT28+CS29-DB28)))</f>
        <v>120.19999999999996</v>
      </c>
      <c r="CU29" s="17">
        <f>CT29*VLOOKUP('Données projet'!$B$13,Paramètres!$A$1:$I$89,3,0)*VLOOKUP('Données projet'!$B$13,Paramètres!$A$1:$I$89,5,0)</f>
        <v>95.631119999999967</v>
      </c>
      <c r="CV29" s="13">
        <f t="shared" si="41"/>
        <v>25.918481589892234</v>
      </c>
      <c r="CW29" s="20">
        <f t="shared" si="13"/>
        <v>211.69888943572892</v>
      </c>
      <c r="CX29" s="59">
        <f t="shared" si="14"/>
        <v>505.03222276906223</v>
      </c>
      <c r="CY29" s="59">
        <f ca="1">AVERAGE(OFFSET($CX$3,0,0,'Données projet'!$E$13+1,1))-AVERAGE(OFFSET($H$3,0,0,'Données projet'!$E$13+1,1))</f>
        <v>279.49721661620544</v>
      </c>
      <c r="CZ29" s="59">
        <f t="shared" si="42"/>
        <v>275.18739333988754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0.47985077050464969</v>
      </c>
      <c r="DG29" s="21">
        <f>EXP(-LN(2)/25)*DG28+(1-EXP(-LN(2)/25))/(LN(2)/25)*Calculateur!DB29*Calculateur!DD29*VLOOKUP('Données projet'!$B$13,Paramètres!$A$1:$I$89,3,0)*0.475*44/12</f>
        <v>4.0482640120302191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4.5281147825348684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278.5296012747549</v>
      </c>
      <c r="T30" s="59">
        <f t="shared" si="34"/>
        <v>370.55343097937077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11.477170561484696</v>
      </c>
      <c r="AA30" s="21">
        <f>EXP(-LN(2)/25)*AA29+(1-EXP(-LN(2)/25))/(LN(2)/25)*Calculateur!V30*Calculateur!X30*VLOOKUP('Données projet'!$B$9,Paramètres!$A$1:$I$89,3,0)*0.475*44/12</f>
        <v>14.960517668512276</v>
      </c>
      <c r="AB30" s="21">
        <f>EXP(-LN(2)/2)*AB29+(1-EXP(-LN(2)/2))/(LN(2)/2)*V30*Y30*VLOOKUP('Données projet'!$B$9,Paramètres!$A$1:$I$89,3,0)*0.475*44/12</f>
        <v>2.1128335683046862</v>
      </c>
      <c r="AC30" s="22">
        <f t="shared" si="3"/>
        <v>28.550521798301659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4.746666666666667</v>
      </c>
      <c r="AI30" s="13">
        <f>IF('Données projet'!$A$62&gt;35,AI29+AH30-AQ29,IF(A30&lt;'Données projet'!$A$62,$AF$205^A30,IF(A30='Données projet'!$A$62,'Données projet'!$B$62,AI29+AH30-AQ29)))</f>
        <v>86.727931894358065</v>
      </c>
      <c r="AJ30" s="13">
        <f>AI30*VLOOKUP('Données projet'!$B$10,Paramètres!$A$1:$I$89,3,0)*VLOOKUP('Données projet'!$B$10,Paramètres!$A$1:$I$89,5,0)</f>
        <v>41.71613524118623</v>
      </c>
      <c r="AK30" s="13">
        <f t="shared" si="35"/>
        <v>12.452390694659975</v>
      </c>
      <c r="AL30" s="20">
        <f t="shared" si="4"/>
        <v>94.343516004932141</v>
      </c>
      <c r="AM30" s="59">
        <f t="shared" si="5"/>
        <v>387.67684933826547</v>
      </c>
      <c r="AN30" s="59">
        <f ca="1">AVERAGE(OFFSET($AM$3,0,0,'Données projet'!$E$10+1,1))-AVERAGE(OFFSET($H$3,0,0,'Données projet'!$E$10+1,1))</f>
        <v>255.05550867459038</v>
      </c>
      <c r="AO30" s="59">
        <f t="shared" si="36"/>
        <v>119.28597757550295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4.9084615384615384</v>
      </c>
      <c r="BD30" s="12">
        <f>IF('Données projet'!$A$88&gt;35,BD29+BC30-BL29,IF(A30&lt;'Données projet'!$A$88,$BA$205^A30,IF(A30='Données projet'!$A$88,'Données projet'!$B$88,BD29+BC30-BL29)))</f>
        <v>89.384040457688172</v>
      </c>
      <c r="BE30" s="13">
        <f>BD30*VLOOKUP('Données projet'!$B$11,Paramètres!$A$1:$I$89,3,0)*VLOOKUP('Données projet'!$B$11,Paramètres!$A$1:$I$89,5,0)</f>
        <v>41.831730934198063</v>
      </c>
      <c r="BF30" s="13">
        <f t="shared" si="37"/>
        <v>12.482874982828019</v>
      </c>
      <c r="BG30" s="20">
        <f t="shared" si="7"/>
        <v>94.597938638820423</v>
      </c>
      <c r="BH30" s="59">
        <f t="shared" si="8"/>
        <v>387.93127197215375</v>
      </c>
      <c r="BI30" s="59">
        <f ca="1">AVERAGE(OFFSET($BH$3,0,0,'Données projet'!$E$11+1,1))-AVERAGE(OFFSET($H$3,0,0,'Données projet'!$E$11+1,1))</f>
        <v>181.79645720099597</v>
      </c>
      <c r="BJ30" s="59">
        <f t="shared" si="38"/>
        <v>120.20040029102233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>
        <f>VLOOKUP(A30,'Données projet'!$A$113:$I$133,2,0)</f>
        <v>140.71538461538461</v>
      </c>
      <c r="BW30" s="12">
        <f>VLOOKUP(A30,'Données projet'!$A$113:$I$133,9,0)</f>
        <v>12.695384615384615</v>
      </c>
      <c r="BX30" s="12">
        <f t="array" ref="BX30">INDEX(BW:BW,MIN(IF(ISNUMBER(BW30:BW226),ROW(BW30:BW226),"")))</f>
        <v>12.695384615384615</v>
      </c>
      <c r="BY30" s="12">
        <f>IF('Données projet'!$A$114&gt;35,BY29+BX30-CG29,IF(A30&lt;'Données projet'!$A$114,$BV$205^A30,IF(A30='Données projet'!$A$114,'Données projet'!$B$114,BY29+BX30-CG29)))</f>
        <v>140.71538461538464</v>
      </c>
      <c r="BZ30" s="13">
        <f>BY30*VLOOKUP('Données projet'!$B$12,Paramètres!$A$1:$I$89,3,0)*VLOOKUP('Données projet'!$B$12,Paramètres!$A$1:$I$89,5,0)</f>
        <v>84.147800000000018</v>
      </c>
      <c r="CA30" s="13">
        <f t="shared" si="39"/>
        <v>23.148340019013897</v>
      </c>
      <c r="CB30" s="20">
        <f t="shared" si="10"/>
        <v>186.8741105331159</v>
      </c>
      <c r="CC30" s="59">
        <f t="shared" si="11"/>
        <v>480.20744386644924</v>
      </c>
      <c r="CD30" s="59">
        <f ca="1">AVERAGE(OFFSET($CC$3,0,0,'Données projet'!$E$12+1,1))-AVERAGE(OFFSET($H$3,0,0,'Données projet'!$E$12+1,1))</f>
        <v>213.18424462765137</v>
      </c>
      <c r="CE30" s="59">
        <f t="shared" si="40"/>
        <v>158.77848520346532</v>
      </c>
      <c r="CF30" s="15">
        <f>IF(ISNA(VLOOKUP(A30,'Données projet'!$A$113:$I$133,3,0)),0,VLOOKUP(A30,'Données projet'!$A$113:$I$133,3,0))</f>
        <v>2</v>
      </c>
      <c r="CG30" s="15">
        <f>IF(ISNA(VLOOKUP(A30,'Données projet'!$A$113:$I$133,4,0)),0,VLOOKUP(A30,'Données projet'!$A$113:$I$133,4,0))</f>
        <v>34.646153846153844</v>
      </c>
      <c r="CH30" s="16">
        <f>IF(ISNA(VLOOKUP(A30,'Données projet'!$A$113:$I$133,5,0)),0%,VLOOKUP(A30,'Données projet'!$A$113:$I$133,5,0)*VLOOKUP('Données projet'!$B$12,Paramètres!$A$1:$I$89,7,0))</f>
        <v>0.315</v>
      </c>
      <c r="CI30" s="16">
        <f>IF(ISNA(VLOOKUP(A30,'Données projet'!$A$113:$I$133,6,0)),0%,VLOOKUP(A30,'Données projet'!$A$113:$I$133,6,0)*VLOOKUP('Données projet'!$B$12,Paramètres!$A$1:$I$89,7,0))</f>
        <v>7.5600000000000001E-2</v>
      </c>
      <c r="CJ30" s="16">
        <f>IF(ISNA(VLOOKUP(A30,'Données projet'!$A$113:$I$133,7,0)),0%,VLOOKUP(A30,'Données projet'!$A$113:$I$133,7,0))</f>
        <v>0.13200000000000001</v>
      </c>
      <c r="CK30" s="21">
        <f>EXP(-LN(2)/35)*CK29+(1-EXP(-LN(2)/35))/(LN(2)/35)*CG30*CH30*VLOOKUP('Données projet'!$B$12,Paramètres!$A$1:$I$89,3,0)*0.475*44/12</f>
        <v>8.6575522992772491</v>
      </c>
      <c r="CL30" s="21">
        <f>EXP(-LN(2)/25)*CL29+(1-EXP(-LN(2)/25))/(LN(2)/25)*Calculateur!CG30*Calculateur!CI30*VLOOKUP('Données projet'!$B$12,Paramètres!$A$1:$I$89,3,0)*0.475*44/12</f>
        <v>11.212900916349115</v>
      </c>
      <c r="CM30" s="21">
        <f>EXP(-LN(2)/2)*CM29+(1-EXP(-LN(2)/2))/(LN(2)/2)*CG30*CJ30*VLOOKUP('Données projet'!$B$12,Paramètres!$A$1:$I$89,3,0)*0.475*44/12</f>
        <v>5.8742885775391311</v>
      </c>
      <c r="CN30" s="22">
        <f t="shared" si="12"/>
        <v>25.744741793165495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14.2</v>
      </c>
      <c r="CT30" s="12">
        <f>IF('Données projet'!$A$140&gt;35,CT29+CS30-DB29,IF(A30&lt;'Données projet'!$A$140,$CQ$205^A30,IF(A30='Données projet'!$A$140,'Données projet'!$B$140,CT29+CS30-DB29)))</f>
        <v>134.39999999999995</v>
      </c>
      <c r="CU30" s="17">
        <f>CT30*VLOOKUP('Données projet'!$B$13,Paramètres!$A$1:$I$89,3,0)*VLOOKUP('Données projet'!$B$13,Paramètres!$A$1:$I$89,5,0)</f>
        <v>106.92863999999996</v>
      </c>
      <c r="CV30" s="13">
        <f t="shared" si="41"/>
        <v>28.606159868782917</v>
      </c>
      <c r="CW30" s="20">
        <f t="shared" si="13"/>
        <v>236.05644310479681</v>
      </c>
      <c r="CX30" s="59">
        <f t="shared" si="14"/>
        <v>529.38977643813018</v>
      </c>
      <c r="CY30" s="59">
        <f ca="1">AVERAGE(OFFSET($CX$3,0,0,'Données projet'!$E$13+1,1))-AVERAGE(OFFSET($H$3,0,0,'Données projet'!$E$13+1,1))</f>
        <v>279.49721661620544</v>
      </c>
      <c r="CZ30" s="59">
        <f t="shared" si="42"/>
        <v>275.18739333988754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0.47044118957512376</v>
      </c>
      <c r="DG30" s="21">
        <f>EXP(-LN(2)/25)*DG29+(1-EXP(-LN(2)/25))/(LN(2)/25)*Calculateur!DB30*Calculateur!DD30*VLOOKUP('Données projet'!$B$13,Paramètres!$A$1:$I$89,3,0)*0.475*44/12</f>
        <v>3.9375640197323007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4.4080052093074249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278.5296012747549</v>
      </c>
      <c r="T31" s="59">
        <f t="shared" si="34"/>
        <v>370.55343097937077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11.252110247156793</v>
      </c>
      <c r="AA31" s="21">
        <f>EXP(-LN(2)/25)*AA30+(1-EXP(-LN(2)/25))/(LN(2)/25)*Calculateur!V31*Calculateur!X31*VLOOKUP('Données projet'!$B$9,Paramètres!$A$1:$I$89,3,0)*0.475*44/12</f>
        <v>14.551421526127376</v>
      </c>
      <c r="AB31" s="21">
        <f>EXP(-LN(2)/2)*AB30+(1-EXP(-LN(2)/2))/(LN(2)/2)*V31*Y31*VLOOKUP('Données projet'!$B$9,Paramètres!$A$1:$I$89,3,0)*0.475*44/12</f>
        <v>1.4939989436668142</v>
      </c>
      <c r="AC31" s="22">
        <f t="shared" si="3"/>
        <v>27.297530716950984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4.746666666666667</v>
      </c>
      <c r="AI31" s="13">
        <f>IF('Données projet'!$A$62&gt;35,AI30+AH31-AQ30,IF(A31&lt;'Données projet'!$A$62,$AF$205^A31,IF(A31='Données projet'!$A$62,'Données projet'!$B$62,AI30+AH31-AQ30)))</f>
        <v>102.3157887771258</v>
      </c>
      <c r="AJ31" s="13">
        <f>AI31*VLOOKUP('Données projet'!$B$10,Paramètres!$A$1:$I$89,3,0)*VLOOKUP('Données projet'!$B$10,Paramètres!$A$1:$I$89,5,0)</f>
        <v>49.213894401797511</v>
      </c>
      <c r="AK31" s="13">
        <f t="shared" si="35"/>
        <v>14.410557604332663</v>
      </c>
      <c r="AL31" s="20">
        <f t="shared" si="4"/>
        <v>110.81258724401005</v>
      </c>
      <c r="AM31" s="59">
        <f t="shared" si="5"/>
        <v>404.14592057734336</v>
      </c>
      <c r="AN31" s="59">
        <f ca="1">AVERAGE(OFFSET($AM$3,0,0,'Données projet'!$E$10+1,1))-AVERAGE(OFFSET($H$3,0,0,'Données projet'!$E$10+1,1))</f>
        <v>255.05550867459038</v>
      </c>
      <c r="AO31" s="59">
        <f t="shared" si="36"/>
        <v>119.28597757550295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4.9084615384615384</v>
      </c>
      <c r="BD31" s="12">
        <f>IF('Données projet'!$A$88&gt;35,BD30+BC31-BL30,IF(A31&lt;'Données projet'!$A$88,$BA$205^A31,IF(A31='Données projet'!$A$88,'Données projet'!$B$88,BD30+BC31-BL30)))</f>
        <v>105.56716787013318</v>
      </c>
      <c r="BE31" s="13">
        <f>BD31*VLOOKUP('Données projet'!$B$11,Paramètres!$A$1:$I$89,3,0)*VLOOKUP('Données projet'!$B$11,Paramètres!$A$1:$I$89,5,0)</f>
        <v>49.405434563222322</v>
      </c>
      <c r="BF31" s="13">
        <f t="shared" si="37"/>
        <v>14.46010380603388</v>
      </c>
      <c r="BG31" s="20">
        <f t="shared" si="7"/>
        <v>111.23247932645454</v>
      </c>
      <c r="BH31" s="59">
        <f t="shared" si="8"/>
        <v>404.56581265978787</v>
      </c>
      <c r="BI31" s="59">
        <f ca="1">AVERAGE(OFFSET($BH$3,0,0,'Données projet'!$E$11+1,1))-AVERAGE(OFFSET($H$3,0,0,'Données projet'!$E$11+1,1))</f>
        <v>181.79645720099597</v>
      </c>
      <c r="BJ31" s="59">
        <f t="shared" si="38"/>
        <v>120.20040029102233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12.971794871794875</v>
      </c>
      <c r="BY31" s="12">
        <f>IF('Données projet'!$A$114&gt;35,BY30+BX31-CG30,IF(A31&lt;'Données projet'!$A$114,$BV$205^A31,IF(A31='Données projet'!$A$114,'Données projet'!$B$114,BY30+BX31-CG30)))</f>
        <v>119.04102564102567</v>
      </c>
      <c r="BZ31" s="13">
        <f>BY31*VLOOKUP('Données projet'!$B$12,Paramètres!$A$1:$I$89,3,0)*VLOOKUP('Données projet'!$B$12,Paramètres!$A$1:$I$89,5,0)</f>
        <v>71.186533333333358</v>
      </c>
      <c r="CA31" s="13">
        <f t="shared" si="39"/>
        <v>19.967826748678</v>
      </c>
      <c r="CB31" s="20">
        <f t="shared" si="10"/>
        <v>158.76051047616977</v>
      </c>
      <c r="CC31" s="59">
        <f t="shared" si="11"/>
        <v>452.09384380950308</v>
      </c>
      <c r="CD31" s="59">
        <f ca="1">AVERAGE(OFFSET($CC$3,0,0,'Données projet'!$E$12+1,1))-AVERAGE(OFFSET($H$3,0,0,'Données projet'!$E$12+1,1))</f>
        <v>213.18424462765137</v>
      </c>
      <c r="CE31" s="59">
        <f t="shared" si="40"/>
        <v>158.77848520346532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8.487782979273911</v>
      </c>
      <c r="CL31" s="21">
        <f>EXP(-LN(2)/25)*CL30+(1-EXP(-LN(2)/25))/(LN(2)/25)*Calculateur!CG31*Calculateur!CI31*VLOOKUP('Données projet'!$B$12,Paramètres!$A$1:$I$89,3,0)*0.475*44/12</f>
        <v>10.906283551130716</v>
      </c>
      <c r="CM31" s="21">
        <f>EXP(-LN(2)/2)*CM30+(1-EXP(-LN(2)/2))/(LN(2)/2)*CG31*CJ31*VLOOKUP('Données projet'!$B$12,Paramètres!$A$1:$I$89,3,0)*0.475*44/12</f>
        <v>4.1537492878245983</v>
      </c>
      <c r="CN31" s="22">
        <f t="shared" si="12"/>
        <v>23.547815818229228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14.2</v>
      </c>
      <c r="CT31" s="12">
        <f>IF('Données projet'!$A$140&gt;35,CT30+CS31-DB30,IF(A31&lt;'Données projet'!$A$140,$CQ$205^A31,IF(A31='Données projet'!$A$140,'Données projet'!$B$140,CT30+CS31-DB30)))</f>
        <v>148.59999999999994</v>
      </c>
      <c r="CU31" s="17">
        <f>CT31*VLOOKUP('Données projet'!$B$13,Paramètres!$A$1:$I$89,3,0)*VLOOKUP('Données projet'!$B$13,Paramètres!$A$1:$I$89,5,0)</f>
        <v>118.22615999999996</v>
      </c>
      <c r="CV31" s="13">
        <f t="shared" si="41"/>
        <v>31.260922342884676</v>
      </c>
      <c r="CW31" s="20">
        <f t="shared" si="13"/>
        <v>260.35666841385739</v>
      </c>
      <c r="CX31" s="59">
        <f t="shared" si="14"/>
        <v>553.69000174719076</v>
      </c>
      <c r="CY31" s="59">
        <f ca="1">AVERAGE(OFFSET($CX$3,0,0,'Données projet'!$E$13+1,1))-AVERAGE(OFFSET($H$3,0,0,'Données projet'!$E$13+1,1))</f>
        <v>279.49721661620544</v>
      </c>
      <c r="CZ31" s="59">
        <f t="shared" si="42"/>
        <v>275.18739333988754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0.46121612478834817</v>
      </c>
      <c r="DG31" s="21">
        <f>EXP(-LN(2)/25)*DG30+(1-EXP(-LN(2)/25))/(LN(2)/25)*Calculateur!DB31*Calculateur!DD31*VLOOKUP('Données projet'!$B$13,Paramètres!$A$1:$I$89,3,0)*0.475*44/12</f>
        <v>3.8298911245452287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4.2911072493335771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278.5296012747549</v>
      </c>
      <c r="T32" s="59">
        <f t="shared" si="34"/>
        <v>370.55343097937077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11.031463228319623</v>
      </c>
      <c r="AA32" s="21">
        <f>EXP(-LN(2)/25)*AA31+(1-EXP(-LN(2)/25))/(LN(2)/25)*Calculateur!V32*Calculateur!X32*VLOOKUP('Données projet'!$B$9,Paramètres!$A$1:$I$89,3,0)*0.475*44/12</f>
        <v>14.153512139269422</v>
      </c>
      <c r="AB32" s="21">
        <f>EXP(-LN(2)/2)*AB31+(1-EXP(-LN(2)/2))/(LN(2)/2)*V32*Y32*VLOOKUP('Données projet'!$B$9,Paramètres!$A$1:$I$89,3,0)*0.475*44/12</f>
        <v>1.0564167841523431</v>
      </c>
      <c r="AC32" s="22">
        <f t="shared" si="3"/>
        <v>26.24139215174139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4.746666666666667</v>
      </c>
      <c r="AI32" s="13">
        <f>IF('Données projet'!$A$62&gt;35,AI31+AH32-AQ31,IF(A32&lt;'Données projet'!$A$62,$AF$205^A32,IF(A32='Données projet'!$A$62,'Données projet'!$B$62,AI31+AH32-AQ31)))</f>
        <v>120.70529533480591</v>
      </c>
      <c r="AJ32" s="13">
        <f>AI32*VLOOKUP('Données projet'!$B$10,Paramètres!$A$1:$I$89,3,0)*VLOOKUP('Données projet'!$B$10,Paramètres!$A$1:$I$89,5,0)</f>
        <v>58.059247056041642</v>
      </c>
      <c r="AK32" s="13">
        <f t="shared" si="35"/>
        <v>16.676650737985899</v>
      </c>
      <c r="AL32" s="20">
        <f t="shared" si="4"/>
        <v>130.16502199126461</v>
      </c>
      <c r="AM32" s="59">
        <f t="shared" si="5"/>
        <v>423.49835532459792</v>
      </c>
      <c r="AN32" s="59">
        <f ca="1">AVERAGE(OFFSET($AM$3,0,0,'Données projet'!$E$10+1,1))-AVERAGE(OFFSET($H$3,0,0,'Données projet'!$E$10+1,1))</f>
        <v>255.05550867459038</v>
      </c>
      <c r="AO32" s="59">
        <f t="shared" si="36"/>
        <v>119.28597757550295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4.9084615384615384</v>
      </c>
      <c r="BD32" s="12">
        <f>IF('Données projet'!$A$88&gt;35,BD31+BC32-BL31,IF(A32&lt;'Données projet'!$A$88,$BA$205^A32,IF(A32='Données projet'!$A$88,'Données projet'!$B$88,BD31+BC32-BL31)))</f>
        <v>124.68027709483918</v>
      </c>
      <c r="BE32" s="13">
        <f>BD32*VLOOKUP('Données projet'!$B$11,Paramètres!$A$1:$I$89,3,0)*VLOOKUP('Données projet'!$B$11,Paramètres!$A$1:$I$89,5,0)</f>
        <v>58.350369680384738</v>
      </c>
      <c r="BF32" s="13">
        <f t="shared" si="37"/>
        <v>16.750516396977062</v>
      </c>
      <c r="BG32" s="20">
        <f t="shared" si="7"/>
        <v>130.80070991807179</v>
      </c>
      <c r="BH32" s="59">
        <f t="shared" si="8"/>
        <v>424.1340432514051</v>
      </c>
      <c r="BI32" s="59">
        <f ca="1">AVERAGE(OFFSET($BH$3,0,0,'Données projet'!$E$11+1,1))-AVERAGE(OFFSET($H$3,0,0,'Données projet'!$E$11+1,1))</f>
        <v>181.79645720099597</v>
      </c>
      <c r="BJ32" s="59">
        <f t="shared" si="38"/>
        <v>120.20040029102233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12.971794871794875</v>
      </c>
      <c r="BY32" s="12">
        <f>IF('Données projet'!$A$114&gt;35,BY31+BX32-CG31,IF(A32&lt;'Données projet'!$A$114,$BV$205^A32,IF(A32='Données projet'!$A$114,'Données projet'!$B$114,BY31+BX32-CG31)))</f>
        <v>132.01282051282055</v>
      </c>
      <c r="BZ32" s="13">
        <f>BY32*VLOOKUP('Données projet'!$B$12,Paramètres!$A$1:$I$89,3,0)*VLOOKUP('Données projet'!$B$12,Paramètres!$A$1:$I$89,5,0)</f>
        <v>78.943666666666701</v>
      </c>
      <c r="CA32" s="13">
        <f t="shared" si="39"/>
        <v>21.878705672057283</v>
      </c>
      <c r="CB32" s="20">
        <f t="shared" si="10"/>
        <v>175.59896515661092</v>
      </c>
      <c r="CC32" s="59">
        <f t="shared" si="11"/>
        <v>468.93229848994423</v>
      </c>
      <c r="CD32" s="59">
        <f ca="1">AVERAGE(OFFSET($CC$3,0,0,'Données projet'!$E$12+1,1))-AVERAGE(OFFSET($H$3,0,0,'Données projet'!$E$12+1,1))</f>
        <v>213.18424462765137</v>
      </c>
      <c r="CE32" s="59">
        <f t="shared" si="40"/>
        <v>158.77848520346532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8.3213427320867766</v>
      </c>
      <c r="CL32" s="21">
        <f>EXP(-LN(2)/25)*CL31+(1-EXP(-LN(2)/25))/(LN(2)/25)*Calculateur!CG32*Calculateur!CI32*VLOOKUP('Données projet'!$B$12,Paramètres!$A$1:$I$89,3,0)*0.475*44/12</f>
        <v>10.608050653888522</v>
      </c>
      <c r="CM32" s="21">
        <f>EXP(-LN(2)/2)*CM31+(1-EXP(-LN(2)/2))/(LN(2)/2)*CG32*CJ32*VLOOKUP('Données projet'!$B$12,Paramètres!$A$1:$I$89,3,0)*0.475*44/12</f>
        <v>2.937144288769566</v>
      </c>
      <c r="CN32" s="22">
        <f t="shared" si="12"/>
        <v>21.866537674744865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14.2</v>
      </c>
      <c r="CT32" s="12">
        <f>IF('Données projet'!$A$140&gt;35,CT31+CS32-DB31,IF(A32&lt;'Données projet'!$A$140,$CQ$205^A32,IF(A32='Données projet'!$A$140,'Données projet'!$B$140,CT31+CS32-DB31)))</f>
        <v>162.79999999999993</v>
      </c>
      <c r="CU32" s="17">
        <f>CT32*VLOOKUP('Données projet'!$B$13,Paramètres!$A$1:$I$89,3,0)*VLOOKUP('Données projet'!$B$13,Paramètres!$A$1:$I$89,5,0)</f>
        <v>129.52367999999996</v>
      </c>
      <c r="CV32" s="13">
        <f t="shared" si="41"/>
        <v>33.886272262901727</v>
      </c>
      <c r="CW32" s="20">
        <f t="shared" si="13"/>
        <v>284.60566685788712</v>
      </c>
      <c r="CX32" s="59">
        <f t="shared" si="14"/>
        <v>577.93900019122043</v>
      </c>
      <c r="CY32" s="59">
        <f ca="1">AVERAGE(OFFSET($CX$3,0,0,'Données projet'!$E$13+1,1))-AVERAGE(OFFSET($H$3,0,0,'Données projet'!$E$13+1,1))</f>
        <v>279.49721661620544</v>
      </c>
      <c r="CZ32" s="59">
        <f t="shared" si="42"/>
        <v>275.18739333988754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0.45217195789530734</v>
      </c>
      <c r="DG32" s="21">
        <f>EXP(-LN(2)/25)*DG31+(1-EXP(-LN(2)/25))/(LN(2)/25)*Calculateur!DB32*Calculateur!DD32*VLOOKUP('Données projet'!$B$13,Paramètres!$A$1:$I$89,3,0)*0.475*44/12</f>
        <v>3.7251625503393186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4.177334508234626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278.5296012747549</v>
      </c>
      <c r="T33" s="59">
        <f t="shared" si="34"/>
        <v>370.55343097937077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0.38500000000000001</v>
      </c>
      <c r="X33" s="16">
        <f>IF(ISNA(VLOOKUP(A33,'Données projet'!$A$35:$I$55,6,0)),0%,VLOOKUP(A33,'Données projet'!$A$35:$I$55,6,0)*VLOOKUP('Données projet'!$B$9,Paramètres!$A$1:$I$89,7,0))</f>
        <v>9.240000000000001E-2</v>
      </c>
      <c r="Y33" s="16">
        <f>IF(ISNA(VLOOKUP(A33,'Données projet'!$A$35:$I$55,7,0)),0%,VLOOKUP(A33,'Données projet'!$A$35:$I$55,7,0))</f>
        <v>0.13200000000000001</v>
      </c>
      <c r="Z33" s="21">
        <f>EXP(-LN(2)/35)*Z32+(1-EXP(-LN(2)/35))/(LN(2)/35)*V33*W33*VLOOKUP('Données projet'!$B$9,Paramètres!$A$1:$I$89,3,0)*0.475*44/12</f>
        <v>29.563483054643072</v>
      </c>
      <c r="AA33" s="21">
        <f>EXP(-LN(2)/25)*AA32+(1-EXP(-LN(2)/25))/(LN(2)/25)*Calculateur!V33*Calculateur!X33*VLOOKUP('Données projet'!$B$9,Paramètres!$A$1:$I$89,3,0)*0.475*44/12</f>
        <v>18.248368581460394</v>
      </c>
      <c r="AB33" s="21">
        <f>EXP(-LN(2)/2)*AB32+(1-EXP(-LN(2)/2))/(LN(2)/2)*V33*Y33*VLOOKUP('Données projet'!$B$9,Paramètres!$A$1:$I$89,3,0)*0.475*44/12</f>
        <v>6.233345651406407</v>
      </c>
      <c r="AC33" s="22">
        <f t="shared" si="3"/>
        <v>54.045197287509879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142.4</v>
      </c>
      <c r="AG33" s="12">
        <f>VLOOKUP(A33,'Données projet'!$A$61:$I$81,9,0)</f>
        <v>4.746666666666667</v>
      </c>
      <c r="AH33" s="12">
        <f t="array" ref="AH33">INDEX(AG:AG,MIN(IF(ISNUMBER(AG33:AG229),ROW(AG33:AG229),"")))</f>
        <v>4.746666666666667</v>
      </c>
      <c r="AI33" s="13">
        <f>IF('Données projet'!$A$62&gt;35,AI32+AH33-AQ32,IF(A33&lt;'Données projet'!$A$62,$AF$205^A33,IF(A33='Données projet'!$A$62,'Données projet'!$B$62,AI32+AH33-AQ32)))</f>
        <v>142.4</v>
      </c>
      <c r="AJ33" s="13">
        <f>AI33*VLOOKUP('Données projet'!$B$10,Paramètres!$A$1:$I$89,3,0)*VLOOKUP('Données projet'!$B$10,Paramètres!$A$1:$I$89,5,0)</f>
        <v>68.494399999999999</v>
      </c>
      <c r="AK33" s="13">
        <f t="shared" si="35"/>
        <v>19.29909219842742</v>
      </c>
      <c r="AL33" s="20">
        <f t="shared" si="4"/>
        <v>152.90699891226109</v>
      </c>
      <c r="AM33" s="59">
        <f t="shared" si="5"/>
        <v>446.2403322455944</v>
      </c>
      <c r="AN33" s="59">
        <f ca="1">AVERAGE(OFFSET($AM$3,0,0,'Données projet'!$E$10+1,1))-AVERAGE(OFFSET($H$3,0,0,'Données projet'!$E$10+1,1))</f>
        <v>255.05550867459038</v>
      </c>
      <c r="AO33" s="59">
        <f t="shared" si="36"/>
        <v>119.28597757550295</v>
      </c>
      <c r="AP33" s="15" t="str">
        <f>IF(ISNA(VLOOKUP(A33,'Données projet'!$A$61:$I$81,3,0)),0,VLOOKUP(A33,'Données projet'!$A$61:$I$81,3,0))</f>
        <v>na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147.25384615384615</v>
      </c>
      <c r="BB33" s="12">
        <f>VLOOKUP(A33,'Données projet'!$A$87:$I$107,9,0)</f>
        <v>4.9084615384615384</v>
      </c>
      <c r="BC33" s="12">
        <f t="array" ref="BC33">INDEX(BB:BB,MIN(IF(ISNUMBER(BB33:BB229),ROW(BB33:BB229),"")))</f>
        <v>4.9084615384615384</v>
      </c>
      <c r="BD33" s="12">
        <f>IF('Données projet'!$A$88&gt;35,BD32+BC33-BL32,IF(A33&lt;'Données projet'!$A$88,$BA$205^A33,IF(A33='Données projet'!$A$88,'Données projet'!$B$88,BD32+BC33-BL32)))</f>
        <v>147.25384615384615</v>
      </c>
      <c r="BE33" s="13">
        <f>BD33*VLOOKUP('Données projet'!$B$11,Paramètres!$A$1:$I$89,3,0)*VLOOKUP('Données projet'!$B$11,Paramètres!$A$1:$I$89,5,0)</f>
        <v>68.9148</v>
      </c>
      <c r="BF33" s="13">
        <f t="shared" si="37"/>
        <v>19.403719594897876</v>
      </c>
      <c r="BG33" s="20">
        <f t="shared" si="7"/>
        <v>153.82142162778047</v>
      </c>
      <c r="BH33" s="59">
        <f t="shared" si="8"/>
        <v>447.15475496111378</v>
      </c>
      <c r="BI33" s="59">
        <f ca="1">AVERAGE(OFFSET($BH$3,0,0,'Données projet'!$E$11+1,1))-AVERAGE(OFFSET($H$3,0,0,'Données projet'!$E$11+1,1))</f>
        <v>181.79645720099597</v>
      </c>
      <c r="BJ33" s="59">
        <f t="shared" si="38"/>
        <v>120.20040029102233</v>
      </c>
      <c r="BK33" s="15" t="str">
        <f>IF(ISNA(VLOOKUP(A33,'Données projet'!$A$87:$I$107,3,0)),0,VLOOKUP(A33,'Données projet'!$A$87:$I$107,3,0))</f>
        <v>na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144.98461538461538</v>
      </c>
      <c r="BW33" s="12">
        <f>VLOOKUP(A33,'Données projet'!$A$113:$I$133,9,0)</f>
        <v>12.971794871794875</v>
      </c>
      <c r="BX33" s="12">
        <f t="array" ref="BX33">INDEX(BW:BW,MIN(IF(ISNUMBER(BW33:BW229),ROW(BW33:BW229),"")))</f>
        <v>12.971794871794875</v>
      </c>
      <c r="BY33" s="12">
        <f>IF('Données projet'!$A$114&gt;35,BY32+BX33-CG32,IF(A33&lt;'Données projet'!$A$114,$BV$205^A33,IF(A33='Données projet'!$A$114,'Données projet'!$B$114,BY32+BX33-CG32)))</f>
        <v>144.98461538461544</v>
      </c>
      <c r="BZ33" s="13">
        <f>BY33*VLOOKUP('Données projet'!$B$12,Paramètres!$A$1:$I$89,3,0)*VLOOKUP('Données projet'!$B$12,Paramètres!$A$1:$I$89,5,0)</f>
        <v>86.700800000000044</v>
      </c>
      <c r="CA33" s="13">
        <f t="shared" si="39"/>
        <v>23.767816195343574</v>
      </c>
      <c r="CB33" s="20">
        <f t="shared" si="10"/>
        <v>192.39950654022346</v>
      </c>
      <c r="CC33" s="59">
        <f t="shared" si="11"/>
        <v>485.73283987355677</v>
      </c>
      <c r="CD33" s="59">
        <f ca="1">AVERAGE(OFFSET($CC$3,0,0,'Données projet'!$E$12+1,1))-AVERAGE(OFFSET($H$3,0,0,'Données projet'!$E$12+1,1))</f>
        <v>213.18424462765137</v>
      </c>
      <c r="CE33" s="59">
        <f t="shared" si="40"/>
        <v>158.77848520346532</v>
      </c>
      <c r="CF33" s="15" t="str">
        <f>IF(ISNA(VLOOKUP(A33,'Données projet'!$A$113:$I$133,3,0)),0,VLOOKUP(A33,'Données projet'!$A$113:$I$133,3,0))</f>
        <v>na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8.1581662766284548</v>
      </c>
      <c r="CL33" s="21">
        <f>EXP(-LN(2)/25)*CL32+(1-EXP(-LN(2)/25))/(LN(2)/25)*Calculateur!CG33*Calculateur!CI33*VLOOKUP('Données projet'!$B$12,Paramètres!$A$1:$I$89,3,0)*0.475*44/12</f>
        <v>10.317972950904801</v>
      </c>
      <c r="CM33" s="21">
        <f>EXP(-LN(2)/2)*CM32+(1-EXP(-LN(2)/2))/(LN(2)/2)*CG33*CJ33*VLOOKUP('Données projet'!$B$12,Paramètres!$A$1:$I$89,3,0)*0.475*44/12</f>
        <v>2.0768746439122996</v>
      </c>
      <c r="CN33" s="22">
        <f t="shared" si="12"/>
        <v>20.553013871445557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177</v>
      </c>
      <c r="CR33" s="12">
        <f>VLOOKUP(A33,'Données projet'!$A$139:$I$159,9,0)</f>
        <v>14.2</v>
      </c>
      <c r="CS33" s="12">
        <f t="array" ref="CS33">INDEX(CR:CR,MIN(IF(ISNUMBER(CR33:CR229),ROW(CR33:CR229),"")))</f>
        <v>14.2</v>
      </c>
      <c r="CT33" s="12">
        <f>IF('Données projet'!$A$140&gt;35,CT32+CS33-DB32,IF(A33&lt;'Données projet'!$A$140,$CQ$205^A33,IF(A33='Données projet'!$A$140,'Données projet'!$B$140,CT32+CS33-DB32)))</f>
        <v>176.99999999999991</v>
      </c>
      <c r="CU33" s="17">
        <f>CT33*VLOOKUP('Données projet'!$B$13,Paramètres!$A$1:$I$89,3,0)*VLOOKUP('Données projet'!$B$13,Paramètres!$A$1:$I$89,5,0)</f>
        <v>140.82119999999992</v>
      </c>
      <c r="CV33" s="13">
        <f t="shared" si="41"/>
        <v>36.485066799987997</v>
      </c>
      <c r="CW33" s="20">
        <f t="shared" si="13"/>
        <v>308.80841467664561</v>
      </c>
      <c r="CX33" s="59">
        <f t="shared" si="14"/>
        <v>602.14174800997898</v>
      </c>
      <c r="CY33" s="59">
        <f ca="1">AVERAGE(OFFSET($CX$3,0,0,'Données projet'!$E$13+1,1))-AVERAGE(OFFSET($H$3,0,0,'Données projet'!$E$13+1,1))</f>
        <v>279.49721661620544</v>
      </c>
      <c r="CZ33" s="59">
        <f t="shared" si="42"/>
        <v>275.18739333988754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35</v>
      </c>
      <c r="DC33" s="16">
        <f>IF(ISNA(VLOOKUP(A33,'Données projet'!$A$139:$I$159,5,0)),0%,VLOOKUP(A33,'Données projet'!$A$139:$I$159,5,0)*VLOOKUP('Données projet'!$B$13,Paramètres!$A$1:$I$89,7,0))</f>
        <v>0.10600000000000001</v>
      </c>
      <c r="DD33" s="16">
        <f>IF(ISNA(VLOOKUP(A33,'Données projet'!$A$139:$I$159,6,0)),0%,VLOOKUP(A33,'Données projet'!$A$139:$I$159,6,0)*VLOOKUP('Données projet'!$B$13,Paramètres!$A$1:$I$89,7,0))</f>
        <v>0.22790000000000002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3.7062955295769426</v>
      </c>
      <c r="DG33" s="21">
        <f>EXP(-LN(2)/25)*DG32+(1-EXP(-LN(2)/25))/(LN(2)/25)*Calculateur!DB33*Calculateur!DD33*VLOOKUP('Données projet'!$B$13,Paramètres!$A$1:$I$89,3,0)*0.475*44/12</f>
        <v>10.611104700279146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14.317400229856089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22.884615384615397</v>
      </c>
      <c r="N34" s="13">
        <f>IF('Données projet'!$A$36&gt;35,N33+M34-V33,IF(A34&lt;'Données projet'!$A$36,$K$205^A34,IF(A34='Données projet'!$A$36,'Données projet'!$B$36,N33+M34-V33)))</f>
        <v>289.08461538461529</v>
      </c>
      <c r="O34" s="13">
        <f>N34*VLOOKUP('Données projet'!$B$9,Paramètres!$A$1:$I$89,3,0)*VLOOKUP('Données projet'!$B$9,Paramètres!$A$1:$I$89,5,0)</f>
        <v>161.59829999999994</v>
      </c>
      <c r="P34" s="13">
        <f t="shared" si="33"/>
        <v>41.202807619439731</v>
      </c>
      <c r="Q34" s="20">
        <f t="shared" si="2"/>
        <v>353.21192910385736</v>
      </c>
      <c r="R34" s="59">
        <f t="shared" si="0"/>
        <v>646.54526243719067</v>
      </c>
      <c r="S34" s="59">
        <f ca="1">AVERAGE(OFFSET($R$3,0,0,'Données projet'!$E$9+1,1))-AVERAGE(OFFSET($H$3,0,0,'Données projet'!$E$9+1,1))</f>
        <v>278.5296012747549</v>
      </c>
      <c r="T34" s="59">
        <f t="shared" si="34"/>
        <v>370.55343097937077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28.983761183885679</v>
      </c>
      <c r="AA34" s="21">
        <f>EXP(-LN(2)/25)*AA33+(1-EXP(-LN(2)/25))/(LN(2)/25)*Calculateur!V34*Calculateur!X34*VLOOKUP('Données projet'!$B$9,Paramètres!$A$1:$I$89,3,0)*0.475*44/12</f>
        <v>17.749365982960363</v>
      </c>
      <c r="AB34" s="21">
        <f>EXP(-LN(2)/2)*AB33+(1-EXP(-LN(2)/2))/(LN(2)/2)*V34*Y34*VLOOKUP('Données projet'!$B$9,Paramètres!$A$1:$I$89,3,0)*0.475*44/12</f>
        <v>4.4076409795891482</v>
      </c>
      <c r="AC34" s="22">
        <f t="shared" si="3"/>
        <v>51.140768146435192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13.406666666666666</v>
      </c>
      <c r="AI34" s="13">
        <f>IF('Données projet'!$A$62&gt;35,AI33+AH34-AQ33,IF(A34&lt;'Données projet'!$A$62,$AF$205^A34,IF(A34='Données projet'!$A$62,'Données projet'!$B$62,AI33+AH34-AQ33)))</f>
        <v>155.80666666666667</v>
      </c>
      <c r="AJ34" s="13">
        <f>AI34*VLOOKUP('Données projet'!$B$10,Paramètres!$A$1:$I$89,3,0)*VLOOKUP('Données projet'!$B$10,Paramètres!$A$1:$I$89,5,0)</f>
        <v>74.943006666666676</v>
      </c>
      <c r="AK34" s="13">
        <f t="shared" si="35"/>
        <v>20.89606334246621</v>
      </c>
      <c r="AL34" s="20">
        <f t="shared" si="4"/>
        <v>166.91971359923977</v>
      </c>
      <c r="AM34" s="59">
        <f t="shared" si="5"/>
        <v>460.25304693257306</v>
      </c>
      <c r="AN34" s="59">
        <f ca="1">AVERAGE(OFFSET($AM$3,0,0,'Données projet'!$E$10+1,1))-AVERAGE(OFFSET($H$3,0,0,'Données projet'!$E$10+1,1))</f>
        <v>255.05550867459038</v>
      </c>
      <c r="AO34" s="59">
        <f t="shared" si="36"/>
        <v>119.28597757550295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11.443589743589744</v>
      </c>
      <c r="BD34" s="12">
        <f>IF('Données projet'!$A$88&gt;35,BD33+BC34-BL33,IF(A34&lt;'Données projet'!$A$88,$BA$205^A34,IF(A34='Données projet'!$A$88,'Données projet'!$B$88,BD33+BC34-BL33)))</f>
        <v>158.69743589743589</v>
      </c>
      <c r="BE34" s="13">
        <f>BD34*VLOOKUP('Données projet'!$B$11,Paramètres!$A$1:$I$89,3,0)*VLOOKUP('Données projet'!$B$11,Paramètres!$A$1:$I$89,5,0)</f>
        <v>74.270399999999995</v>
      </c>
      <c r="BF34" s="13">
        <f t="shared" si="37"/>
        <v>20.730265914492005</v>
      </c>
      <c r="BG34" s="20">
        <f t="shared" si="7"/>
        <v>165.4594931344069</v>
      </c>
      <c r="BH34" s="59">
        <f t="shared" si="8"/>
        <v>458.79282646774021</v>
      </c>
      <c r="BI34" s="59">
        <f ca="1">AVERAGE(OFFSET($BH$3,0,0,'Données projet'!$E$11+1,1))-AVERAGE(OFFSET($H$3,0,0,'Données projet'!$E$11+1,1))</f>
        <v>181.79645720099597</v>
      </c>
      <c r="BJ34" s="59">
        <f t="shared" si="38"/>
        <v>120.20040029102233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12.971794871794865</v>
      </c>
      <c r="BY34" s="12">
        <f>IF('Données projet'!$A$114&gt;35,BY33+BX34-CG33,IF(A34&lt;'Données projet'!$A$114,$BV$205^A34,IF(A34='Données projet'!$A$114,'Données projet'!$B$114,BY33+BX34-CG33)))</f>
        <v>157.95641025641029</v>
      </c>
      <c r="BZ34" s="13">
        <f>BY34*VLOOKUP('Données projet'!$B$12,Paramètres!$A$1:$I$89,3,0)*VLOOKUP('Données projet'!$B$12,Paramètres!$A$1:$I$89,5,0)</f>
        <v>94.457933333333358</v>
      </c>
      <c r="CA34" s="13">
        <f t="shared" si="39"/>
        <v>25.637327417415943</v>
      </c>
      <c r="CB34" s="20">
        <f t="shared" si="10"/>
        <v>209.1659124742217</v>
      </c>
      <c r="CC34" s="59">
        <f t="shared" si="11"/>
        <v>502.49924580755498</v>
      </c>
      <c r="CD34" s="59">
        <f ca="1">AVERAGE(OFFSET($CC$3,0,0,'Données projet'!$E$12+1,1))-AVERAGE(OFFSET($H$3,0,0,'Données projet'!$E$12+1,1))</f>
        <v>213.18424462765137</v>
      </c>
      <c r="CE34" s="59">
        <f t="shared" si="40"/>
        <v>158.77848520346532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7.9981896119338618</v>
      </c>
      <c r="CL34" s="21">
        <f>EXP(-LN(2)/25)*CL33+(1-EXP(-LN(2)/25))/(LN(2)/25)*Calculateur!CG34*Calculateur!CI34*VLOOKUP('Données projet'!$B$12,Paramètres!$A$1:$I$89,3,0)*0.475*44/12</f>
        <v>10.035827437963695</v>
      </c>
      <c r="CM34" s="21">
        <f>EXP(-LN(2)/2)*CM33+(1-EXP(-LN(2)/2))/(LN(2)/2)*CG34*CJ34*VLOOKUP('Données projet'!$B$12,Paramètres!$A$1:$I$89,3,0)*0.475*44/12</f>
        <v>1.4685721443847832</v>
      </c>
      <c r="CN34" s="22">
        <f t="shared" si="12"/>
        <v>19.50258919428234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12.8</v>
      </c>
      <c r="CT34" s="12">
        <f>IF('Données projet'!$A$140&gt;35,CT33+CS34-DB33,IF(A34&lt;'Données projet'!$A$140,$CQ$205^A34,IF(A34='Données projet'!$A$140,'Données projet'!$B$140,CT33+CS34-DB33)))</f>
        <v>154.79999999999993</v>
      </c>
      <c r="CU34" s="17">
        <f>CT34*VLOOKUP('Données projet'!$B$13,Paramètres!$A$1:$I$89,3,0)*VLOOKUP('Données projet'!$B$13,Paramètres!$A$1:$I$89,5,0)</f>
        <v>123.15887999999995</v>
      </c>
      <c r="CV34" s="13">
        <f t="shared" si="41"/>
        <v>32.410638331814873</v>
      </c>
      <c r="CW34" s="20">
        <f t="shared" si="13"/>
        <v>270.95024442791083</v>
      </c>
      <c r="CX34" s="59">
        <f t="shared" si="14"/>
        <v>564.28357776124415</v>
      </c>
      <c r="CY34" s="59">
        <f ca="1">AVERAGE(OFFSET($CX$3,0,0,'Données projet'!$E$13+1,1))-AVERAGE(OFFSET($H$3,0,0,'Données projet'!$E$13+1,1))</f>
        <v>279.49721661620544</v>
      </c>
      <c r="CZ34" s="59">
        <f t="shared" si="42"/>
        <v>275.18739333988754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3.6336173348589944</v>
      </c>
      <c r="DG34" s="21">
        <f>EXP(-LN(2)/25)*DG33+(1-EXP(-LN(2)/25))/(LN(2)/25)*Calculateur!DB34*Calculateur!DD34*VLOOKUP('Données projet'!$B$13,Paramètres!$A$1:$I$89,3,0)*0.475*44/12</f>
        <v>10.320943484236269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13.954560819095263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22.884615384615397</v>
      </c>
      <c r="N35" s="13">
        <f>IF('Données projet'!$A$36&gt;35,N34+M35-V34,IF(A35&lt;'Données projet'!$A$36,$K$205^A35,IF(A35='Données projet'!$A$36,'Données projet'!$B$36,N34+M35-V34)))</f>
        <v>311.96923076923071</v>
      </c>
      <c r="O35" s="13">
        <f>N35*VLOOKUP('Données projet'!$B$9,Paramètres!$A$1:$I$89,3,0)*VLOOKUP('Données projet'!$B$9,Paramètres!$A$1:$I$89,5,0)</f>
        <v>174.39079999999996</v>
      </c>
      <c r="P35" s="13">
        <f t="shared" si="33"/>
        <v>44.071952499783528</v>
      </c>
      <c r="Q35" s="20">
        <f t="shared" ref="Q35:Q66" si="53">(O35+P35)*0.475*44/12</f>
        <v>380.48929393712291</v>
      </c>
      <c r="R35" s="59">
        <f t="shared" si="0"/>
        <v>673.82262727045622</v>
      </c>
      <c r="S35" s="59">
        <f ca="1">AVERAGE(OFFSET($R$3,0,0,'Données projet'!$E$9+1,1))-AVERAGE(OFFSET($H$3,0,0,'Données projet'!$E$9+1,1))</f>
        <v>278.5296012747549</v>
      </c>
      <c r="T35" s="59">
        <f t="shared" si="34"/>
        <v>370.55343097937077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28.415407305418412</v>
      </c>
      <c r="AA35" s="21">
        <f>EXP(-LN(2)/25)*AA34+(1-EXP(-LN(2)/25))/(LN(2)/25)*Calculateur!V35*Calculateur!X35*VLOOKUP('Données projet'!$B$9,Paramètres!$A$1:$I$89,3,0)*0.475*44/12</f>
        <v>17.264008636757723</v>
      </c>
      <c r="AB35" s="21">
        <f>EXP(-LN(2)/2)*AB34+(1-EXP(-LN(2)/2))/(LN(2)/2)*V35*Y35*VLOOKUP('Données projet'!$B$9,Paramètres!$A$1:$I$89,3,0)*0.475*44/12</f>
        <v>3.1166728257032039</v>
      </c>
      <c r="AC35" s="22">
        <f t="shared" si="3"/>
        <v>48.79608876787934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13.406666666666666</v>
      </c>
      <c r="AI35" s="13">
        <f>IF('Données projet'!$A$62&gt;35,AI34+AH35-AQ34,IF(A35&lt;'Données projet'!$A$62,$AF$205^A35,IF(A35='Données projet'!$A$62,'Données projet'!$B$62,AI34+AH35-AQ34)))</f>
        <v>169.21333333333334</v>
      </c>
      <c r="AJ35" s="13">
        <f>AI35*VLOOKUP('Données projet'!$B$10,Paramètres!$A$1:$I$89,3,0)*VLOOKUP('Données projet'!$B$10,Paramètres!$A$1:$I$89,5,0)</f>
        <v>81.391613333333339</v>
      </c>
      <c r="AK35" s="13">
        <f t="shared" si="35"/>
        <v>22.477098557404382</v>
      </c>
      <c r="AL35" s="20">
        <f t="shared" si="4"/>
        <v>180.90467320970151</v>
      </c>
      <c r="AM35" s="59">
        <f t="shared" si="5"/>
        <v>474.23800654303483</v>
      </c>
      <c r="AN35" s="59">
        <f ca="1">AVERAGE(OFFSET($AM$3,0,0,'Données projet'!$E$10+1,1))-AVERAGE(OFFSET($H$3,0,0,'Données projet'!$E$10+1,1))</f>
        <v>255.05550867459038</v>
      </c>
      <c r="AO35" s="59">
        <f t="shared" si="36"/>
        <v>119.28597757550295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11.443589743589744</v>
      </c>
      <c r="BD35" s="12">
        <f>IF('Données projet'!$A$88&gt;35,BD34+BC35-BL34,IF(A35&lt;'Données projet'!$A$88,$BA$205^A35,IF(A35='Données projet'!$A$88,'Données projet'!$B$88,BD34+BC35-BL34)))</f>
        <v>170.14102564102564</v>
      </c>
      <c r="BE35" s="13">
        <f>BD35*VLOOKUP('Données projet'!$B$11,Paramètres!$A$1:$I$89,3,0)*VLOOKUP('Données projet'!$B$11,Paramètres!$A$1:$I$89,5,0)</f>
        <v>79.626000000000005</v>
      </c>
      <c r="BF35" s="13">
        <f t="shared" si="37"/>
        <v>22.045714260156384</v>
      </c>
      <c r="BG35" s="20">
        <f t="shared" si="7"/>
        <v>177.0782356697724</v>
      </c>
      <c r="BH35" s="59">
        <f t="shared" si="8"/>
        <v>470.41156900310568</v>
      </c>
      <c r="BI35" s="59">
        <f ca="1">AVERAGE(OFFSET($BH$3,0,0,'Données projet'!$E$11+1,1))-AVERAGE(OFFSET($H$3,0,0,'Données projet'!$E$11+1,1))</f>
        <v>181.79645720099597</v>
      </c>
      <c r="BJ35" s="59">
        <f t="shared" si="38"/>
        <v>120.20040029102233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12.971794871794865</v>
      </c>
      <c r="BY35" s="12">
        <f>IF('Données projet'!$A$114&gt;35,BY34+BX35-CG34,IF(A35&lt;'Données projet'!$A$114,$BV$205^A35,IF(A35='Données projet'!$A$114,'Données projet'!$B$114,BY34+BX35-CG34)))</f>
        <v>170.92820512820515</v>
      </c>
      <c r="BZ35" s="13">
        <f>BY35*VLOOKUP('Données projet'!$B$12,Paramètres!$A$1:$I$89,3,0)*VLOOKUP('Données projet'!$B$12,Paramètres!$A$1:$I$89,5,0)</f>
        <v>102.21506666666667</v>
      </c>
      <c r="CA35" s="13">
        <f t="shared" si="39"/>
        <v>27.489031873505194</v>
      </c>
      <c r="CB35" s="20">
        <f t="shared" si="10"/>
        <v>225.90130495746598</v>
      </c>
      <c r="CC35" s="59">
        <f t="shared" si="11"/>
        <v>519.23463829079924</v>
      </c>
      <c r="CD35" s="59">
        <f ca="1">AVERAGE(OFFSET($CC$3,0,0,'Données projet'!$E$12+1,1))-AVERAGE(OFFSET($H$3,0,0,'Données projet'!$E$12+1,1))</f>
        <v>213.18424462765137</v>
      </c>
      <c r="CE35" s="59">
        <f t="shared" si="40"/>
        <v>158.77848520346532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7.8413499920577987</v>
      </c>
      <c r="CL35" s="21">
        <f>EXP(-LN(2)/25)*CL34+(1-EXP(-LN(2)/25))/(LN(2)/25)*Calculateur!CG35*Calculateur!CI35*VLOOKUP('Données projet'!$B$12,Paramètres!$A$1:$I$89,3,0)*0.475*44/12</f>
        <v>9.7613972089113492</v>
      </c>
      <c r="CM35" s="21">
        <f>EXP(-LN(2)/2)*CM34+(1-EXP(-LN(2)/2))/(LN(2)/2)*CG35*CJ35*VLOOKUP('Données projet'!$B$12,Paramètres!$A$1:$I$89,3,0)*0.475*44/12</f>
        <v>1.0384373219561498</v>
      </c>
      <c r="CN35" s="22">
        <f t="shared" si="12"/>
        <v>18.641184522925297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12.8</v>
      </c>
      <c r="CT35" s="12">
        <f>IF('Données projet'!$A$140&gt;35,CT34+CS35-DB34,IF(A35&lt;'Données projet'!$A$140,$CQ$205^A35,IF(A35='Données projet'!$A$140,'Données projet'!$B$140,CT34+CS35-DB34)))</f>
        <v>167.59999999999994</v>
      </c>
      <c r="CU35" s="17">
        <f>CT35*VLOOKUP('Données projet'!$B$13,Paramètres!$A$1:$I$89,3,0)*VLOOKUP('Données projet'!$B$13,Paramètres!$A$1:$I$89,5,0)</f>
        <v>133.34255999999996</v>
      </c>
      <c r="CV35" s="13">
        <f t="shared" si="41"/>
        <v>34.767581918978188</v>
      </c>
      <c r="CW35" s="20">
        <f t="shared" si="13"/>
        <v>292.7918305088869</v>
      </c>
      <c r="CX35" s="59">
        <f t="shared" si="14"/>
        <v>586.12516384222022</v>
      </c>
      <c r="CY35" s="59">
        <f ca="1">AVERAGE(OFFSET($CX$3,0,0,'Données projet'!$E$13+1,1))-AVERAGE(OFFSET($H$3,0,0,'Données projet'!$E$13+1,1))</f>
        <v>279.49721661620544</v>
      </c>
      <c r="CZ35" s="59">
        <f t="shared" si="42"/>
        <v>275.18739333988754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3.5623643152101434</v>
      </c>
      <c r="DG35" s="21">
        <f>EXP(-LN(2)/25)*DG34+(1-EXP(-LN(2)/25))/(LN(2)/25)*Calculateur!DB35*Calculateur!DD35*VLOOKUP('Données projet'!$B$13,Paramètres!$A$1:$I$89,3,0)*0.475*44/12</f>
        <v>10.038716741904999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13.601081057115142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22.884615384615397</v>
      </c>
      <c r="N36" s="13">
        <f>IF('Données projet'!$A$36&gt;35,N35+M36-V35,IF(A36&lt;'Données projet'!$A$36,$K$205^A36,IF(A36='Données projet'!$A$36,'Données projet'!$B$36,N35+M36-V35)))</f>
        <v>334.85384615384612</v>
      </c>
      <c r="O36" s="13">
        <f>N36*VLOOKUP('Données projet'!$B$9,Paramètres!$A$1:$I$89,3,0)*VLOOKUP('Données projet'!$B$9,Paramètres!$A$1:$I$89,5,0)</f>
        <v>187.18329999999997</v>
      </c>
      <c r="P36" s="13">
        <f t="shared" si="33"/>
        <v>46.91668019244311</v>
      </c>
      <c r="Q36" s="20">
        <f t="shared" si="53"/>
        <v>407.72413216850504</v>
      </c>
      <c r="R36" s="59">
        <f t="shared" si="0"/>
        <v>701.05746550183835</v>
      </c>
      <c r="S36" s="59">
        <f ca="1">AVERAGE(OFFSET($R$3,0,0,'Données projet'!$E$9+1,1))-AVERAGE(OFFSET($H$3,0,0,'Données projet'!$E$9+1,1))</f>
        <v>278.5296012747549</v>
      </c>
      <c r="T36" s="59">
        <f t="shared" si="34"/>
        <v>370.55343097937077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27.858198499846253</v>
      </c>
      <c r="AA36" s="21">
        <f>EXP(-LN(2)/25)*AA35+(1-EXP(-LN(2)/25))/(LN(2)/25)*Calculateur!V36*Calculateur!X36*VLOOKUP('Données projet'!$B$9,Paramètres!$A$1:$I$89,3,0)*0.475*44/12</f>
        <v>16.791923412710826</v>
      </c>
      <c r="AB36" s="21">
        <f>EXP(-LN(2)/2)*AB35+(1-EXP(-LN(2)/2))/(LN(2)/2)*V36*Y36*VLOOKUP('Données projet'!$B$9,Paramètres!$A$1:$I$89,3,0)*0.475*44/12</f>
        <v>2.2038204897945741</v>
      </c>
      <c r="AC36" s="22">
        <f t="shared" si="3"/>
        <v>46.853942402351656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13.406666666666666</v>
      </c>
      <c r="AI36" s="13">
        <f>IF('Données projet'!$A$62&gt;35,AI35+AH36-AQ35,IF(A36&lt;'Données projet'!$A$62,$AF$205^A36,IF(A36='Données projet'!$A$62,'Données projet'!$B$62,AI35+AH36-AQ35)))</f>
        <v>182.62</v>
      </c>
      <c r="AJ36" s="13">
        <f>AI36*VLOOKUP('Données projet'!$B$10,Paramètres!$A$1:$I$89,3,0)*VLOOKUP('Données projet'!$B$10,Paramètres!$A$1:$I$89,5,0)</f>
        <v>87.840220000000002</v>
      </c>
      <c r="AK36" s="13">
        <f t="shared" si="35"/>
        <v>24.043603984006023</v>
      </c>
      <c r="AL36" s="20">
        <f t="shared" si="4"/>
        <v>194.86432677214381</v>
      </c>
      <c r="AM36" s="59">
        <f t="shared" si="5"/>
        <v>488.1976601054771</v>
      </c>
      <c r="AN36" s="59">
        <f ca="1">AVERAGE(OFFSET($AM$3,0,0,'Données projet'!$E$10+1,1))-AVERAGE(OFFSET($H$3,0,0,'Données projet'!$E$10+1,1))</f>
        <v>255.05550867459038</v>
      </c>
      <c r="AO36" s="59">
        <f t="shared" si="36"/>
        <v>119.28597757550295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11.443589743589744</v>
      </c>
      <c r="BD36" s="12">
        <f>IF('Données projet'!$A$88&gt;35,BD35+BC36-BL35,IF(A36&lt;'Données projet'!$A$88,$BA$205^A36,IF(A36='Données projet'!$A$88,'Données projet'!$B$88,BD35+BC36-BL35)))</f>
        <v>181.58461538461538</v>
      </c>
      <c r="BE36" s="13">
        <f>BD36*VLOOKUP('Données projet'!$B$11,Paramètres!$A$1:$I$89,3,0)*VLOOKUP('Données projet'!$B$11,Paramètres!$A$1:$I$89,5,0)</f>
        <v>84.981599999999986</v>
      </c>
      <c r="BF36" s="13">
        <f t="shared" si="37"/>
        <v>23.350896003452508</v>
      </c>
      <c r="BG36" s="20">
        <f t="shared" si="7"/>
        <v>188.6790972060131</v>
      </c>
      <c r="BH36" s="59">
        <f t="shared" si="8"/>
        <v>482.01243053934638</v>
      </c>
      <c r="BI36" s="59">
        <f ca="1">AVERAGE(OFFSET($BH$3,0,0,'Données projet'!$E$11+1,1))-AVERAGE(OFFSET($H$3,0,0,'Données projet'!$E$11+1,1))</f>
        <v>181.79645720099597</v>
      </c>
      <c r="BJ36" s="59">
        <f t="shared" si="38"/>
        <v>120.20040029102233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>
        <f>VLOOKUP(A36,'Données projet'!$A$113:$I$133,2,0)</f>
        <v>183.89999999999998</v>
      </c>
      <c r="BW36" s="12">
        <f>VLOOKUP(A36,'Données projet'!$A$113:$I$133,9,0)</f>
        <v>12.971794871794865</v>
      </c>
      <c r="BX36" s="12">
        <f t="array" ref="BX36">INDEX(BW:BW,MIN(IF(ISNUMBER(BW36:BW232),ROW(BW36:BW232),"")))</f>
        <v>12.971794871794865</v>
      </c>
      <c r="BY36" s="12">
        <f>IF('Données projet'!$A$114&gt;35,BY35+BX36-CG35,IF(A36&lt;'Données projet'!$A$114,$BV$205^A36,IF(A36='Données projet'!$A$114,'Données projet'!$B$114,BY35+BX36-CG35)))</f>
        <v>183.9</v>
      </c>
      <c r="BZ36" s="13">
        <f>BY36*VLOOKUP('Données projet'!$B$12,Paramètres!$A$1:$I$89,3,0)*VLOOKUP('Données projet'!$B$12,Paramètres!$A$1:$I$89,5,0)</f>
        <v>109.97220000000002</v>
      </c>
      <c r="CA36" s="13">
        <f t="shared" si="39"/>
        <v>29.324434579377328</v>
      </c>
      <c r="CB36" s="20">
        <f t="shared" si="10"/>
        <v>242.60830522574886</v>
      </c>
      <c r="CC36" s="59">
        <f t="shared" si="11"/>
        <v>535.94163855908221</v>
      </c>
      <c r="CD36" s="59">
        <f ca="1">AVERAGE(OFFSET($CC$3,0,0,'Données projet'!$E$12+1,1))-AVERAGE(OFFSET($H$3,0,0,'Données projet'!$E$12+1,1))</f>
        <v>213.18424462765137</v>
      </c>
      <c r="CE36" s="59">
        <f t="shared" si="40"/>
        <v>158.77848520346532</v>
      </c>
      <c r="CF36" s="15">
        <f>IF(ISNA(VLOOKUP(A36,'Données projet'!$A$113:$I$133,3,0)),0,VLOOKUP(A36,'Données projet'!$A$113:$I$133,3,0))</f>
        <v>3</v>
      </c>
      <c r="CG36" s="15">
        <f>IF(ISNA(VLOOKUP(A36,'Données projet'!$A$113:$I$133,4,0)),0,VLOOKUP(A36,'Données projet'!$A$113:$I$133,4,0))</f>
        <v>43.007692307692302</v>
      </c>
      <c r="CH36" s="16">
        <f>IF(ISNA(VLOOKUP(A36,'Données projet'!$A$113:$I$133,5,0)),0%,VLOOKUP(A36,'Données projet'!$A$113:$I$133,5,0)*VLOOKUP('Données projet'!$B$12,Paramètres!$A$1:$I$89,7,0))</f>
        <v>0.315</v>
      </c>
      <c r="CI36" s="16">
        <f>IF(ISNA(VLOOKUP(A36,'Données projet'!$A$113:$I$133,6,0)),0%,VLOOKUP(A36,'Données projet'!$A$113:$I$133,6,0)*VLOOKUP('Données projet'!$B$12,Paramètres!$A$1:$I$89,7,0))</f>
        <v>7.5600000000000001E-2</v>
      </c>
      <c r="CJ36" s="16">
        <f>IF(ISNA(VLOOKUP(A36,'Données projet'!$A$113:$I$133,7,0)),0%,VLOOKUP(A36,'Données projet'!$A$113:$I$133,7,0))</f>
        <v>0.13200000000000001</v>
      </c>
      <c r="CK36" s="21">
        <f>EXP(-LN(2)/35)*CK35+(1-EXP(-LN(2)/35))/(LN(2)/35)*CG36*CH36*VLOOKUP('Données projet'!$B$12,Paramètres!$A$1:$I$89,3,0)*0.475*44/12</f>
        <v>18.434560791620001</v>
      </c>
      <c r="CL36" s="21">
        <f>EXP(-LN(2)/25)*CL35+(1-EXP(-LN(2)/25))/(LN(2)/25)*Calculateur!CG36*Calculateur!CI36*VLOOKUP('Données projet'!$B$12,Paramètres!$A$1:$I$89,3,0)*0.475*44/12</f>
        <v>12.063589678126709</v>
      </c>
      <c r="CM36" s="21">
        <f>EXP(-LN(2)/2)*CM35+(1-EXP(-LN(2)/2))/(LN(2)/2)*CG36*CJ36*VLOOKUP('Données projet'!$B$12,Paramètres!$A$1:$I$89,3,0)*0.475*44/12</f>
        <v>4.5780507750580615</v>
      </c>
      <c r="CN36" s="22">
        <f t="shared" si="12"/>
        <v>35.076201244804771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12.8</v>
      </c>
      <c r="CT36" s="12">
        <f>IF('Données projet'!$A$140&gt;35,CT35+CS36-DB35,IF(A36&lt;'Données projet'!$A$140,$CQ$205^A36,IF(A36='Données projet'!$A$140,'Données projet'!$B$140,CT35+CS36-DB35)))</f>
        <v>180.39999999999995</v>
      </c>
      <c r="CU36" s="17">
        <f>CT36*VLOOKUP('Données projet'!$B$13,Paramètres!$A$1:$I$89,3,0)*VLOOKUP('Données projet'!$B$13,Paramètres!$A$1:$I$89,5,0)</f>
        <v>143.52623999999997</v>
      </c>
      <c r="CV36" s="13">
        <f t="shared" si="41"/>
        <v>37.103644337236275</v>
      </c>
      <c r="CW36" s="20">
        <f t="shared" si="13"/>
        <v>314.59704855401981</v>
      </c>
      <c r="CX36" s="59">
        <f t="shared" si="14"/>
        <v>607.93038188735318</v>
      </c>
      <c r="CY36" s="59">
        <f ca="1">AVERAGE(OFFSET($CX$3,0,0,'Données projet'!$E$13+1,1))-AVERAGE(OFFSET($H$3,0,0,'Données projet'!$E$13+1,1))</f>
        <v>279.49721661620544</v>
      </c>
      <c r="CZ36" s="59">
        <f t="shared" si="42"/>
        <v>275.18739333988754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3.4925085238165559</v>
      </c>
      <c r="DG36" s="21">
        <f>EXP(-LN(2)/25)*DG35+(1-EXP(-LN(2)/25))/(LN(2)/25)*Calculateur!DB36*Calculateur!DD36*VLOOKUP('Données projet'!$B$13,Paramètres!$A$1:$I$89,3,0)*0.475*44/12</f>
        <v>9.7642075046844372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13.256716028500993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22.884615384615397</v>
      </c>
      <c r="N37" s="13">
        <f>IF('Données projet'!$A$36&gt;35,N36+M37-V36,IF(A37&lt;'Données projet'!$A$36,$K$205^A37,IF(A37='Données projet'!$A$36,'Données projet'!$B$36,N36+M37-V36)))</f>
        <v>357.73846153846154</v>
      </c>
      <c r="O37" s="13">
        <f>N37*VLOOKUP('Données projet'!$B$9,Paramètres!$A$1:$I$89,3,0)*VLOOKUP('Données projet'!$B$9,Paramètres!$A$1:$I$89,5,0)</f>
        <v>199.97580000000002</v>
      </c>
      <c r="P37" s="13">
        <f t="shared" si="33"/>
        <v>49.738849260389202</v>
      </c>
      <c r="Q37" s="20">
        <f t="shared" si="53"/>
        <v>434.91968079517784</v>
      </c>
      <c r="R37" s="59">
        <f t="shared" si="0"/>
        <v>728.25301412851115</v>
      </c>
      <c r="S37" s="59">
        <f ca="1">AVERAGE(OFFSET($R$3,0,0,'Données projet'!$E$9+1,1))-AVERAGE(OFFSET($H$3,0,0,'Données projet'!$E$9+1,1))</f>
        <v>278.5296012747549</v>
      </c>
      <c r="T37" s="59">
        <f t="shared" si="34"/>
        <v>370.55343097937077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27.31191621908755</v>
      </c>
      <c r="AA37" s="21">
        <f>EXP(-LN(2)/25)*AA36+(1-EXP(-LN(2)/25))/(LN(2)/25)*Calculateur!V37*Calculateur!X37*VLOOKUP('Données projet'!$B$9,Paramètres!$A$1:$I$89,3,0)*0.475*44/12</f>
        <v>16.332747383941374</v>
      </c>
      <c r="AB37" s="21">
        <f>EXP(-LN(2)/2)*AB36+(1-EXP(-LN(2)/2))/(LN(2)/2)*V37*Y37*VLOOKUP('Données projet'!$B$9,Paramètres!$A$1:$I$89,3,0)*0.475*44/12</f>
        <v>1.558336412851602</v>
      </c>
      <c r="AC37" s="22">
        <f t="shared" si="3"/>
        <v>45.203000015880527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13.406666666666666</v>
      </c>
      <c r="AI37" s="13">
        <f>IF('Données projet'!$A$62&gt;35,AI36+AH37-AQ36,IF(A37&lt;'Données projet'!$A$62,$AF$205^A37,IF(A37='Données projet'!$A$62,'Données projet'!$B$62,AI36+AH37-AQ36)))</f>
        <v>196.02666666666667</v>
      </c>
      <c r="AJ37" s="13">
        <f>AI37*VLOOKUP('Données projet'!$B$10,Paramètres!$A$1:$I$89,3,0)*VLOOKUP('Données projet'!$B$10,Paramètres!$A$1:$I$89,5,0)</f>
        <v>94.288826666666665</v>
      </c>
      <c r="AK37" s="13">
        <f t="shared" si="35"/>
        <v>25.596767596782993</v>
      </c>
      <c r="AL37" s="20">
        <f t="shared" si="4"/>
        <v>208.8007433421748</v>
      </c>
      <c r="AM37" s="59">
        <f t="shared" si="5"/>
        <v>502.13407667550814</v>
      </c>
      <c r="AN37" s="59">
        <f ca="1">AVERAGE(OFFSET($AM$3,0,0,'Données projet'!$E$10+1,1))-AVERAGE(OFFSET($H$3,0,0,'Données projet'!$E$10+1,1))</f>
        <v>255.05550867459038</v>
      </c>
      <c r="AO37" s="59">
        <f t="shared" si="36"/>
        <v>119.28597757550295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11.443589743589744</v>
      </c>
      <c r="BD37" s="12">
        <f>IF('Données projet'!$A$88&gt;35,BD36+BC37-BL36,IF(A37&lt;'Données projet'!$A$88,$BA$205^A37,IF(A37='Données projet'!$A$88,'Données projet'!$B$88,BD36+BC37-BL36)))</f>
        <v>193.02820512820512</v>
      </c>
      <c r="BE37" s="13">
        <f>BD37*VLOOKUP('Données projet'!$B$11,Paramètres!$A$1:$I$89,3,0)*VLOOKUP('Données projet'!$B$11,Paramètres!$A$1:$I$89,5,0)</f>
        <v>90.337199999999996</v>
      </c>
      <c r="BF37" s="13">
        <f t="shared" si="37"/>
        <v>24.646531805527069</v>
      </c>
      <c r="BG37" s="20">
        <f t="shared" si="7"/>
        <v>200.2633328946263</v>
      </c>
      <c r="BH37" s="59">
        <f t="shared" si="8"/>
        <v>493.59666622795964</v>
      </c>
      <c r="BI37" s="59">
        <f ca="1">AVERAGE(OFFSET($BH$3,0,0,'Données projet'!$E$11+1,1))-AVERAGE(OFFSET($H$3,0,0,'Données projet'!$E$11+1,1))</f>
        <v>181.79645720099597</v>
      </c>
      <c r="BJ37" s="59">
        <f t="shared" si="38"/>
        <v>120.20040029102233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12.740384615384613</v>
      </c>
      <c r="BY37" s="12">
        <f>IF('Données projet'!$A$114&gt;35,BY36+BX37-CG36,IF(A37&lt;'Données projet'!$A$114,$BV$205^A37,IF(A37='Données projet'!$A$114,'Données projet'!$B$114,BY36+BX37-CG36)))</f>
        <v>153.63269230769231</v>
      </c>
      <c r="BZ37" s="13">
        <f>BY37*VLOOKUP('Données projet'!$B$12,Paramètres!$A$1:$I$89,3,0)*VLOOKUP('Données projet'!$B$12,Paramètres!$A$1:$I$89,5,0)</f>
        <v>91.872349999999997</v>
      </c>
      <c r="CA37" s="13">
        <f t="shared" si="39"/>
        <v>25.016248165039102</v>
      </c>
      <c r="CB37" s="20">
        <f t="shared" si="10"/>
        <v>203.58097513744312</v>
      </c>
      <c r="CC37" s="59">
        <f t="shared" si="11"/>
        <v>496.9143084707764</v>
      </c>
      <c r="CD37" s="59">
        <f ca="1">AVERAGE(OFFSET($CC$3,0,0,'Données projet'!$E$12+1,1))-AVERAGE(OFFSET($H$3,0,0,'Données projet'!$E$12+1,1))</f>
        <v>213.18424462765137</v>
      </c>
      <c r="CE37" s="59">
        <f t="shared" si="40"/>
        <v>158.77848520346532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18.073070298468167</v>
      </c>
      <c r="CL37" s="21">
        <f>EXP(-LN(2)/25)*CL36+(1-EXP(-LN(2)/25))/(LN(2)/25)*Calculateur!CG37*Calculateur!CI37*VLOOKUP('Données projet'!$B$12,Paramètres!$A$1:$I$89,3,0)*0.475*44/12</f>
        <v>11.733710183981724</v>
      </c>
      <c r="CM37" s="21">
        <f>EXP(-LN(2)/2)*CM36+(1-EXP(-LN(2)/2))/(LN(2)/2)*CG37*CJ37*VLOOKUP('Données projet'!$B$12,Paramètres!$A$1:$I$89,3,0)*0.475*44/12</f>
        <v>3.237170747659885</v>
      </c>
      <c r="CN37" s="22">
        <f t="shared" si="12"/>
        <v>33.043951230109776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12.8</v>
      </c>
      <c r="CT37" s="12">
        <f>IF('Données projet'!$A$140&gt;35,CT36+CS37-DB36,IF(A37&lt;'Données projet'!$A$140,$CQ$205^A37,IF(A37='Données projet'!$A$140,'Données projet'!$B$140,CT36+CS37-DB36)))</f>
        <v>193.19999999999996</v>
      </c>
      <c r="CU37" s="17">
        <f>CT37*VLOOKUP('Données projet'!$B$13,Paramètres!$A$1:$I$89,3,0)*VLOOKUP('Données projet'!$B$13,Paramètres!$A$1:$I$89,5,0)</f>
        <v>153.70991999999998</v>
      </c>
      <c r="CV37" s="13">
        <f t="shared" si="41"/>
        <v>39.420475690379831</v>
      </c>
      <c r="CW37" s="20">
        <f t="shared" si="13"/>
        <v>336.3687724940782</v>
      </c>
      <c r="CX37" s="59">
        <f t="shared" si="14"/>
        <v>629.70210582741151</v>
      </c>
      <c r="CY37" s="59">
        <f ca="1">AVERAGE(OFFSET($CX$3,0,0,'Données projet'!$E$13+1,1))-AVERAGE(OFFSET($H$3,0,0,'Données projet'!$E$13+1,1))</f>
        <v>279.49721661620544</v>
      </c>
      <c r="CZ37" s="59">
        <f t="shared" si="42"/>
        <v>275.18739333988754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3.4240225618843709</v>
      </c>
      <c r="DG37" s="21">
        <f>EXP(-LN(2)/25)*DG36+(1-EXP(-LN(2)/25))/(LN(2)/25)*Calculateur!DB37*Calculateur!DD37*VLOOKUP('Données projet'!$B$13,Paramètres!$A$1:$I$89,3,0)*0.475*44/12</f>
        <v>9.4972047369914847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12.921227298875856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22.884615384615397</v>
      </c>
      <c r="N38" s="13">
        <f>IF('Données projet'!$A$36&gt;35,N37+M38-V37,IF(A38&lt;'Données projet'!$A$36,$K$205^A38,IF(A38='Données projet'!$A$36,'Données projet'!$B$36,N37+M38-V37)))</f>
        <v>380.62307692307695</v>
      </c>
      <c r="O38" s="13">
        <f>N38*VLOOKUP('Données projet'!$B$9,Paramètres!$A$1:$I$89,3,0)*VLOOKUP('Données projet'!$B$9,Paramètres!$A$1:$I$89,5,0)</f>
        <v>212.76830000000001</v>
      </c>
      <c r="P38" s="13">
        <f t="shared" si="33"/>
        <v>52.540067037520508</v>
      </c>
      <c r="Q38" s="20">
        <f t="shared" si="53"/>
        <v>462.07873925701483</v>
      </c>
      <c r="R38" s="59">
        <f t="shared" si="0"/>
        <v>755.41207259034809</v>
      </c>
      <c r="S38" s="59">
        <f ca="1">AVERAGE(OFFSET($R$3,0,0,'Données projet'!$E$9+1,1))-AVERAGE(OFFSET($H$3,0,0,'Données projet'!$E$9+1,1))</f>
        <v>278.5296012747549</v>
      </c>
      <c r="T38" s="59">
        <f t="shared" si="34"/>
        <v>370.55343097937077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26.776346200655233</v>
      </c>
      <c r="AA38" s="21">
        <f>EXP(-LN(2)/25)*AA37+(1-EXP(-LN(2)/25))/(LN(2)/25)*Calculateur!V38*Calculateur!X38*VLOOKUP('Données projet'!$B$9,Paramètres!$A$1:$I$89,3,0)*0.475*44/12</f>
        <v>15.886127547825641</v>
      </c>
      <c r="AB38" s="21">
        <f>EXP(-LN(2)/2)*AB37+(1-EXP(-LN(2)/2))/(LN(2)/2)*V38*Y38*VLOOKUP('Données projet'!$B$9,Paramètres!$A$1:$I$89,3,0)*0.475*44/12</f>
        <v>1.1019102448972871</v>
      </c>
      <c r="AC38" s="22">
        <f t="shared" si="3"/>
        <v>43.764383993378168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13.406666666666666</v>
      </c>
      <c r="AI38" s="13">
        <f>IF('Données projet'!$A$62&gt;35,AI37+AH38-AQ37,IF(A38&lt;'Données projet'!$A$62,$AF$205^A38,IF(A38='Données projet'!$A$62,'Données projet'!$B$62,AI37+AH38-AQ37)))</f>
        <v>209.43333333333334</v>
      </c>
      <c r="AJ38" s="13">
        <f>AI38*VLOOKUP('Données projet'!$B$10,Paramètres!$A$1:$I$89,3,0)*VLOOKUP('Données projet'!$B$10,Paramètres!$A$1:$I$89,5,0)</f>
        <v>100.73743333333334</v>
      </c>
      <c r="AK38" s="13">
        <f t="shared" si="35"/>
        <v>27.137605676317033</v>
      </c>
      <c r="AL38" s="20">
        <f t="shared" si="4"/>
        <v>222.71569294180776</v>
      </c>
      <c r="AM38" s="59">
        <f t="shared" si="5"/>
        <v>516.04902627514105</v>
      </c>
      <c r="AN38" s="59">
        <f ca="1">AVERAGE(OFFSET($AM$3,0,0,'Données projet'!$E$10+1,1))-AVERAGE(OFFSET($H$3,0,0,'Données projet'!$E$10+1,1))</f>
        <v>255.05550867459038</v>
      </c>
      <c r="AO38" s="59">
        <f t="shared" si="36"/>
        <v>119.28597757550295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11.443589743589744</v>
      </c>
      <c r="BD38" s="12">
        <f>IF('Données projet'!$A$88&gt;35,BD37+BC38-BL37,IF(A38&lt;'Données projet'!$A$88,$BA$205^A38,IF(A38='Données projet'!$A$88,'Données projet'!$B$88,BD37+BC38-BL37)))</f>
        <v>204.47179487179486</v>
      </c>
      <c r="BE38" s="13">
        <f>BD38*VLOOKUP('Données projet'!$B$11,Paramètres!$A$1:$I$89,3,0)*VLOOKUP('Données projet'!$B$11,Paramètres!$A$1:$I$89,5,0)</f>
        <v>95.692799999999991</v>
      </c>
      <c r="BF38" s="13">
        <f t="shared" si="37"/>
        <v>25.93325205212474</v>
      </c>
      <c r="BG38" s="20">
        <f t="shared" si="7"/>
        <v>211.83204065745056</v>
      </c>
      <c r="BH38" s="59">
        <f t="shared" si="8"/>
        <v>505.16537399078391</v>
      </c>
      <c r="BI38" s="59">
        <f ca="1">AVERAGE(OFFSET($BH$3,0,0,'Données projet'!$E$11+1,1))-AVERAGE(OFFSET($H$3,0,0,'Données projet'!$E$11+1,1))</f>
        <v>181.79645720099597</v>
      </c>
      <c r="BJ38" s="59">
        <f t="shared" si="38"/>
        <v>120.20040029102233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12.740384615384613</v>
      </c>
      <c r="BY38" s="12">
        <f>IF('Données projet'!$A$114&gt;35,BY37+BX38-CG37,IF(A38&lt;'Données projet'!$A$114,$BV$205^A38,IF(A38='Données projet'!$A$114,'Données projet'!$B$114,BY37+BX38-CG37)))</f>
        <v>166.37307692307692</v>
      </c>
      <c r="BZ38" s="13">
        <f>BY38*VLOOKUP('Données projet'!$B$12,Paramètres!$A$1:$I$89,3,0)*VLOOKUP('Données projet'!$B$12,Paramètres!$A$1:$I$89,5,0)</f>
        <v>99.491100000000017</v>
      </c>
      <c r="CA38" s="13">
        <f t="shared" si="39"/>
        <v>26.84072316435665</v>
      </c>
      <c r="CB38" s="20">
        <f t="shared" si="10"/>
        <v>220.02792534458786</v>
      </c>
      <c r="CC38" s="59">
        <f t="shared" si="11"/>
        <v>513.36125867792111</v>
      </c>
      <c r="CD38" s="59">
        <f ca="1">AVERAGE(OFFSET($CC$3,0,0,'Données projet'!$E$12+1,1))-AVERAGE(OFFSET($H$3,0,0,'Données projet'!$E$12+1,1))</f>
        <v>213.18424462765137</v>
      </c>
      <c r="CE38" s="59">
        <f t="shared" si="40"/>
        <v>158.77848520346532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17.718668413399609</v>
      </c>
      <c r="CL38" s="21">
        <f>EXP(-LN(2)/25)*CL37+(1-EXP(-LN(2)/25))/(LN(2)/25)*Calculateur!CG38*Calculateur!CI38*VLOOKUP('Données projet'!$B$12,Paramètres!$A$1:$I$89,3,0)*0.475*44/12</f>
        <v>11.412851261951744</v>
      </c>
      <c r="CM38" s="21">
        <f>EXP(-LN(2)/2)*CM37+(1-EXP(-LN(2)/2))/(LN(2)/2)*CG38*CJ38*VLOOKUP('Données projet'!$B$12,Paramètres!$A$1:$I$89,3,0)*0.475*44/12</f>
        <v>2.2890253875290307</v>
      </c>
      <c r="CN38" s="22">
        <f t="shared" si="12"/>
        <v>31.420545062880382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206</v>
      </c>
      <c r="CR38" s="12">
        <f>VLOOKUP(A38,'Données projet'!$A$139:$I$159,9,0)</f>
        <v>12.8</v>
      </c>
      <c r="CS38" s="12">
        <f t="array" ref="CS38">INDEX(CR:CR,MIN(IF(ISNUMBER(CR38:CR234),ROW(CR38:CR234),"")))</f>
        <v>12.8</v>
      </c>
      <c r="CT38" s="12">
        <f>IF('Données projet'!$A$140&gt;35,CT37+CS38-DB37,IF(A38&lt;'Données projet'!$A$140,$CQ$205^A38,IF(A38='Données projet'!$A$140,'Données projet'!$B$140,CT37+CS38-DB37)))</f>
        <v>205.99999999999997</v>
      </c>
      <c r="CU38" s="17">
        <f>CT38*VLOOKUP('Données projet'!$B$13,Paramètres!$A$1:$I$89,3,0)*VLOOKUP('Données projet'!$B$13,Paramètres!$A$1:$I$89,5,0)</f>
        <v>163.89359999999999</v>
      </c>
      <c r="CV38" s="13">
        <f t="shared" si="41"/>
        <v>41.71949506642347</v>
      </c>
      <c r="CW38" s="20">
        <f t="shared" si="13"/>
        <v>358.10947390735419</v>
      </c>
      <c r="CX38" s="59">
        <f t="shared" si="14"/>
        <v>651.44280724068744</v>
      </c>
      <c r="CY38" s="59">
        <f ca="1">AVERAGE(OFFSET($CX$3,0,0,'Données projet'!$E$13+1,1))-AVERAGE(OFFSET($H$3,0,0,'Données projet'!$E$13+1,1))</f>
        <v>279.49721661620544</v>
      </c>
      <c r="CZ38" s="59">
        <f t="shared" si="42"/>
        <v>275.18739333988754</v>
      </c>
      <c r="DA38" s="15">
        <f>IF(ISNA(VLOOKUP(A38,'Données projet'!$A$139:$I$159,3,0)),0,VLOOKUP(A38,'Données projet'!$A$139:$I$159,3,0))</f>
        <v>5</v>
      </c>
      <c r="DB38" s="15">
        <f>IF(ISNA(VLOOKUP(A38,'Données projet'!$A$139:$I$159,4,0)),0,VLOOKUP(A38,'Données projet'!$A$139:$I$159,4,0))</f>
        <v>35</v>
      </c>
      <c r="DC38" s="16">
        <f>IF(ISNA(VLOOKUP(A38,'Données projet'!$A$139:$I$159,5,0)),0%,VLOOKUP(A38,'Données projet'!$A$139:$I$159,5,0)*VLOOKUP('Données projet'!$B$13,Paramètres!$A$1:$I$89,7,0))</f>
        <v>0.25969999999999999</v>
      </c>
      <c r="DD38" s="16">
        <f>IF(ISNA(VLOOKUP(A38,'Données projet'!$A$139:$I$159,6,0)),0%,VLOOKUP(A38,'Données projet'!$A$139:$I$159,6,0)*VLOOKUP('Données projet'!$B$13,Paramètres!$A$1:$I$89,7,0))</f>
        <v>0.18020000000000003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11.351206018440198</v>
      </c>
      <c r="DG38" s="21">
        <f>EXP(-LN(2)/25)*DG37+(1-EXP(-LN(2)/25))/(LN(2)/25)*Calculateur!DB38*Calculateur!DD38*VLOOKUP('Données projet'!$B$13,Paramètres!$A$1:$I$89,3,0)*0.475*44/12</f>
        <v>14.762745851612994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26.113951870053192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403.50769230769237</v>
      </c>
      <c r="L39" s="12">
        <f>VLOOKUP(A39,'Données projet'!$A$35:$I$55,9,0)</f>
        <v>22.884615384615397</v>
      </c>
      <c r="M39" s="12">
        <f t="array" ref="M39">INDEX(L:L,MIN(IF(ISNUMBER(L39:L235),ROW(L39:L235),"")))</f>
        <v>22.884615384615397</v>
      </c>
      <c r="N39" s="13">
        <f>IF('Données projet'!$A$36&gt;35,N38+M39-V38,IF(A39&lt;'Données projet'!$A$36,$K$205^A39,IF(A39='Données projet'!$A$36,'Données projet'!$B$36,N38+M39-V38)))</f>
        <v>403.50769230769237</v>
      </c>
      <c r="O39" s="13">
        <f>N39*VLOOKUP('Données projet'!$B$9,Paramètres!$A$1:$I$89,3,0)*VLOOKUP('Données projet'!$B$9,Paramètres!$A$1:$I$89,5,0)</f>
        <v>225.56080000000003</v>
      </c>
      <c r="P39" s="13">
        <f t="shared" si="33"/>
        <v>55.321736658663667</v>
      </c>
      <c r="Q39" s="20">
        <f t="shared" si="53"/>
        <v>489.20375134717256</v>
      </c>
      <c r="R39" s="59">
        <f t="shared" si="0"/>
        <v>782.53708468050581</v>
      </c>
      <c r="S39" s="59">
        <f ca="1">AVERAGE(OFFSET($R$3,0,0,'Données projet'!$E$9+1,1))-AVERAGE(OFFSET($H$3,0,0,'Données projet'!$E$9+1,1))</f>
        <v>278.5296012747549</v>
      </c>
      <c r="T39" s="59">
        <f t="shared" si="34"/>
        <v>370.55343097937077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0.38500000000000001</v>
      </c>
      <c r="X39" s="16">
        <f>IF(ISNA(VLOOKUP(A39,'Données projet'!$A$35:$I$55,6,0)),0%,VLOOKUP(A39,'Données projet'!$A$35:$I$55,6,0)*VLOOKUP('Données projet'!$B$9,Paramètres!$A$1:$I$89,7,0))</f>
        <v>9.240000000000001E-2</v>
      </c>
      <c r="Y39" s="16">
        <f>IF(ISNA(VLOOKUP(A39,'Données projet'!$A$35:$I$55,7,0)),0%,VLOOKUP(A39,'Données projet'!$A$35:$I$55,7,0))</f>
        <v>0.13200000000000001</v>
      </c>
      <c r="Z39" s="21">
        <f>EXP(-LN(2)/35)*Z38+(1-EXP(-LN(2)/35))/(LN(2)/35)*V39*W39*VLOOKUP('Données projet'!$B$9,Paramètres!$A$1:$I$89,3,0)*0.475*44/12</f>
        <v>46.036190634544177</v>
      </c>
      <c r="AA39" s="21">
        <f>EXP(-LN(2)/25)*AA38+(1-EXP(-LN(2)/25))/(LN(2)/25)*Calculateur!V39*Calculateur!X39*VLOOKUP('Données projet'!$B$9,Paramètres!$A$1:$I$89,3,0)*0.475*44/12</f>
        <v>20.181403317675393</v>
      </c>
      <c r="AB39" s="21">
        <f>EXP(-LN(2)/2)*AB38+(1-EXP(-LN(2)/2))/(LN(2)/2)*V39*Y39*VLOOKUP('Données projet'!$B$9,Paramètres!$A$1:$I$89,3,0)*0.475*44/12</f>
        <v>6.5688475705786837</v>
      </c>
      <c r="AC39" s="22">
        <f t="shared" si="3"/>
        <v>72.786441522798256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13.406666666666666</v>
      </c>
      <c r="AI39" s="13">
        <f>IF('Données projet'!$A$62&gt;35,AI38+AH39-AQ38,IF(A39&lt;'Données projet'!$A$62,$AF$205^A39,IF(A39='Données projet'!$A$62,'Données projet'!$B$62,AI38+AH39-AQ38)))</f>
        <v>222.84</v>
      </c>
      <c r="AJ39" s="13">
        <f>AI39*VLOOKUP('Données projet'!$B$10,Paramètres!$A$1:$I$89,3,0)*VLOOKUP('Données projet'!$B$10,Paramètres!$A$1:$I$89,5,0)</f>
        <v>107.18604000000001</v>
      </c>
      <c r="AK39" s="13">
        <f t="shared" si="35"/>
        <v>28.666997034597184</v>
      </c>
      <c r="AL39" s="20">
        <f t="shared" si="4"/>
        <v>236.6107061685901</v>
      </c>
      <c r="AM39" s="59">
        <f t="shared" si="5"/>
        <v>529.94403950192338</v>
      </c>
      <c r="AN39" s="59">
        <f ca="1">AVERAGE(OFFSET($AM$3,0,0,'Données projet'!$E$10+1,1))-AVERAGE(OFFSET($H$3,0,0,'Données projet'!$E$10+1,1))</f>
        <v>255.05550867459038</v>
      </c>
      <c r="AO39" s="59">
        <f t="shared" si="36"/>
        <v>119.28597757550295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11.443589743589744</v>
      </c>
      <c r="BD39" s="12">
        <f>IF('Données projet'!$A$88&gt;35,BD38+BC39-BL38,IF(A39&lt;'Données projet'!$A$88,$BA$205^A39,IF(A39='Données projet'!$A$88,'Données projet'!$B$88,BD38+BC39-BL38)))</f>
        <v>215.9153846153846</v>
      </c>
      <c r="BE39" s="13">
        <f>BD39*VLOOKUP('Données projet'!$B$11,Paramètres!$A$1:$I$89,3,0)*VLOOKUP('Données projet'!$B$11,Paramètres!$A$1:$I$89,5,0)</f>
        <v>101.04839999999999</v>
      </c>
      <c r="BF39" s="13">
        <f t="shared" si="37"/>
        <v>27.21161258263702</v>
      </c>
      <c r="BG39" s="20">
        <f t="shared" si="7"/>
        <v>223.38618858142613</v>
      </c>
      <c r="BH39" s="59">
        <f t="shared" si="8"/>
        <v>516.71952191475941</v>
      </c>
      <c r="BI39" s="59">
        <f ca="1">AVERAGE(OFFSET($BH$3,0,0,'Données projet'!$E$11+1,1))-AVERAGE(OFFSET($H$3,0,0,'Données projet'!$E$11+1,1))</f>
        <v>181.79645720099597</v>
      </c>
      <c r="BJ39" s="59">
        <f t="shared" si="38"/>
        <v>120.20040029102233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12.740384615384613</v>
      </c>
      <c r="BY39" s="12">
        <f>IF('Données projet'!$A$114&gt;35,BY38+BX39-CG38,IF(A39&lt;'Données projet'!$A$114,$BV$205^A39,IF(A39='Données projet'!$A$114,'Données projet'!$B$114,BY38+BX39-CG38)))</f>
        <v>179.11346153846154</v>
      </c>
      <c r="BZ39" s="13">
        <f>BY39*VLOOKUP('Données projet'!$B$12,Paramètres!$A$1:$I$89,3,0)*VLOOKUP('Données projet'!$B$12,Paramètres!$A$1:$I$89,5,0)</f>
        <v>107.10985000000001</v>
      </c>
      <c r="CA39" s="13">
        <f t="shared" si="39"/>
        <v>28.648991101707331</v>
      </c>
      <c r="CB39" s="20">
        <f t="shared" si="10"/>
        <v>236.44664825214025</v>
      </c>
      <c r="CC39" s="59">
        <f t="shared" si="11"/>
        <v>529.77998158547359</v>
      </c>
      <c r="CD39" s="59">
        <f ca="1">AVERAGE(OFFSET($CC$3,0,0,'Données projet'!$E$12+1,1))-AVERAGE(OFFSET($H$3,0,0,'Données projet'!$E$12+1,1))</f>
        <v>213.18424462765137</v>
      </c>
      <c r="CE39" s="59">
        <f t="shared" si="40"/>
        <v>158.77848520346532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17.371216133133441</v>
      </c>
      <c r="CL39" s="21">
        <f>EXP(-LN(2)/25)*CL38+(1-EXP(-LN(2)/25))/(LN(2)/25)*Calculateur!CG39*Calculateur!CI39*VLOOKUP('Données projet'!$B$12,Paramètres!$A$1:$I$89,3,0)*0.475*44/12</f>
        <v>11.10076624401791</v>
      </c>
      <c r="CM39" s="21">
        <f>EXP(-LN(2)/2)*CM38+(1-EXP(-LN(2)/2))/(LN(2)/2)*CG39*CJ39*VLOOKUP('Données projet'!$B$12,Paramètres!$A$1:$I$89,3,0)*0.475*44/12</f>
        <v>1.6185853738299425</v>
      </c>
      <c r="CN39" s="22">
        <f t="shared" si="12"/>
        <v>30.090567750981293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11.4</v>
      </c>
      <c r="CT39" s="12">
        <f>IF('Données projet'!$A$140&gt;35,CT38+CS39-DB38,IF(A39&lt;'Données projet'!$A$140,$CQ$205^A39,IF(A39='Données projet'!$A$140,'Données projet'!$B$140,CT38+CS39-DB38)))</f>
        <v>182.39999999999998</v>
      </c>
      <c r="CU39" s="17">
        <f>CT39*VLOOKUP('Données projet'!$B$13,Paramètres!$A$1:$I$89,3,0)*VLOOKUP('Données projet'!$B$13,Paramètres!$A$1:$I$89,5,0)</f>
        <v>145.11743999999999</v>
      </c>
      <c r="CV39" s="13">
        <f t="shared" si="41"/>
        <v>37.466878406916173</v>
      </c>
      <c r="CW39" s="20">
        <f t="shared" si="13"/>
        <v>318.00102122537896</v>
      </c>
      <c r="CX39" s="59">
        <f t="shared" si="14"/>
        <v>611.33435455871222</v>
      </c>
      <c r="CY39" s="59">
        <f ca="1">AVERAGE(OFFSET($CX$3,0,0,'Données projet'!$E$13+1,1))-AVERAGE(OFFSET($H$3,0,0,'Données projet'!$E$13+1,1))</f>
        <v>279.49721661620544</v>
      </c>
      <c r="CZ39" s="59">
        <f t="shared" si="42"/>
        <v>275.18739333988754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11.128615791970613</v>
      </c>
      <c r="DG39" s="21">
        <f>EXP(-LN(2)/25)*DG38+(1-EXP(-LN(2)/25))/(LN(2)/25)*Calculateur!DB39*Calculateur!DD39*VLOOKUP('Données projet'!$B$13,Paramètres!$A$1:$I$89,3,0)*0.475*44/12</f>
        <v>14.359057789961573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25.487673581932185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22.419230769230751</v>
      </c>
      <c r="N40" s="13">
        <f>IF('Données projet'!$A$36&gt;35,N39+M40-V39,IF(A40&lt;'Données projet'!$A$36,$K$205^A40,IF(A40='Données projet'!$A$36,'Données projet'!$B$36,N39+M40-V39)))</f>
        <v>356.62692307692311</v>
      </c>
      <c r="O40" s="13">
        <f>N40*VLOOKUP('Données projet'!$B$9,Paramètres!$A$1:$I$89,3,0)*VLOOKUP('Données projet'!$B$9,Paramètres!$A$1:$I$89,5,0)</f>
        <v>199.35445000000001</v>
      </c>
      <c r="P40" s="13">
        <f t="shared" si="33"/>
        <v>49.60226869073324</v>
      </c>
      <c r="Q40" s="20">
        <f t="shared" si="53"/>
        <v>433.59961838636042</v>
      </c>
      <c r="R40" s="59">
        <f t="shared" si="0"/>
        <v>726.93295171969373</v>
      </c>
      <c r="S40" s="59">
        <f ca="1">AVERAGE(OFFSET($R$3,0,0,'Données projet'!$E$9+1,1))-AVERAGE(OFFSET($H$3,0,0,'Données projet'!$E$9+1,1))</f>
        <v>278.5296012747549</v>
      </c>
      <c r="T40" s="59">
        <f t="shared" si="34"/>
        <v>370.55343097937077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45.133449015504453</v>
      </c>
      <c r="AA40" s="21">
        <f>EXP(-LN(2)/25)*AA39+(1-EXP(-LN(2)/25))/(LN(2)/25)*Calculateur!V40*Calculateur!X40*VLOOKUP('Données projet'!$B$9,Paramètres!$A$1:$I$89,3,0)*0.475*44/12</f>
        <v>19.629541782659683</v>
      </c>
      <c r="AB40" s="21">
        <f>EXP(-LN(2)/2)*AB39+(1-EXP(-LN(2)/2))/(LN(2)/2)*V40*Y40*VLOOKUP('Données projet'!$B$9,Paramètres!$A$1:$I$89,3,0)*0.475*44/12</f>
        <v>4.6448766617369657</v>
      </c>
      <c r="AC40" s="22">
        <f t="shared" si="3"/>
        <v>69.407867459901098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13.406666666666666</v>
      </c>
      <c r="AI40" s="13">
        <f>IF('Données projet'!$A$62&gt;35,AI39+AH40-AQ39,IF(A40&lt;'Données projet'!$A$62,$AF$205^A40,IF(A40='Données projet'!$A$62,'Données projet'!$B$62,AI39+AH40-AQ39)))</f>
        <v>236.24666666666667</v>
      </c>
      <c r="AJ40" s="13">
        <f>AI40*VLOOKUP('Données projet'!$B$10,Paramètres!$A$1:$I$89,3,0)*VLOOKUP('Données projet'!$B$10,Paramètres!$A$1:$I$89,5,0)</f>
        <v>113.63464666666667</v>
      </c>
      <c r="AK40" s="13">
        <f t="shared" si="35"/>
        <v>30.185708765674967</v>
      </c>
      <c r="AL40" s="20">
        <f t="shared" si="4"/>
        <v>250.48711904466168</v>
      </c>
      <c r="AM40" s="59">
        <f t="shared" si="5"/>
        <v>543.82045237799503</v>
      </c>
      <c r="AN40" s="59">
        <f ca="1">AVERAGE(OFFSET($AM$3,0,0,'Données projet'!$E$10+1,1))-AVERAGE(OFFSET($H$3,0,0,'Données projet'!$E$10+1,1))</f>
        <v>255.05550867459038</v>
      </c>
      <c r="AO40" s="59">
        <f t="shared" si="36"/>
        <v>119.28597757550295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11.443589743589744</v>
      </c>
      <c r="BD40" s="12">
        <f>IF('Données projet'!$A$88&gt;35,BD39+BC40-BL39,IF(A40&lt;'Données projet'!$A$88,$BA$205^A40,IF(A40='Données projet'!$A$88,'Données projet'!$B$88,BD39+BC40-BL39)))</f>
        <v>227.35897435897434</v>
      </c>
      <c r="BE40" s="13">
        <f>BD40*VLOOKUP('Données projet'!$B$11,Paramètres!$A$1:$I$89,3,0)*VLOOKUP('Données projet'!$B$11,Paramètres!$A$1:$I$89,5,0)</f>
        <v>106.40399999999998</v>
      </c>
      <c r="BF40" s="13">
        <f t="shared" si="37"/>
        <v>28.482106989387589</v>
      </c>
      <c r="BG40" s="20">
        <f t="shared" si="7"/>
        <v>234.92663633985001</v>
      </c>
      <c r="BH40" s="59">
        <f t="shared" si="8"/>
        <v>528.25996967318338</v>
      </c>
      <c r="BI40" s="59">
        <f ca="1">AVERAGE(OFFSET($BH$3,0,0,'Données projet'!$E$11+1,1))-AVERAGE(OFFSET($H$3,0,0,'Données projet'!$E$11+1,1))</f>
        <v>181.79645720099597</v>
      </c>
      <c r="BJ40" s="59">
        <f t="shared" si="38"/>
        <v>120.20040029102233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12.740384615384613</v>
      </c>
      <c r="BY40" s="12">
        <f>IF('Données projet'!$A$114&gt;35,BY39+BX40-CG39,IF(A40&lt;'Données projet'!$A$114,$BV$205^A40,IF(A40='Données projet'!$A$114,'Données projet'!$B$114,BY39+BX40-CG39)))</f>
        <v>191.85384615384615</v>
      </c>
      <c r="BZ40" s="13">
        <f>BY40*VLOOKUP('Données projet'!$B$12,Paramètres!$A$1:$I$89,3,0)*VLOOKUP('Données projet'!$B$12,Paramètres!$A$1:$I$89,5,0)</f>
        <v>114.7286</v>
      </c>
      <c r="CA40" s="13">
        <f t="shared" si="39"/>
        <v>30.442335906087649</v>
      </c>
      <c r="CB40" s="20">
        <f t="shared" si="10"/>
        <v>252.83938003643598</v>
      </c>
      <c r="CC40" s="59">
        <f t="shared" si="11"/>
        <v>546.17271336976933</v>
      </c>
      <c r="CD40" s="59">
        <f ca="1">AVERAGE(OFFSET($CC$3,0,0,'Données projet'!$E$12+1,1))-AVERAGE(OFFSET($H$3,0,0,'Données projet'!$E$12+1,1))</f>
        <v>213.18424462765137</v>
      </c>
      <c r="CE40" s="59">
        <f t="shared" si="40"/>
        <v>158.77848520346532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17.030577180158328</v>
      </c>
      <c r="CL40" s="21">
        <f>EXP(-LN(2)/25)*CL39+(1-EXP(-LN(2)/25))/(LN(2)/25)*Calculateur!CG40*Calculateur!CI40*VLOOKUP('Données projet'!$B$12,Paramètres!$A$1:$I$89,3,0)*0.475*44/12</f>
        <v>10.797215207311314</v>
      </c>
      <c r="CM40" s="21">
        <f>EXP(-LN(2)/2)*CM39+(1-EXP(-LN(2)/2))/(LN(2)/2)*CG40*CJ40*VLOOKUP('Données projet'!$B$12,Paramètres!$A$1:$I$89,3,0)*0.475*44/12</f>
        <v>1.1445126937645154</v>
      </c>
      <c r="CN40" s="22">
        <f t="shared" si="12"/>
        <v>28.972305081234158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11.4</v>
      </c>
      <c r="CT40" s="12">
        <f>IF('Données projet'!$A$140&gt;35,CT39+CS40-DB39,IF(A40&lt;'Données projet'!$A$140,$CQ$205^A40,IF(A40='Données projet'!$A$140,'Données projet'!$B$140,CT39+CS40-DB39)))</f>
        <v>193.79999999999998</v>
      </c>
      <c r="CU40" s="17">
        <f>CT40*VLOOKUP('Données projet'!$B$13,Paramètres!$A$1:$I$89,3,0)*VLOOKUP('Données projet'!$B$13,Paramètres!$A$1:$I$89,5,0)</f>
        <v>154.18727999999999</v>
      </c>
      <c r="CV40" s="13">
        <f t="shared" si="41"/>
        <v>39.528629863903078</v>
      </c>
      <c r="CW40" s="20">
        <f t="shared" si="13"/>
        <v>337.38854301296448</v>
      </c>
      <c r="CX40" s="59">
        <f t="shared" si="14"/>
        <v>630.72187634629779</v>
      </c>
      <c r="CY40" s="59">
        <f ca="1">AVERAGE(OFFSET($CX$3,0,0,'Données projet'!$E$13+1,1))-AVERAGE(OFFSET($H$3,0,0,'Données projet'!$E$13+1,1))</f>
        <v>279.49721661620544</v>
      </c>
      <c r="CZ40" s="59">
        <f t="shared" si="42"/>
        <v>275.18739333988754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10.910390424075464</v>
      </c>
      <c r="DG40" s="21">
        <f>EXP(-LN(2)/25)*DG39+(1-EXP(-LN(2)/25))/(LN(2)/25)*Calculateur!DB40*Calculateur!DD40*VLOOKUP('Données projet'!$B$13,Paramètres!$A$1:$I$89,3,0)*0.475*44/12</f>
        <v>13.966408599585042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24.876799023660507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22.419230769230751</v>
      </c>
      <c r="N41" s="13">
        <f>IF('Données projet'!$A$36&gt;35,N40+M41-V40,IF(A41&lt;'Données projet'!$A$36,$K$205^A41,IF(A41='Données projet'!$A$36,'Données projet'!$B$36,N40+M41-V40)))</f>
        <v>379.04615384615386</v>
      </c>
      <c r="O41" s="13">
        <f>N41*VLOOKUP('Données projet'!$B$9,Paramètres!$A$1:$I$89,3,0)*VLOOKUP('Données projet'!$B$9,Paramètres!$A$1:$I$89,5,0)</f>
        <v>211.88679999999999</v>
      </c>
      <c r="P41" s="13">
        <f t="shared" si="33"/>
        <v>52.347684082939317</v>
      </c>
      <c r="Q41" s="20">
        <f t="shared" si="53"/>
        <v>460.20839311111928</v>
      </c>
      <c r="R41" s="59">
        <f t="shared" si="0"/>
        <v>753.54172644445259</v>
      </c>
      <c r="S41" s="59">
        <f ca="1">AVERAGE(OFFSET($R$3,0,0,'Données projet'!$E$9+1,1))-AVERAGE(OFFSET($H$3,0,0,'Données projet'!$E$9+1,1))</f>
        <v>278.5296012747549</v>
      </c>
      <c r="T41" s="59">
        <f t="shared" si="34"/>
        <v>370.55343097937077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44.248409608996077</v>
      </c>
      <c r="AA41" s="21">
        <f>EXP(-LN(2)/25)*AA40+(1-EXP(-LN(2)/25))/(LN(2)/25)*Calculateur!V41*Calculateur!X41*VLOOKUP('Données projet'!$B$9,Paramètres!$A$1:$I$89,3,0)*0.475*44/12</f>
        <v>19.092770930340116</v>
      </c>
      <c r="AB41" s="21">
        <f>EXP(-LN(2)/2)*AB40+(1-EXP(-LN(2)/2))/(LN(2)/2)*V41*Y41*VLOOKUP('Données projet'!$B$9,Paramètres!$A$1:$I$89,3,0)*0.475*44/12</f>
        <v>3.2844237852893423</v>
      </c>
      <c r="AC41" s="22">
        <f t="shared" si="3"/>
        <v>66.625604324625542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13.406666666666666</v>
      </c>
      <c r="AI41" s="13">
        <f>IF('Données projet'!$A$62&gt;35,AI40+AH41-AQ40,IF(A41&lt;'Données projet'!$A$62,$AF$205^A41,IF(A41='Données projet'!$A$62,'Données projet'!$B$62,AI40+AH41-AQ40)))</f>
        <v>249.65333333333334</v>
      </c>
      <c r="AJ41" s="13">
        <f>AI41*VLOOKUP('Données projet'!$B$10,Paramètres!$A$1:$I$89,3,0)*VLOOKUP('Données projet'!$B$10,Paramètres!$A$1:$I$89,5,0)</f>
        <v>120.08325333333335</v>
      </c>
      <c r="AK41" s="13">
        <f t="shared" si="35"/>
        <v>31.694415983114318</v>
      </c>
      <c r="AL41" s="20">
        <f t="shared" si="4"/>
        <v>264.346107392813</v>
      </c>
      <c r="AM41" s="59">
        <f t="shared" si="5"/>
        <v>557.67944072614637</v>
      </c>
      <c r="AN41" s="59">
        <f ca="1">AVERAGE(OFFSET($AM$3,0,0,'Données projet'!$E$10+1,1))-AVERAGE(OFFSET($H$3,0,0,'Données projet'!$E$10+1,1))</f>
        <v>255.05550867459038</v>
      </c>
      <c r="AO41" s="59">
        <f t="shared" si="36"/>
        <v>119.28597757550295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11.443589743589744</v>
      </c>
      <c r="BD41" s="12">
        <f>IF('Données projet'!$A$88&gt;35,BD40+BC41-BL40,IF(A41&lt;'Données projet'!$A$88,$BA$205^A41,IF(A41='Données projet'!$A$88,'Données projet'!$B$88,BD40+BC41-BL40)))</f>
        <v>238.80256410256408</v>
      </c>
      <c r="BE41" s="13">
        <f>BD41*VLOOKUP('Données projet'!$B$11,Paramètres!$A$1:$I$89,3,0)*VLOOKUP('Données projet'!$B$11,Paramètres!$A$1:$I$89,5,0)</f>
        <v>111.75959999999998</v>
      </c>
      <c r="BF41" s="13">
        <f t="shared" si="37"/>
        <v>29.745176370290782</v>
      </c>
      <c r="BG41" s="20">
        <f t="shared" si="7"/>
        <v>246.45415217825635</v>
      </c>
      <c r="BH41" s="59">
        <f t="shared" si="8"/>
        <v>539.78748551158969</v>
      </c>
      <c r="BI41" s="59">
        <f ca="1">AVERAGE(OFFSET($BH$3,0,0,'Données projet'!$E$11+1,1))-AVERAGE(OFFSET($H$3,0,0,'Données projet'!$E$11+1,1))</f>
        <v>181.79645720099597</v>
      </c>
      <c r="BJ41" s="59">
        <f t="shared" si="38"/>
        <v>120.20040029102233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12.740384615384613</v>
      </c>
      <c r="BY41" s="12">
        <f>IF('Données projet'!$A$114&gt;35,BY40+BX41-CG40,IF(A41&lt;'Données projet'!$A$114,$BV$205^A41,IF(A41='Données projet'!$A$114,'Données projet'!$B$114,BY40+BX41-CG40)))</f>
        <v>204.59423076923076</v>
      </c>
      <c r="BZ41" s="13">
        <f>BY41*VLOOKUP('Données projet'!$B$12,Paramètres!$A$1:$I$89,3,0)*VLOOKUP('Données projet'!$B$12,Paramètres!$A$1:$I$89,5,0)</f>
        <v>122.34735000000001</v>
      </c>
      <c r="CA41" s="13">
        <f t="shared" si="39"/>
        <v>32.221861336884544</v>
      </c>
      <c r="CB41" s="20">
        <f t="shared" si="10"/>
        <v>269.20804307840729</v>
      </c>
      <c r="CC41" s="59">
        <f t="shared" si="11"/>
        <v>562.54137641174066</v>
      </c>
      <c r="CD41" s="59">
        <f ca="1">AVERAGE(OFFSET($CC$3,0,0,'Données projet'!$E$12+1,1))-AVERAGE(OFFSET($H$3,0,0,'Données projet'!$E$12+1,1))</f>
        <v>213.18424462765137</v>
      </c>
      <c r="CE41" s="59">
        <f t="shared" si="40"/>
        <v>158.77848520346532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16.696617949281812</v>
      </c>
      <c r="CL41" s="21">
        <f>EXP(-LN(2)/25)*CL40+(1-EXP(-LN(2)/25))/(LN(2)/25)*Calculateur!CG41*Calculateur!CI41*VLOOKUP('Données projet'!$B$12,Paramètres!$A$1:$I$89,3,0)*0.475*44/12</f>
        <v>10.501964789666516</v>
      </c>
      <c r="CM41" s="21">
        <f>EXP(-LN(2)/2)*CM40+(1-EXP(-LN(2)/2))/(LN(2)/2)*CG41*CJ41*VLOOKUP('Données projet'!$B$12,Paramètres!$A$1:$I$89,3,0)*0.475*44/12</f>
        <v>0.80929268691497125</v>
      </c>
      <c r="CN41" s="22">
        <f t="shared" si="12"/>
        <v>28.0078754258633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11.4</v>
      </c>
      <c r="CT41" s="12">
        <f>IF('Données projet'!$A$140&gt;35,CT40+CS41-DB40,IF(A41&lt;'Données projet'!$A$140,$CQ$205^A41,IF(A41='Données projet'!$A$140,'Données projet'!$B$140,CT40+CS41-DB40)))</f>
        <v>205.2</v>
      </c>
      <c r="CU41" s="17">
        <f>CT41*VLOOKUP('Données projet'!$B$13,Paramètres!$A$1:$I$89,3,0)*VLOOKUP('Données projet'!$B$13,Paramètres!$A$1:$I$89,5,0)</f>
        <v>163.25712000000001</v>
      </c>
      <c r="CV41" s="13">
        <f t="shared" si="41"/>
        <v>41.576304038313076</v>
      </c>
      <c r="CW41" s="20">
        <f t="shared" si="13"/>
        <v>356.75154686672863</v>
      </c>
      <c r="CX41" s="59">
        <f t="shared" si="14"/>
        <v>650.08488020006189</v>
      </c>
      <c r="CY41" s="59">
        <f ca="1">AVERAGE(OFFSET($CX$3,0,0,'Données projet'!$E$13+1,1))-AVERAGE(OFFSET($H$3,0,0,'Données projet'!$E$13+1,1))</f>
        <v>279.49721661620544</v>
      </c>
      <c r="CZ41" s="59">
        <f t="shared" si="42"/>
        <v>275.18739333988754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10.696444322540408</v>
      </c>
      <c r="DG41" s="21">
        <f>EXP(-LN(2)/25)*DG40+(1-EXP(-LN(2)/25))/(LN(2)/25)*Calculateur!DB41*Calculateur!DD41*VLOOKUP('Données projet'!$B$13,Paramètres!$A$1:$I$89,3,0)*0.475*44/12</f>
        <v>13.584496421967883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24.280940744508293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22.419230769230751</v>
      </c>
      <c r="N42" s="13">
        <f>IF('Données projet'!$A$36&gt;35,N41+M42-V41,IF(A42&lt;'Données projet'!$A$36,$K$205^A42,IF(A42='Données projet'!$A$36,'Données projet'!$B$36,N41+M42-V41)))</f>
        <v>401.46538461538461</v>
      </c>
      <c r="O42" s="13">
        <f>N42*VLOOKUP('Données projet'!$B$9,Paramètres!$A$1:$I$89,3,0)*VLOOKUP('Données projet'!$B$9,Paramètres!$A$1:$I$89,5,0)</f>
        <v>224.41915</v>
      </c>
      <c r="P42" s="13">
        <f t="shared" si="33"/>
        <v>55.074251579267461</v>
      </c>
      <c r="Q42" s="20">
        <f t="shared" si="53"/>
        <v>486.78434108389075</v>
      </c>
      <c r="R42" s="59">
        <f t="shared" si="0"/>
        <v>780.11767441722407</v>
      </c>
      <c r="S42" s="59">
        <f ca="1">AVERAGE(OFFSET($R$3,0,0,'Données projet'!$E$9+1,1))-AVERAGE(OFFSET($H$3,0,0,'Données projet'!$E$9+1,1))</f>
        <v>278.5296012747549</v>
      </c>
      <c r="T42" s="59">
        <f t="shared" si="34"/>
        <v>370.55343097937077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43.380725285428596</v>
      </c>
      <c r="AA42" s="21">
        <f>EXP(-LN(2)/25)*AA41+(1-EXP(-LN(2)/25))/(LN(2)/25)*Calculateur!V42*Calculateur!X42*VLOOKUP('Données projet'!$B$9,Paramètres!$A$1:$I$89,3,0)*0.475*44/12</f>
        <v>18.570678105204781</v>
      </c>
      <c r="AB42" s="21">
        <f>EXP(-LN(2)/2)*AB41+(1-EXP(-LN(2)/2))/(LN(2)/2)*V42*Y42*VLOOKUP('Données projet'!$B$9,Paramètres!$A$1:$I$89,3,0)*0.475*44/12</f>
        <v>2.3224383308684833</v>
      </c>
      <c r="AC42" s="22">
        <f t="shared" si="3"/>
        <v>64.273841721501853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13.406666666666666</v>
      </c>
      <c r="AI42" s="13">
        <f>IF('Données projet'!$A$62&gt;35,AI41+AH42-AQ41,IF(A42&lt;'Données projet'!$A$62,$AF$205^A42,IF(A42='Données projet'!$A$62,'Données projet'!$B$62,AI41+AH42-AQ41)))</f>
        <v>263.06</v>
      </c>
      <c r="AJ42" s="13">
        <f>AI42*VLOOKUP('Données projet'!$B$10,Paramètres!$A$1:$I$89,3,0)*VLOOKUP('Données projet'!$B$10,Paramètres!$A$1:$I$89,5,0)</f>
        <v>126.53186000000001</v>
      </c>
      <c r="AK42" s="13">
        <f t="shared" si="35"/>
        <v>33.193717196590377</v>
      </c>
      <c r="AL42" s="20">
        <f t="shared" si="4"/>
        <v>278.18871361739491</v>
      </c>
      <c r="AM42" s="59">
        <f t="shared" si="5"/>
        <v>571.52204695072828</v>
      </c>
      <c r="AN42" s="59">
        <f ca="1">AVERAGE(OFFSET($AM$3,0,0,'Données projet'!$E$10+1,1))-AVERAGE(OFFSET($H$3,0,0,'Données projet'!$E$10+1,1))</f>
        <v>255.05550867459038</v>
      </c>
      <c r="AO42" s="59">
        <f t="shared" si="36"/>
        <v>119.28597757550295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11.443589743589744</v>
      </c>
      <c r="BD42" s="12">
        <f>IF('Données projet'!$A$88&gt;35,BD41+BC42-BL41,IF(A42&lt;'Données projet'!$A$88,$BA$205^A42,IF(A42='Données projet'!$A$88,'Données projet'!$B$88,BD41+BC42-BL41)))</f>
        <v>250.24615384615382</v>
      </c>
      <c r="BE42" s="13">
        <f>BD42*VLOOKUP('Données projet'!$B$11,Paramètres!$A$1:$I$89,3,0)*VLOOKUP('Données projet'!$B$11,Paramètres!$A$1:$I$89,5,0)</f>
        <v>117.11519999999997</v>
      </c>
      <c r="BF42" s="13">
        <f t="shared" si="37"/>
        <v>31.001217159106822</v>
      </c>
      <c r="BG42" s="20">
        <f t="shared" si="7"/>
        <v>257.96942655211097</v>
      </c>
      <c r="BH42" s="59">
        <f t="shared" si="8"/>
        <v>551.30275988544429</v>
      </c>
      <c r="BI42" s="59">
        <f ca="1">AVERAGE(OFFSET($BH$3,0,0,'Données projet'!$E$11+1,1))-AVERAGE(OFFSET($H$3,0,0,'Données projet'!$E$11+1,1))</f>
        <v>181.79645720099597</v>
      </c>
      <c r="BJ42" s="59">
        <f t="shared" si="38"/>
        <v>120.20040029102233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12.740384615384613</v>
      </c>
      <c r="BY42" s="12">
        <f>IF('Données projet'!$A$114&gt;35,BY41+BX42-CG41,IF(A42&lt;'Données projet'!$A$114,$BV$205^A42,IF(A42='Données projet'!$A$114,'Données projet'!$B$114,BY41+BX42-CG41)))</f>
        <v>217.33461538461538</v>
      </c>
      <c r="BZ42" s="13">
        <f>BY42*VLOOKUP('Données projet'!$B$12,Paramètres!$A$1:$I$89,3,0)*VLOOKUP('Données projet'!$B$12,Paramètres!$A$1:$I$89,5,0)</f>
        <v>129.96610000000001</v>
      </c>
      <c r="CA42" s="13">
        <f t="shared" si="39"/>
        <v>33.988525918782614</v>
      </c>
      <c r="CB42" s="20">
        <f t="shared" si="10"/>
        <v>285.55430680854636</v>
      </c>
      <c r="CC42" s="59">
        <f t="shared" si="11"/>
        <v>578.88764014187973</v>
      </c>
      <c r="CD42" s="59">
        <f ca="1">AVERAGE(OFFSET($CC$3,0,0,'Données projet'!$E$12+1,1))-AVERAGE(OFFSET($H$3,0,0,'Données projet'!$E$12+1,1))</f>
        <v>213.18424462765137</v>
      </c>
      <c r="CE42" s="59">
        <f t="shared" si="40"/>
        <v>158.77848520346532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16.369207455227766</v>
      </c>
      <c r="CL42" s="21">
        <f>EXP(-LN(2)/25)*CL41+(1-EXP(-LN(2)/25))/(LN(2)/25)*Calculateur!CG42*Calculateur!CI42*VLOOKUP('Données projet'!$B$12,Paramètres!$A$1:$I$89,3,0)*0.475*44/12</f>
        <v>10.21478801021876</v>
      </c>
      <c r="CM42" s="21">
        <f>EXP(-LN(2)/2)*CM41+(1-EXP(-LN(2)/2))/(LN(2)/2)*CG42*CJ42*VLOOKUP('Données projet'!$B$12,Paramètres!$A$1:$I$89,3,0)*0.475*44/12</f>
        <v>0.57225634688225768</v>
      </c>
      <c r="CN42" s="22">
        <f t="shared" si="12"/>
        <v>27.156251812328787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11.4</v>
      </c>
      <c r="CT42" s="12">
        <f>IF('Données projet'!$A$140&gt;35,CT41+CS42-DB41,IF(A42&lt;'Données projet'!$A$140,$CQ$205^A42,IF(A42='Données projet'!$A$140,'Données projet'!$B$140,CT41+CS42-DB41)))</f>
        <v>216.6</v>
      </c>
      <c r="CU42" s="17">
        <f>CT42*VLOOKUP('Données projet'!$B$13,Paramètres!$A$1:$I$89,3,0)*VLOOKUP('Données projet'!$B$13,Paramètres!$A$1:$I$89,5,0)</f>
        <v>172.32695999999999</v>
      </c>
      <c r="CV42" s="13">
        <f t="shared" si="41"/>
        <v>43.61077213808133</v>
      </c>
      <c r="CW42" s="20">
        <f t="shared" si="13"/>
        <v>376.09155014049156</v>
      </c>
      <c r="CX42" s="59">
        <f t="shared" si="14"/>
        <v>669.42488347382482</v>
      </c>
      <c r="CY42" s="59">
        <f ca="1">AVERAGE(OFFSET($CX$3,0,0,'Données projet'!$E$13+1,1))-AVERAGE(OFFSET($H$3,0,0,'Données projet'!$E$13+1,1))</f>
        <v>279.49721661620544</v>
      </c>
      <c r="CZ42" s="59">
        <f t="shared" si="42"/>
        <v>275.18739333988754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10.486693573562217</v>
      </c>
      <c r="DG42" s="21">
        <f>EXP(-LN(2)/25)*DG41+(1-EXP(-LN(2)/25))/(LN(2)/25)*Calculateur!DB42*Calculateur!DD42*VLOOKUP('Données projet'!$B$13,Paramètres!$A$1:$I$89,3,0)*0.475*44/12</f>
        <v>13.213027652931551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23.699721226493768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22.419230769230751</v>
      </c>
      <c r="N43" s="13">
        <f>IF('Données projet'!$A$36&gt;35,N42+M43-V42,IF(A43&lt;'Données projet'!$A$36,$K$205^A43,IF(A43='Données projet'!$A$36,'Données projet'!$B$36,N42+M43-V42)))</f>
        <v>423.88461538461536</v>
      </c>
      <c r="O43" s="13">
        <f>N43*VLOOKUP('Données projet'!$B$9,Paramètres!$A$1:$I$89,3,0)*VLOOKUP('Données projet'!$B$9,Paramètres!$A$1:$I$89,5,0)</f>
        <v>236.95150000000001</v>
      </c>
      <c r="P43" s="13">
        <f t="shared" si="33"/>
        <v>57.783143668102753</v>
      </c>
      <c r="Q43" s="20">
        <f t="shared" si="53"/>
        <v>513.32950438861235</v>
      </c>
      <c r="R43" s="59">
        <f t="shared" si="0"/>
        <v>806.66283772194561</v>
      </c>
      <c r="S43" s="59">
        <f ca="1">AVERAGE(OFFSET($R$3,0,0,'Données projet'!$E$9+1,1))-AVERAGE(OFFSET($H$3,0,0,'Données projet'!$E$9+1,1))</f>
        <v>278.5296012747549</v>
      </c>
      <c r="T43" s="59">
        <f t="shared" si="34"/>
        <v>370.55343097937077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42.530055722211095</v>
      </c>
      <c r="AA43" s="21">
        <f>EXP(-LN(2)/25)*AA42+(1-EXP(-LN(2)/25))/(LN(2)/25)*Calculateur!V43*Calculateur!X43*VLOOKUP('Données projet'!$B$9,Paramètres!$A$1:$I$89,3,0)*0.475*44/12</f>
        <v>18.062861935828437</v>
      </c>
      <c r="AB43" s="21">
        <f>EXP(-LN(2)/2)*AB42+(1-EXP(-LN(2)/2))/(LN(2)/2)*V43*Y43*VLOOKUP('Données projet'!$B$9,Paramètres!$A$1:$I$89,3,0)*0.475*44/12</f>
        <v>1.6422118926446714</v>
      </c>
      <c r="AC43" s="22">
        <f t="shared" si="3"/>
        <v>62.235129550684206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13.406666666666666</v>
      </c>
      <c r="AI43" s="13">
        <f>IF('Données projet'!$A$62&gt;35,AI42+AH43-AQ42,IF(A43&lt;'Données projet'!$A$62,$AF$205^A43,IF(A43='Données projet'!$A$62,'Données projet'!$B$62,AI42+AH43-AQ42)))</f>
        <v>276.4666666666667</v>
      </c>
      <c r="AJ43" s="13">
        <f>AI43*VLOOKUP('Données projet'!$B$10,Paramètres!$A$1:$I$89,3,0)*VLOOKUP('Données projet'!$B$10,Paramètres!$A$1:$I$89,5,0)</f>
        <v>132.98046666666667</v>
      </c>
      <c r="AK43" s="13">
        <f t="shared" si="35"/>
        <v>34.684146464657424</v>
      </c>
      <c r="AL43" s="20">
        <f t="shared" si="4"/>
        <v>292.01586787038946</v>
      </c>
      <c r="AM43" s="59">
        <f t="shared" si="5"/>
        <v>585.34920120372271</v>
      </c>
      <c r="AN43" s="59">
        <f ca="1">AVERAGE(OFFSET($AM$3,0,0,'Données projet'!$E$10+1,1))-AVERAGE(OFFSET($H$3,0,0,'Données projet'!$E$10+1,1))</f>
        <v>255.05550867459038</v>
      </c>
      <c r="AO43" s="59">
        <f t="shared" si="36"/>
        <v>119.28597757550295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11.443589743589744</v>
      </c>
      <c r="BD43" s="12">
        <f>IF('Données projet'!$A$88&gt;35,BD42+BC43-BL42,IF(A43&lt;'Données projet'!$A$88,$BA$205^A43,IF(A43='Données projet'!$A$88,'Données projet'!$B$88,BD42+BC43-BL42)))</f>
        <v>261.68974358974356</v>
      </c>
      <c r="BE43" s="13">
        <f>BD43*VLOOKUP('Données projet'!$B$11,Paramètres!$A$1:$I$89,3,0)*VLOOKUP('Données projet'!$B$11,Paramètres!$A$1:$I$89,5,0)</f>
        <v>122.47079999999997</v>
      </c>
      <c r="BF43" s="13">
        <f t="shared" si="37"/>
        <v>32.25058748290914</v>
      </c>
      <c r="BG43" s="20">
        <f t="shared" si="7"/>
        <v>269.47308319939998</v>
      </c>
      <c r="BH43" s="59">
        <f t="shared" si="8"/>
        <v>562.80641653273324</v>
      </c>
      <c r="BI43" s="59">
        <f ca="1">AVERAGE(OFFSET($BH$3,0,0,'Données projet'!$E$11+1,1))-AVERAGE(OFFSET($H$3,0,0,'Données projet'!$E$11+1,1))</f>
        <v>181.79645720099597</v>
      </c>
      <c r="BJ43" s="59">
        <f t="shared" si="38"/>
        <v>120.20040029102233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12.740384615384613</v>
      </c>
      <c r="BY43" s="12">
        <f>IF('Données projet'!$A$114&gt;35,BY42+BX43-CG42,IF(A43&lt;'Données projet'!$A$114,$BV$205^A43,IF(A43='Données projet'!$A$114,'Données projet'!$B$114,BY42+BX43-CG42)))</f>
        <v>230.07499999999999</v>
      </c>
      <c r="BZ43" s="13">
        <f>BY43*VLOOKUP('Données projet'!$B$12,Paramètres!$A$1:$I$89,3,0)*VLOOKUP('Données projet'!$B$12,Paramètres!$A$1:$I$89,5,0)</f>
        <v>137.58485000000002</v>
      </c>
      <c r="CA43" s="13">
        <f t="shared" si="39"/>
        <v>35.743169448737028</v>
      </c>
      <c r="CB43" s="20">
        <f t="shared" si="10"/>
        <v>301.87963387321702</v>
      </c>
      <c r="CC43" s="59">
        <f t="shared" si="11"/>
        <v>595.21296720655027</v>
      </c>
      <c r="CD43" s="59">
        <f ca="1">AVERAGE(OFFSET($CC$3,0,0,'Données projet'!$E$12+1,1))-AVERAGE(OFFSET($H$3,0,0,'Données projet'!$E$12+1,1))</f>
        <v>213.18424462765137</v>
      </c>
      <c r="CE43" s="59">
        <f t="shared" si="40"/>
        <v>158.77848520346532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16.048217281261437</v>
      </c>
      <c r="CL43" s="21">
        <f>EXP(-LN(2)/25)*CL42+(1-EXP(-LN(2)/25))/(LN(2)/25)*Calculateur!CG43*Calculateur!CI43*VLOOKUP('Données projet'!$B$12,Paramètres!$A$1:$I$89,3,0)*0.475*44/12</f>
        <v>9.9354640949069726</v>
      </c>
      <c r="CM43" s="21">
        <f>EXP(-LN(2)/2)*CM42+(1-EXP(-LN(2)/2))/(LN(2)/2)*CG43*CJ43*VLOOKUP('Données projet'!$B$12,Paramètres!$A$1:$I$89,3,0)*0.475*44/12</f>
        <v>0.40464634345748562</v>
      </c>
      <c r="CN43" s="22">
        <f t="shared" si="12"/>
        <v>26.388327719625895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228</v>
      </c>
      <c r="CR43" s="12">
        <f>VLOOKUP(A43,'Données projet'!$A$139:$I$159,9,0)</f>
        <v>11.4</v>
      </c>
      <c r="CS43" s="12">
        <f t="array" ref="CS43">INDEX(CR:CR,MIN(IF(ISNUMBER(CR43:CR239),ROW(CR43:CR239),"")))</f>
        <v>11.4</v>
      </c>
      <c r="CT43" s="12">
        <f>IF('Données projet'!$A$140&gt;35,CT42+CS43-DB42,IF(A43&lt;'Données projet'!$A$140,$CQ$205^A43,IF(A43='Données projet'!$A$140,'Données projet'!$B$140,CT42+CS43-DB42)))</f>
        <v>228</v>
      </c>
      <c r="CU43" s="17">
        <f>CT43*VLOOKUP('Données projet'!$B$13,Paramètres!$A$1:$I$89,3,0)*VLOOKUP('Données projet'!$B$13,Paramètres!$A$1:$I$89,5,0)</f>
        <v>181.39680000000001</v>
      </c>
      <c r="CV43" s="13">
        <f t="shared" si="41"/>
        <v>45.63280848550832</v>
      </c>
      <c r="CW43" s="20">
        <f t="shared" si="13"/>
        <v>395.40990144559368</v>
      </c>
      <c r="CX43" s="59">
        <f t="shared" si="14"/>
        <v>688.74323477892699</v>
      </c>
      <c r="CY43" s="59">
        <f ca="1">AVERAGE(OFFSET($CX$3,0,0,'Données projet'!$E$13+1,1))-AVERAGE(OFFSET($H$3,0,0,'Données projet'!$E$13+1,1))</f>
        <v>279.49721661620544</v>
      </c>
      <c r="CZ43" s="59">
        <f t="shared" si="42"/>
        <v>275.18739333988754</v>
      </c>
      <c r="DA43" s="15">
        <f>IF(ISNA(VLOOKUP(A43,'Données projet'!$A$139:$I$159,3,0)),0,VLOOKUP(A43,'Données projet'!$A$139:$I$159,3,0))</f>
        <v>6</v>
      </c>
      <c r="DB43" s="15">
        <f>IF(ISNA(VLOOKUP(A43,'Données projet'!$A$139:$I$159,4,0)),0,VLOOKUP(A43,'Données projet'!$A$139:$I$159,4,0))</f>
        <v>35</v>
      </c>
      <c r="DC43" s="16">
        <f>IF(ISNA(VLOOKUP(A43,'Données projet'!$A$139:$I$159,5,0)),0%,VLOOKUP(A43,'Données projet'!$A$139:$I$159,5,0)*VLOOKUP('Données projet'!$B$13,Paramètres!$A$1:$I$89,7,0))</f>
        <v>0.37630000000000002</v>
      </c>
      <c r="DD43" s="16">
        <f>IF(ISNA(VLOOKUP(A43,'Données projet'!$A$139:$I$159,6,0)),0%,VLOOKUP(A43,'Données projet'!$A$139:$I$159,6,0)*VLOOKUP('Données projet'!$B$13,Paramètres!$A$1:$I$89,7,0))</f>
        <v>0.10600000000000001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21.864671786159132</v>
      </c>
      <c r="DG43" s="21">
        <f>EXP(-LN(2)/25)*DG42+(1-EXP(-LN(2)/25))/(LN(2)/25)*Calculateur!DB43*Calculateur!DD43*VLOOKUP('Données projet'!$B$13,Paramètres!$A$1:$I$89,3,0)*0.475*44/12</f>
        <v>16.10185946844323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37.966531254602359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22.419230769230751</v>
      </c>
      <c r="N44" s="13">
        <f>IF('Données projet'!$A$36&gt;35,N43+M44-V43,IF(A44&lt;'Données projet'!$A$36,$K$205^A44,IF(A44='Données projet'!$A$36,'Données projet'!$B$36,N43+M44-V43)))</f>
        <v>446.30384615384611</v>
      </c>
      <c r="O44" s="13">
        <f>N44*VLOOKUP('Données projet'!$B$9,Paramètres!$A$1:$I$89,3,0)*VLOOKUP('Données projet'!$B$9,Paramètres!$A$1:$I$89,5,0)</f>
        <v>249.48384999999996</v>
      </c>
      <c r="P44" s="13">
        <f t="shared" si="33"/>
        <v>60.475401807280001</v>
      </c>
      <c r="Q44" s="20">
        <f t="shared" si="53"/>
        <v>539.8456968976792</v>
      </c>
      <c r="R44" s="59">
        <f t="shared" si="0"/>
        <v>833.17903023101258</v>
      </c>
      <c r="S44" s="59">
        <f ca="1">AVERAGE(OFFSET($R$3,0,0,'Données projet'!$E$9+1,1))-AVERAGE(OFFSET($H$3,0,0,'Données projet'!$E$9+1,1))</f>
        <v>278.5296012747549</v>
      </c>
      <c r="T44" s="59">
        <f t="shared" si="34"/>
        <v>370.55343097937077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41.696067270271087</v>
      </c>
      <c r="AA44" s="21">
        <f>EXP(-LN(2)/25)*AA43+(1-EXP(-LN(2)/25))/(LN(2)/25)*Calculateur!V44*Calculateur!X44*VLOOKUP('Données projet'!$B$9,Paramètres!$A$1:$I$89,3,0)*0.475*44/12</f>
        <v>17.568932026308584</v>
      </c>
      <c r="AB44" s="21">
        <f>EXP(-LN(2)/2)*AB43+(1-EXP(-LN(2)/2))/(LN(2)/2)*V44*Y44*VLOOKUP('Données projet'!$B$9,Paramètres!$A$1:$I$89,3,0)*0.475*44/12</f>
        <v>1.1612191654342419</v>
      </c>
      <c r="AC44" s="22">
        <f t="shared" si="3"/>
        <v>60.426218462013914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13.406666666666666</v>
      </c>
      <c r="AI44" s="13">
        <f>IF('Données projet'!$A$62&gt;35,AI43+AH44-AQ43,IF(A44&lt;'Données projet'!$A$62,$AF$205^A44,IF(A44='Données projet'!$A$62,'Données projet'!$B$62,AI43+AH44-AQ43)))</f>
        <v>289.87333333333333</v>
      </c>
      <c r="AJ44" s="13">
        <f>AI44*VLOOKUP('Données projet'!$B$10,Paramètres!$A$1:$I$89,3,0)*VLOOKUP('Données projet'!$B$10,Paramètres!$A$1:$I$89,5,0)</f>
        <v>139.42907333333335</v>
      </c>
      <c r="AK44" s="13">
        <f t="shared" si="35"/>
        <v>36.166183123366316</v>
      </c>
      <c r="AL44" s="20">
        <f t="shared" si="4"/>
        <v>305.82840499541857</v>
      </c>
      <c r="AM44" s="59">
        <f t="shared" si="5"/>
        <v>599.16173832875188</v>
      </c>
      <c r="AN44" s="59">
        <f ca="1">AVERAGE(OFFSET($AM$3,0,0,'Données projet'!$E$10+1,1))-AVERAGE(OFFSET($H$3,0,0,'Données projet'!$E$10+1,1))</f>
        <v>255.05550867459038</v>
      </c>
      <c r="AO44" s="59">
        <f t="shared" si="36"/>
        <v>119.28597757550295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11.443589743589744</v>
      </c>
      <c r="BD44" s="12">
        <f>IF('Données projet'!$A$88&gt;35,BD43+BC44-BL43,IF(A44&lt;'Données projet'!$A$88,$BA$205^A44,IF(A44='Données projet'!$A$88,'Données projet'!$B$88,BD43+BC44-BL43)))</f>
        <v>273.13333333333333</v>
      </c>
      <c r="BE44" s="13">
        <f>BD44*VLOOKUP('Données projet'!$B$11,Paramètres!$A$1:$I$89,3,0)*VLOOKUP('Données projet'!$B$11,Paramètres!$A$1:$I$89,5,0)</f>
        <v>127.82639999999999</v>
      </c>
      <c r="BF44" s="13">
        <f t="shared" si="37"/>
        <v>33.493612376128482</v>
      </c>
      <c r="BG44" s="20">
        <f t="shared" si="7"/>
        <v>280.96568822175709</v>
      </c>
      <c r="BH44" s="59">
        <f t="shared" si="8"/>
        <v>574.29902155509035</v>
      </c>
      <c r="BI44" s="59">
        <f ca="1">AVERAGE(OFFSET($BH$3,0,0,'Données projet'!$E$11+1,1))-AVERAGE(OFFSET($H$3,0,0,'Données projet'!$E$11+1,1))</f>
        <v>181.79645720099597</v>
      </c>
      <c r="BJ44" s="59">
        <f t="shared" si="38"/>
        <v>120.20040029102233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>
        <f>VLOOKUP(A44,'Données projet'!$A$113:$I$133,2,0)</f>
        <v>242.81538461538457</v>
      </c>
      <c r="BW44" s="12">
        <f>VLOOKUP(A44,'Données projet'!$A$113:$I$133,9,0)</f>
        <v>12.740384615384613</v>
      </c>
      <c r="BX44" s="12">
        <f t="array" ref="BX44">INDEX(BW:BW,MIN(IF(ISNUMBER(BW44:BW240),ROW(BW44:BW240),"")))</f>
        <v>12.740384615384613</v>
      </c>
      <c r="BY44" s="12">
        <f>IF('Données projet'!$A$114&gt;35,BY43+BX44-CG43,IF(A44&lt;'Données projet'!$A$114,$BV$205^A44,IF(A44='Données projet'!$A$114,'Données projet'!$B$114,BY43+BX44-CG43)))</f>
        <v>242.8153846153846</v>
      </c>
      <c r="BZ44" s="13">
        <f>BY44*VLOOKUP('Données projet'!$B$12,Paramètres!$A$1:$I$89,3,0)*VLOOKUP('Données projet'!$B$12,Paramètres!$A$1:$I$89,5,0)</f>
        <v>145.20359999999999</v>
      </c>
      <c r="CA44" s="13">
        <f t="shared" si="39"/>
        <v>37.4865334633907</v>
      </c>
      <c r="CB44" s="20">
        <f t="shared" si="10"/>
        <v>318.18531578207211</v>
      </c>
      <c r="CC44" s="59">
        <f t="shared" si="11"/>
        <v>611.51864911540542</v>
      </c>
      <c r="CD44" s="59">
        <f ca="1">AVERAGE(OFFSET($CC$3,0,0,'Données projet'!$E$12+1,1))-AVERAGE(OFFSET($H$3,0,0,'Données projet'!$E$12+1,1))</f>
        <v>213.18424462765137</v>
      </c>
      <c r="CE44" s="59">
        <f t="shared" si="40"/>
        <v>158.77848520346532</v>
      </c>
      <c r="CF44" s="15">
        <f>IF(ISNA(VLOOKUP(A44,'Données projet'!$A$113:$I$133,3,0)),0,VLOOKUP(A44,'Données projet'!$A$113:$I$133,3,0))</f>
        <v>4</v>
      </c>
      <c r="CG44" s="15">
        <f>IF(ISNA(VLOOKUP(A44,'Données projet'!$A$113:$I$133,4,0)),0,VLOOKUP(A44,'Données projet'!$A$113:$I$133,4,0))</f>
        <v>58.484615384615381</v>
      </c>
      <c r="CH44" s="16">
        <f>IF(ISNA(VLOOKUP(A44,'Données projet'!$A$113:$I$133,5,0)),0%,VLOOKUP(A44,'Données projet'!$A$113:$I$133,5,0)*VLOOKUP('Données projet'!$B$12,Paramètres!$A$1:$I$89,7,0))</f>
        <v>0.315</v>
      </c>
      <c r="CI44" s="16">
        <f>IF(ISNA(VLOOKUP(A44,'Données projet'!$A$113:$I$133,6,0)),0%,VLOOKUP(A44,'Données projet'!$A$113:$I$133,6,0)*VLOOKUP('Données projet'!$B$12,Paramètres!$A$1:$I$89,7,0))</f>
        <v>7.5600000000000001E-2</v>
      </c>
      <c r="CJ44" s="16">
        <f>IF(ISNA(VLOOKUP(A44,'Données projet'!$A$113:$I$133,7,0)),0%,VLOOKUP(A44,'Données projet'!$A$113:$I$133,7,0))</f>
        <v>0.13200000000000001</v>
      </c>
      <c r="CK44" s="21">
        <f>EXP(-LN(2)/35)*CK43+(1-EXP(-LN(2)/35))/(LN(2)/35)*CG44*CH44*VLOOKUP('Données projet'!$B$12,Paramètres!$A$1:$I$89,3,0)*0.475*44/12</f>
        <v>30.347946513592099</v>
      </c>
      <c r="CL44" s="21">
        <f>EXP(-LN(2)/25)*CL43+(1-EXP(-LN(2)/25))/(LN(2)/25)*Calculateur!CG44*Calculateur!CI44*VLOOKUP('Données projet'!$B$12,Paramètres!$A$1:$I$89,3,0)*0.475*44/12</f>
        <v>13.157430088765832</v>
      </c>
      <c r="CM44" s="21">
        <f>EXP(-LN(2)/2)*CM43+(1-EXP(-LN(2)/2))/(LN(2)/2)*CG44*CJ44*VLOOKUP('Données projet'!$B$12,Paramètres!$A$1:$I$89,3,0)*0.475*44/12</f>
        <v>5.5131256758356351</v>
      </c>
      <c r="CN44" s="22">
        <f t="shared" si="12"/>
        <v>49.018502278193566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9.8000000000000007</v>
      </c>
      <c r="CT44" s="12">
        <f>IF('Données projet'!$A$140&gt;35,CT43+CS44-DB43,IF(A44&lt;'Données projet'!$A$140,$CQ$205^A44,IF(A44='Données projet'!$A$140,'Données projet'!$B$140,CT43+CS44-DB43)))</f>
        <v>202.8</v>
      </c>
      <c r="CU44" s="17">
        <f>CT44*VLOOKUP('Données projet'!$B$13,Paramètres!$A$1:$I$89,3,0)*VLOOKUP('Données projet'!$B$13,Paramètres!$A$1:$I$89,5,0)</f>
        <v>161.34768000000003</v>
      </c>
      <c r="CV44" s="13">
        <f t="shared" si="41"/>
        <v>41.146339844316657</v>
      </c>
      <c r="CW44" s="20">
        <f t="shared" si="13"/>
        <v>352.6770845621848</v>
      </c>
      <c r="CX44" s="59">
        <f t="shared" si="14"/>
        <v>646.01041789551812</v>
      </c>
      <c r="CY44" s="59">
        <f ca="1">AVERAGE(OFFSET($CX$3,0,0,'Données projet'!$E$13+1,1))-AVERAGE(OFFSET($H$3,0,0,'Données projet'!$E$13+1,1))</f>
        <v>279.49721661620544</v>
      </c>
      <c r="CZ44" s="59">
        <f t="shared" si="42"/>
        <v>275.18739333988754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21.435918908565508</v>
      </c>
      <c r="DG44" s="21">
        <f>EXP(-LN(2)/25)*DG43+(1-EXP(-LN(2)/25))/(LN(2)/25)*Calculateur!DB44*Calculateur!DD44*VLOOKUP('Données projet'!$B$13,Paramètres!$A$1:$I$89,3,0)*0.475*44/12</f>
        <v>15.661553274518662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37.097472183084172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468.72307692307686</v>
      </c>
      <c r="L45" s="12">
        <f>VLOOKUP(A45,'Données projet'!$A$35:$I$55,9,0)</f>
        <v>22.419230769230751</v>
      </c>
      <c r="M45" s="12">
        <f t="array" ref="M45">INDEX(L:L,MIN(IF(ISNUMBER(L45:L241),ROW(L45:L241),"")))</f>
        <v>22.419230769230751</v>
      </c>
      <c r="N45" s="13">
        <f>IF('Données projet'!$A$36&gt;35,N44+M45-V44,IF(A45&lt;'Données projet'!$A$36,$K$205^A45,IF(A45='Données projet'!$A$36,'Données projet'!$B$36,N44+M45-V44)))</f>
        <v>468.72307692307686</v>
      </c>
      <c r="O45" s="13">
        <f>N45*VLOOKUP('Données projet'!$B$9,Paramètres!$A$1:$I$89,3,0)*VLOOKUP('Données projet'!$B$9,Paramètres!$A$1:$I$89,5,0)</f>
        <v>262.01619999999997</v>
      </c>
      <c r="P45" s="13">
        <f t="shared" si="33"/>
        <v>63.151956912854622</v>
      </c>
      <c r="Q45" s="20">
        <f t="shared" si="53"/>
        <v>566.33453995655509</v>
      </c>
      <c r="R45" s="59">
        <f t="shared" si="0"/>
        <v>859.66787328988835</v>
      </c>
      <c r="S45" s="59">
        <f ca="1">AVERAGE(OFFSET($R$3,0,0,'Données projet'!$E$9+1,1))-AVERAGE(OFFSET($H$3,0,0,'Données projet'!$E$9+1,1))</f>
        <v>278.5296012747549</v>
      </c>
      <c r="T45" s="59">
        <f t="shared" si="34"/>
        <v>370.55343097937077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0.38500000000000001</v>
      </c>
      <c r="X45" s="16">
        <f>IF(ISNA(VLOOKUP(A45,'Données projet'!$A$35:$I$55,6,0)),0%,VLOOKUP(A45,'Données projet'!$A$35:$I$55,6,0)*VLOOKUP('Données projet'!$B$9,Paramètres!$A$1:$I$89,7,0))</f>
        <v>9.240000000000001E-2</v>
      </c>
      <c r="Y45" s="16">
        <f>IF(ISNA(VLOOKUP(A45,'Données projet'!$A$35:$I$55,7,0)),0%,VLOOKUP(A45,'Données projet'!$A$35:$I$55,7,0))</f>
        <v>0.13200000000000001</v>
      </c>
      <c r="Z45" s="21">
        <f>EXP(-LN(2)/35)*Z44+(1-EXP(-LN(2)/35))/(LN(2)/35)*V45*W45*VLOOKUP('Données projet'!$B$9,Paramètres!$A$1:$I$89,3,0)*0.475*44/12</f>
        <v>61.831684880697594</v>
      </c>
      <c r="AA45" s="21">
        <f>EXP(-LN(2)/25)*AA44+(1-EXP(-LN(2)/25))/(LN(2)/25)*Calculateur!V45*Calculateur!X45*VLOOKUP('Données projet'!$B$9,Paramètres!$A$1:$I$89,3,0)*0.475*44/12</f>
        <v>22.097488925021114</v>
      </c>
      <c r="AB45" s="21">
        <f>EXP(-LN(2)/2)*AB44+(1-EXP(-LN(2)/2))/(LN(2)/2)*V45*Y45*VLOOKUP('Données projet'!$B$9,Paramètres!$A$1:$I$89,3,0)*0.475*44/12</f>
        <v>6.9526777981796624</v>
      </c>
      <c r="AC45" s="22">
        <f t="shared" si="3"/>
        <v>90.881851603898369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13.406666666666666</v>
      </c>
      <c r="AI45" s="13">
        <f>IF('Données projet'!$A$62&gt;35,AI44+AH45-AQ44,IF(A45&lt;'Données projet'!$A$62,$AF$205^A45,IF(A45='Données projet'!$A$62,'Données projet'!$B$62,AI44+AH45-AQ44)))</f>
        <v>303.27999999999997</v>
      </c>
      <c r="AJ45" s="13">
        <f>AI45*VLOOKUP('Données projet'!$B$10,Paramètres!$A$1:$I$89,3,0)*VLOOKUP('Données projet'!$B$10,Paramètres!$A$1:$I$89,5,0)</f>
        <v>145.87768</v>
      </c>
      <c r="AK45" s="13">
        <f t="shared" si="35"/>
        <v>37.640259664166322</v>
      </c>
      <c r="AL45" s="20">
        <f t="shared" si="4"/>
        <v>319.62707824842295</v>
      </c>
      <c r="AM45" s="59">
        <f t="shared" si="5"/>
        <v>612.96041158175626</v>
      </c>
      <c r="AN45" s="59">
        <f ca="1">AVERAGE(OFFSET($AM$3,0,0,'Données projet'!$E$10+1,1))-AVERAGE(OFFSET($H$3,0,0,'Données projet'!$E$10+1,1))</f>
        <v>255.05550867459038</v>
      </c>
      <c r="AO45" s="59">
        <f t="shared" si="36"/>
        <v>119.28597757550295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11.443589743589744</v>
      </c>
      <c r="BD45" s="12">
        <f>IF('Données projet'!$A$88&gt;35,BD44+BC45-BL44,IF(A45&lt;'Données projet'!$A$88,$BA$205^A45,IF(A45='Données projet'!$A$88,'Données projet'!$B$88,BD44+BC45-BL44)))</f>
        <v>284.57692307692309</v>
      </c>
      <c r="BE45" s="13">
        <f>BD45*VLOOKUP('Données projet'!$B$11,Paramètres!$A$1:$I$89,3,0)*VLOOKUP('Données projet'!$B$11,Paramètres!$A$1:$I$89,5,0)</f>
        <v>133.18200000000002</v>
      </c>
      <c r="BF45" s="13">
        <f t="shared" si="37"/>
        <v>34.730588096149795</v>
      </c>
      <c r="BG45" s="20">
        <f t="shared" si="7"/>
        <v>292.44775760079426</v>
      </c>
      <c r="BH45" s="59">
        <f t="shared" si="8"/>
        <v>585.78109093412763</v>
      </c>
      <c r="BI45" s="59">
        <f ca="1">AVERAGE(OFFSET($BH$3,0,0,'Données projet'!$E$11+1,1))-AVERAGE(OFFSET($H$3,0,0,'Données projet'!$E$11+1,1))</f>
        <v>181.79645720099597</v>
      </c>
      <c r="BJ45" s="59">
        <f t="shared" si="38"/>
        <v>120.20040029102233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11.861538461538462</v>
      </c>
      <c r="BY45" s="12">
        <f>IF('Données projet'!$A$114&gt;35,BY44+BX45-CG44,IF(A45&lt;'Données projet'!$A$114,$BV$205^A45,IF(A45='Données projet'!$A$114,'Données projet'!$B$114,BY44+BX45-CG44)))</f>
        <v>196.19230769230768</v>
      </c>
      <c r="BZ45" s="13">
        <f>BY45*VLOOKUP('Données projet'!$B$12,Paramètres!$A$1:$I$89,3,0)*VLOOKUP('Données projet'!$B$12,Paramètres!$A$1:$I$89,5,0)</f>
        <v>117.32300000000001</v>
      </c>
      <c r="CA45" s="13">
        <f t="shared" si="39"/>
        <v>31.049815552357138</v>
      </c>
      <c r="CB45" s="20">
        <f t="shared" si="10"/>
        <v>258.41598708702196</v>
      </c>
      <c r="CC45" s="59">
        <f t="shared" si="11"/>
        <v>551.74932042035528</v>
      </c>
      <c r="CD45" s="59">
        <f ca="1">AVERAGE(OFFSET($CC$3,0,0,'Données projet'!$E$12+1,1))-AVERAGE(OFFSET($H$3,0,0,'Données projet'!$E$12+1,1))</f>
        <v>213.18424462765137</v>
      </c>
      <c r="CE45" s="59">
        <f t="shared" si="40"/>
        <v>158.77848520346532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29.752841792880179</v>
      </c>
      <c r="CL45" s="21">
        <f>EXP(-LN(2)/25)*CL44+(1-EXP(-LN(2)/25))/(LN(2)/25)*Calculateur!CG45*Calculateur!CI45*VLOOKUP('Données projet'!$B$12,Paramètres!$A$1:$I$89,3,0)*0.475*44/12</f>
        <v>12.797639471069353</v>
      </c>
      <c r="CM45" s="21">
        <f>EXP(-LN(2)/2)*CM44+(1-EXP(-LN(2)/2))/(LN(2)/2)*CG45*CJ45*VLOOKUP('Données projet'!$B$12,Paramètres!$A$1:$I$89,3,0)*0.475*44/12</f>
        <v>3.8983685509170458</v>
      </c>
      <c r="CN45" s="22">
        <f t="shared" si="12"/>
        <v>46.448849814866584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9.8000000000000007</v>
      </c>
      <c r="CT45" s="12">
        <f>IF('Données projet'!$A$140&gt;35,CT44+CS45-DB44,IF(A45&lt;'Données projet'!$A$140,$CQ$205^A45,IF(A45='Données projet'!$A$140,'Données projet'!$B$140,CT44+CS45-DB44)))</f>
        <v>212.60000000000002</v>
      </c>
      <c r="CU45" s="17">
        <f>CT45*VLOOKUP('Données projet'!$B$13,Paramètres!$A$1:$I$89,3,0)*VLOOKUP('Données projet'!$B$13,Paramètres!$A$1:$I$89,5,0)</f>
        <v>169.14456000000004</v>
      </c>
      <c r="CV45" s="13">
        <f t="shared" si="41"/>
        <v>42.898377267189964</v>
      </c>
      <c r="CW45" s="20">
        <f t="shared" si="13"/>
        <v>369.30811574035596</v>
      </c>
      <c r="CX45" s="59">
        <f t="shared" si="14"/>
        <v>662.64144907368927</v>
      </c>
      <c r="CY45" s="59">
        <f ca="1">AVERAGE(OFFSET($CX$3,0,0,'Données projet'!$E$13+1,1))-AVERAGE(OFFSET($H$3,0,0,'Données projet'!$E$13+1,1))</f>
        <v>279.49721661620544</v>
      </c>
      <c r="CZ45" s="59">
        <f t="shared" si="42"/>
        <v>275.18739333988754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21.01557361338806</v>
      </c>
      <c r="DG45" s="21">
        <f>EXP(-LN(2)/25)*DG44+(1-EXP(-LN(2)/25))/(LN(2)/25)*Calculateur!DB45*Calculateur!DD45*VLOOKUP('Données projet'!$B$13,Paramètres!$A$1:$I$89,3,0)*0.475*44/12</f>
        <v>15.233287276621658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36.248860890009716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21.625641025641034</v>
      </c>
      <c r="N46" s="13">
        <f>IF('Données projet'!$A$36&gt;35,N45+M46-V45,IF(A46&lt;'Données projet'!$A$36,$K$205^A46,IF(A46='Données projet'!$A$36,'Données projet'!$B$36,N45+M46-V45)))</f>
        <v>416.95641025641021</v>
      </c>
      <c r="O46" s="13">
        <f>N46*VLOOKUP('Données projet'!$B$9,Paramètres!$A$1:$I$89,3,0)*VLOOKUP('Données projet'!$B$9,Paramètres!$A$1:$I$89,5,0)</f>
        <v>233.0786333333333</v>
      </c>
      <c r="P46" s="13">
        <f t="shared" si="33"/>
        <v>56.947838023653489</v>
      </c>
      <c r="Q46" s="20">
        <f t="shared" si="53"/>
        <v>505.1294376134187</v>
      </c>
      <c r="R46" s="59">
        <f t="shared" si="0"/>
        <v>798.46277094675202</v>
      </c>
      <c r="S46" s="59">
        <f ca="1">AVERAGE(OFFSET($R$3,0,0,'Données projet'!$E$9+1,1))-AVERAGE(OFFSET($H$3,0,0,'Données projet'!$E$9+1,1))</f>
        <v>278.5296012747549</v>
      </c>
      <c r="T46" s="59">
        <f t="shared" si="34"/>
        <v>370.55343097937077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60.619203253790985</v>
      </c>
      <c r="AA46" s="21">
        <f>EXP(-LN(2)/25)*AA45+(1-EXP(-LN(2)/25))/(LN(2)/25)*Calculateur!V46*Calculateur!X46*VLOOKUP('Données projet'!$B$9,Paramètres!$A$1:$I$89,3,0)*0.475*44/12</f>
        <v>21.493231928309974</v>
      </c>
      <c r="AB46" s="21">
        <f>EXP(-LN(2)/2)*AB45+(1-EXP(-LN(2)/2))/(LN(2)/2)*V46*Y46*VLOOKUP('Données projet'!$B$9,Paramètres!$A$1:$I$89,3,0)*0.475*44/12</f>
        <v>4.9162856184979935</v>
      </c>
      <c r="AC46" s="22">
        <f t="shared" si="3"/>
        <v>87.028720800598961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13.406666666666666</v>
      </c>
      <c r="AI46" s="13">
        <f>IF('Données projet'!$A$62&gt;35,AI45+AH46-AQ45,IF(A46&lt;'Données projet'!$A$62,$AF$205^A46,IF(A46='Données projet'!$A$62,'Données projet'!$B$62,AI45+AH46-AQ45)))</f>
        <v>316.68666666666661</v>
      </c>
      <c r="AJ46" s="13">
        <f>AI46*VLOOKUP('Données projet'!$B$10,Paramètres!$A$1:$I$89,3,0)*VLOOKUP('Données projet'!$B$10,Paramètres!$A$1:$I$89,5,0)</f>
        <v>152.32628666666665</v>
      </c>
      <c r="AK46" s="13">
        <f t="shared" si="35"/>
        <v>39.106768179488313</v>
      </c>
      <c r="AL46" s="20">
        <f t="shared" si="4"/>
        <v>333.41257052371992</v>
      </c>
      <c r="AM46" s="59">
        <f t="shared" si="5"/>
        <v>626.74590385705324</v>
      </c>
      <c r="AN46" s="59">
        <f ca="1">AVERAGE(OFFSET($AM$3,0,0,'Données projet'!$E$10+1,1))-AVERAGE(OFFSET($H$3,0,0,'Données projet'!$E$10+1,1))</f>
        <v>255.05550867459038</v>
      </c>
      <c r="AO46" s="59">
        <f t="shared" si="36"/>
        <v>119.28597757550295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11.443589743589744</v>
      </c>
      <c r="BD46" s="12">
        <f>IF('Données projet'!$A$88&gt;35,BD45+BC46-BL45,IF(A46&lt;'Données projet'!$A$88,$BA$205^A46,IF(A46='Données projet'!$A$88,'Données projet'!$B$88,BD45+BC46-BL45)))</f>
        <v>296.02051282051286</v>
      </c>
      <c r="BE46" s="13">
        <f>BD46*VLOOKUP('Données projet'!$B$11,Paramètres!$A$1:$I$89,3,0)*VLOOKUP('Données projet'!$B$11,Paramètres!$A$1:$I$89,5,0)</f>
        <v>138.53760000000003</v>
      </c>
      <c r="BF46" s="13">
        <f t="shared" si="37"/>
        <v>35.9617857252005</v>
      </c>
      <c r="BG46" s="20">
        <f t="shared" si="7"/>
        <v>303.91976347139087</v>
      </c>
      <c r="BH46" s="59">
        <f t="shared" si="8"/>
        <v>597.25309680472424</v>
      </c>
      <c r="BI46" s="59">
        <f ca="1">AVERAGE(OFFSET($BH$3,0,0,'Données projet'!$E$11+1,1))-AVERAGE(OFFSET($H$3,0,0,'Données projet'!$E$11+1,1))</f>
        <v>181.79645720099597</v>
      </c>
      <c r="BJ46" s="59">
        <f t="shared" si="38"/>
        <v>120.20040029102233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11.861538461538462</v>
      </c>
      <c r="BY46" s="12">
        <f>IF('Données projet'!$A$114&gt;35,BY45+BX46-CG45,IF(A46&lt;'Données projet'!$A$114,$BV$205^A46,IF(A46='Données projet'!$A$114,'Données projet'!$B$114,BY45+BX46-CG45)))</f>
        <v>208.05384615384614</v>
      </c>
      <c r="BZ46" s="13">
        <f>BY46*VLOOKUP('Données projet'!$B$12,Paramètres!$A$1:$I$89,3,0)*VLOOKUP('Données projet'!$B$12,Paramètres!$A$1:$I$89,5,0)</f>
        <v>124.4162</v>
      </c>
      <c r="CA46" s="13">
        <f t="shared" si="39"/>
        <v>32.702828934083335</v>
      </c>
      <c r="CB46" s="20">
        <f t="shared" si="10"/>
        <v>273.64897539352847</v>
      </c>
      <c r="CC46" s="59">
        <f t="shared" si="11"/>
        <v>566.98230872686179</v>
      </c>
      <c r="CD46" s="59">
        <f ca="1">AVERAGE(OFFSET($CC$3,0,0,'Données projet'!$E$12+1,1))-AVERAGE(OFFSET($H$3,0,0,'Données projet'!$E$12+1,1))</f>
        <v>213.18424462765137</v>
      </c>
      <c r="CE46" s="59">
        <f t="shared" si="40"/>
        <v>158.77848520346532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29.169406712763383</v>
      </c>
      <c r="CL46" s="21">
        <f>EXP(-LN(2)/25)*CL45+(1-EXP(-LN(2)/25))/(LN(2)/25)*Calculateur!CG46*Calculateur!CI46*VLOOKUP('Données projet'!$B$12,Paramètres!$A$1:$I$89,3,0)*0.475*44/12</f>
        <v>12.447687346734352</v>
      </c>
      <c r="CM46" s="21">
        <f>EXP(-LN(2)/2)*CM45+(1-EXP(-LN(2)/2))/(LN(2)/2)*CG46*CJ46*VLOOKUP('Données projet'!$B$12,Paramètres!$A$1:$I$89,3,0)*0.475*44/12</f>
        <v>2.756562837917818</v>
      </c>
      <c r="CN46" s="22">
        <f t="shared" si="12"/>
        <v>44.37365689741555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9.8000000000000007</v>
      </c>
      <c r="CT46" s="12">
        <f>IF('Données projet'!$A$140&gt;35,CT45+CS46-DB45,IF(A46&lt;'Données projet'!$A$140,$CQ$205^A46,IF(A46='Données projet'!$A$140,'Données projet'!$B$140,CT45+CS46-DB45)))</f>
        <v>222.40000000000003</v>
      </c>
      <c r="CU46" s="17">
        <f>CT46*VLOOKUP('Données projet'!$B$13,Paramètres!$A$1:$I$89,3,0)*VLOOKUP('Données projet'!$B$13,Paramètres!$A$1:$I$89,5,0)</f>
        <v>176.94144000000003</v>
      </c>
      <c r="CV46" s="13">
        <f t="shared" si="41"/>
        <v>44.641035679901449</v>
      </c>
      <c r="CW46" s="20">
        <f t="shared" si="13"/>
        <v>385.92281180916171</v>
      </c>
      <c r="CX46" s="59">
        <f t="shared" si="14"/>
        <v>679.25614514249503</v>
      </c>
      <c r="CY46" s="59">
        <f ca="1">AVERAGE(OFFSET($CX$3,0,0,'Données projet'!$E$13+1,1))-AVERAGE(OFFSET($H$3,0,0,'Données projet'!$E$13+1,1))</f>
        <v>279.49721661620544</v>
      </c>
      <c r="CZ46" s="59">
        <f t="shared" si="42"/>
        <v>275.18739333988754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20.60347103306373</v>
      </c>
      <c r="DG46" s="21">
        <f>EXP(-LN(2)/25)*DG45+(1-EXP(-LN(2)/25))/(LN(2)/25)*Calculateur!DB46*Calculateur!DD46*VLOOKUP('Données projet'!$B$13,Paramètres!$A$1:$I$89,3,0)*0.475*44/12</f>
        <v>14.816732234958677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35.420203268022405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21.625641025641034</v>
      </c>
      <c r="N47" s="13">
        <f>IF('Données projet'!$A$36&gt;35,N46+M47-V46,IF(A47&lt;'Données projet'!$A$36,$K$205^A47,IF(A47='Données projet'!$A$36,'Données projet'!$B$36,N46+M47-V46)))</f>
        <v>438.58205128205122</v>
      </c>
      <c r="O47" s="13">
        <f>N47*VLOOKUP('Données projet'!$B$9,Paramètres!$A$1:$I$89,3,0)*VLOOKUP('Données projet'!$B$9,Paramètres!$A$1:$I$89,5,0)</f>
        <v>245.16736666666665</v>
      </c>
      <c r="P47" s="13">
        <f t="shared" si="33"/>
        <v>59.549932468183236</v>
      </c>
      <c r="Q47" s="20">
        <f t="shared" si="53"/>
        <v>530.71596265986352</v>
      </c>
      <c r="R47" s="59">
        <f t="shared" si="0"/>
        <v>824.04929599319689</v>
      </c>
      <c r="S47" s="59">
        <f ca="1">AVERAGE(OFFSET($R$3,0,0,'Données projet'!$E$9+1,1))-AVERAGE(OFFSET($H$3,0,0,'Données projet'!$E$9+1,1))</f>
        <v>278.5296012747549</v>
      </c>
      <c r="T47" s="59">
        <f t="shared" si="34"/>
        <v>370.55343097937077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59.430497652047244</v>
      </c>
      <c r="AA47" s="21">
        <f>EXP(-LN(2)/25)*AA46+(1-EXP(-LN(2)/25))/(LN(2)/25)*Calculateur!V47*Calculateur!X47*VLOOKUP('Données projet'!$B$9,Paramètres!$A$1:$I$89,3,0)*0.475*44/12</f>
        <v>20.905498370950394</v>
      </c>
      <c r="AB47" s="21">
        <f>EXP(-LN(2)/2)*AB46+(1-EXP(-LN(2)/2))/(LN(2)/2)*V47*Y47*VLOOKUP('Données projet'!$B$9,Paramètres!$A$1:$I$89,3,0)*0.475*44/12</f>
        <v>3.4763388990898312</v>
      </c>
      <c r="AC47" s="22">
        <f t="shared" si="3"/>
        <v>83.812334922087459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13.406666666666666</v>
      </c>
      <c r="AI47" s="13">
        <f>IF('Données projet'!$A$62&gt;35,AI46+AH47-AQ46,IF(A47&lt;'Données projet'!$A$62,$AF$205^A47,IF(A47='Données projet'!$A$62,'Données projet'!$B$62,AI46+AH47-AQ46)))</f>
        <v>330.09333333333325</v>
      </c>
      <c r="AJ47" s="13">
        <f>AI47*VLOOKUP('Données projet'!$B$10,Paramètres!$A$1:$I$89,3,0)*VLOOKUP('Données projet'!$B$10,Paramètres!$A$1:$I$89,5,0)</f>
        <v>158.7748933333333</v>
      </c>
      <c r="AK47" s="13">
        <f t="shared" si="35"/>
        <v>40.566065686083562</v>
      </c>
      <c r="AL47" s="20">
        <f t="shared" si="4"/>
        <v>347.18550362548439</v>
      </c>
      <c r="AM47" s="59">
        <f t="shared" si="5"/>
        <v>640.5188369588177</v>
      </c>
      <c r="AN47" s="59">
        <f ca="1">AVERAGE(OFFSET($AM$3,0,0,'Données projet'!$E$10+1,1))-AVERAGE(OFFSET($H$3,0,0,'Données projet'!$E$10+1,1))</f>
        <v>255.05550867459038</v>
      </c>
      <c r="AO47" s="59">
        <f t="shared" si="36"/>
        <v>119.28597757550295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11.443589743589744</v>
      </c>
      <c r="BD47" s="12">
        <f>IF('Données projet'!$A$88&gt;35,BD46+BC47-BL46,IF(A47&lt;'Données projet'!$A$88,$BA$205^A47,IF(A47='Données projet'!$A$88,'Données projet'!$B$88,BD46+BC47-BL46)))</f>
        <v>307.46410256410263</v>
      </c>
      <c r="BE47" s="13">
        <f>BD47*VLOOKUP('Données projet'!$B$11,Paramètres!$A$1:$I$89,3,0)*VLOOKUP('Données projet'!$B$11,Paramètres!$A$1:$I$89,5,0)</f>
        <v>143.89320000000004</v>
      </c>
      <c r="BF47" s="13">
        <f t="shared" si="37"/>
        <v>37.187454199603145</v>
      </c>
      <c r="BG47" s="20">
        <f t="shared" si="7"/>
        <v>315.38213939764222</v>
      </c>
      <c r="BH47" s="59">
        <f t="shared" si="8"/>
        <v>608.71547273097553</v>
      </c>
      <c r="BI47" s="59">
        <f ca="1">AVERAGE(OFFSET($BH$3,0,0,'Données projet'!$E$11+1,1))-AVERAGE(OFFSET($H$3,0,0,'Données projet'!$E$11+1,1))</f>
        <v>181.79645720099597</v>
      </c>
      <c r="BJ47" s="59">
        <f t="shared" si="38"/>
        <v>120.20040029102233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11.861538461538462</v>
      </c>
      <c r="BY47" s="12">
        <f>IF('Données projet'!$A$114&gt;35,BY46+BX47-CG46,IF(A47&lt;'Données projet'!$A$114,$BV$205^A47,IF(A47='Données projet'!$A$114,'Données projet'!$B$114,BY46+BX47-CG46)))</f>
        <v>219.9153846153846</v>
      </c>
      <c r="BZ47" s="13">
        <f>BY47*VLOOKUP('Données projet'!$B$12,Paramètres!$A$1:$I$89,3,0)*VLOOKUP('Données projet'!$B$12,Paramètres!$A$1:$I$89,5,0)</f>
        <v>131.5094</v>
      </c>
      <c r="CA47" s="13">
        <f t="shared" si="39"/>
        <v>34.344902681781569</v>
      </c>
      <c r="CB47" s="20">
        <f t="shared" si="10"/>
        <v>288.8629105041029</v>
      </c>
      <c r="CC47" s="59">
        <f t="shared" si="11"/>
        <v>582.19624383743621</v>
      </c>
      <c r="CD47" s="59">
        <f ca="1">AVERAGE(OFFSET($CC$3,0,0,'Données projet'!$E$12+1,1))-AVERAGE(OFFSET($H$3,0,0,'Données projet'!$E$12+1,1))</f>
        <v>213.18424462765137</v>
      </c>
      <c r="CE47" s="59">
        <f t="shared" si="40"/>
        <v>158.77848520346532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28.597412438707416</v>
      </c>
      <c r="CL47" s="21">
        <f>EXP(-LN(2)/25)*CL46+(1-EXP(-LN(2)/25))/(LN(2)/25)*Calculateur!CG47*Calculateur!CI47*VLOOKUP('Données projet'!$B$12,Paramètres!$A$1:$I$89,3,0)*0.475*44/12</f>
        <v>12.107304681642473</v>
      </c>
      <c r="CM47" s="21">
        <f>EXP(-LN(2)/2)*CM46+(1-EXP(-LN(2)/2))/(LN(2)/2)*CG47*CJ47*VLOOKUP('Données projet'!$B$12,Paramètres!$A$1:$I$89,3,0)*0.475*44/12</f>
        <v>1.9491842754585231</v>
      </c>
      <c r="CN47" s="22">
        <f t="shared" si="12"/>
        <v>42.653901395808411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9.8000000000000007</v>
      </c>
      <c r="CT47" s="12">
        <f>IF('Données projet'!$A$140&gt;35,CT46+CS47-DB46,IF(A47&lt;'Données projet'!$A$140,$CQ$205^A47,IF(A47='Données projet'!$A$140,'Données projet'!$B$140,CT46+CS47-DB46)))</f>
        <v>232.20000000000005</v>
      </c>
      <c r="CU47" s="17">
        <f>CT47*VLOOKUP('Données projet'!$B$13,Paramètres!$A$1:$I$89,3,0)*VLOOKUP('Données projet'!$B$13,Paramètres!$A$1:$I$89,5,0)</f>
        <v>184.73832000000004</v>
      </c>
      <c r="CV47" s="13">
        <f t="shared" si="41"/>
        <v>46.374775595471988</v>
      </c>
      <c r="CW47" s="20">
        <f t="shared" si="13"/>
        <v>402.52197482878046</v>
      </c>
      <c r="CX47" s="59">
        <f t="shared" si="14"/>
        <v>695.85530816211372</v>
      </c>
      <c r="CY47" s="59">
        <f ca="1">AVERAGE(OFFSET($CX$3,0,0,'Données projet'!$E$13+1,1))-AVERAGE(OFFSET($H$3,0,0,'Données projet'!$E$13+1,1))</f>
        <v>279.49721661620544</v>
      </c>
      <c r="CZ47" s="59">
        <f t="shared" si="42"/>
        <v>275.18739333988754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20.199449532981806</v>
      </c>
      <c r="DG47" s="21">
        <f>EXP(-LN(2)/25)*DG46+(1-EXP(-LN(2)/25))/(LN(2)/25)*Calculateur!DB47*Calculateur!DD47*VLOOKUP('Données projet'!$B$13,Paramètres!$A$1:$I$89,3,0)*0.475*44/12</f>
        <v>14.411567912815647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34.611017445797451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21.625641025641034</v>
      </c>
      <c r="N48" s="13">
        <f>IF('Données projet'!$A$36&gt;35,N47+M48-V47,IF(A48&lt;'Données projet'!$A$36,$K$205^A48,IF(A48='Données projet'!$A$36,'Données projet'!$B$36,N47+M48-V47)))</f>
        <v>460.20769230769224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278.5296012747549</v>
      </c>
      <c r="T48" s="59">
        <f t="shared" si="34"/>
        <v>370.55343097937077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58.265101842114873</v>
      </c>
      <c r="AA48" s="21">
        <f>EXP(-LN(2)/25)*AA47+(1-EXP(-LN(2)/25))/(LN(2)/25)*Calculateur!V48*Calculateur!X48*VLOOKUP('Données projet'!$B$9,Paramètres!$A$1:$I$89,3,0)*0.475*44/12</f>
        <v>20.333836418624376</v>
      </c>
      <c r="AB48" s="21">
        <f>EXP(-LN(2)/2)*AB47+(1-EXP(-LN(2)/2))/(LN(2)/2)*V48*Y48*VLOOKUP('Données projet'!$B$9,Paramètres!$A$1:$I$89,3,0)*0.475*44/12</f>
        <v>2.4581428092489968</v>
      </c>
      <c r="AC48" s="22">
        <f t="shared" si="3"/>
        <v>81.057081069988243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343.5</v>
      </c>
      <c r="AG48" s="12">
        <f>VLOOKUP(A48,'Données projet'!$A$61:$I$81,9,0)</f>
        <v>13.406666666666666</v>
      </c>
      <c r="AH48" s="12">
        <f t="array" ref="AH48">INDEX(AG:AG,MIN(IF(ISNUMBER(AG48:AG244),ROW(AG48:AG244),"")))</f>
        <v>13.406666666666666</v>
      </c>
      <c r="AI48" s="13">
        <f>IF('Données projet'!$A$62&gt;35,AI47+AH48-AQ47,IF(A48&lt;'Données projet'!$A$62,$AF$205^A48,IF(A48='Données projet'!$A$62,'Données projet'!$B$62,AI47+AH48-AQ47)))</f>
        <v>343.49999999999989</v>
      </c>
      <c r="AJ48" s="13">
        <f>AI48*VLOOKUP('Données projet'!$B$10,Paramètres!$A$1:$I$89,3,0)*VLOOKUP('Données projet'!$B$10,Paramètres!$A$1:$I$89,5,0)</f>
        <v>165.22349999999994</v>
      </c>
      <c r="AK48" s="13">
        <f t="shared" si="35"/>
        <v>42.018478559185546</v>
      </c>
      <c r="AL48" s="20">
        <f t="shared" si="4"/>
        <v>360.94644599058137</v>
      </c>
      <c r="AM48" s="59">
        <f t="shared" si="5"/>
        <v>654.27977932391468</v>
      </c>
      <c r="AN48" s="59">
        <f ca="1">AVERAGE(OFFSET($AM$3,0,0,'Données projet'!$E$10+1,1))-AVERAGE(OFFSET($H$3,0,0,'Données projet'!$E$10+1,1))</f>
        <v>255.05550867459038</v>
      </c>
      <c r="AO48" s="59">
        <f t="shared" si="36"/>
        <v>119.28597757550295</v>
      </c>
      <c r="AP48" s="15">
        <f>IF(ISNA(VLOOKUP(A48,'Données projet'!$A$61:$I$81,3,0)),0,VLOOKUP(A48,'Données projet'!$A$61:$I$81,3,0))</f>
        <v>1</v>
      </c>
      <c r="AQ48" s="15">
        <f>IF(ISNA(VLOOKUP(A48,'Données projet'!$A$61:$I$81,4,0)),0,VLOOKUP(A48,'Données projet'!$A$61:$I$81,4,0))</f>
        <v>146.30000000000001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0.30800000000000005</v>
      </c>
      <c r="AT48" s="16">
        <f>IF(ISNA(VLOOKUP(A48,'Données projet'!$A$61:$I$81,7,0)),0%,VLOOKUP(A48,'Données projet'!$A$61:$I$81,7,0))</f>
        <v>0.44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28.638819831449705</v>
      </c>
      <c r="AW48" s="21">
        <f>EXP(-LN(2)/2)*AW47+(1-EXP(-LN(2)/2))/(LN(2)/2)*AQ48*AT48*VLOOKUP('Données projet'!$B$10,Paramètres!$A$1:$I$89,3,0)*0.475*44/12</f>
        <v>35.057231636515738</v>
      </c>
      <c r="AX48" s="21">
        <f t="shared" si="6"/>
        <v>63.696051467965447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11.443589743589744</v>
      </c>
      <c r="BD48" s="12">
        <f>IF('Données projet'!$A$88&gt;35,BD47+BC48-BL47,IF(A48&lt;'Données projet'!$A$88,$BA$205^A48,IF(A48='Données projet'!$A$88,'Données projet'!$B$88,BD47+BC48-BL47)))</f>
        <v>318.9076923076924</v>
      </c>
      <c r="BE48" s="13">
        <f>BD48*VLOOKUP('Données projet'!$B$11,Paramètres!$A$1:$I$89,3,0)*VLOOKUP('Données projet'!$B$11,Paramètres!$A$1:$I$89,5,0)</f>
        <v>149.24880000000005</v>
      </c>
      <c r="BF48" s="13">
        <f t="shared" si="37"/>
        <v>38.40782287536252</v>
      </c>
      <c r="BG48" s="20">
        <f t="shared" si="7"/>
        <v>326.83528484125645</v>
      </c>
      <c r="BH48" s="59">
        <f t="shared" si="8"/>
        <v>620.16861817458971</v>
      </c>
      <c r="BI48" s="59">
        <f ca="1">AVERAGE(OFFSET($BH$3,0,0,'Données projet'!$E$11+1,1))-AVERAGE(OFFSET($H$3,0,0,'Données projet'!$E$11+1,1))</f>
        <v>181.79645720099597</v>
      </c>
      <c r="BJ48" s="59">
        <f t="shared" si="38"/>
        <v>120.20040029102233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11.861538461538462</v>
      </c>
      <c r="BY48" s="12">
        <f>IF('Données projet'!$A$114&gt;35,BY47+BX48-CG47,IF(A48&lt;'Données projet'!$A$114,$BV$205^A48,IF(A48='Données projet'!$A$114,'Données projet'!$B$114,BY47+BX48-CG47)))</f>
        <v>231.77692307692305</v>
      </c>
      <c r="BZ48" s="13">
        <f>BY48*VLOOKUP('Données projet'!$B$12,Paramètres!$A$1:$I$89,3,0)*VLOOKUP('Données projet'!$B$12,Paramètres!$A$1:$I$89,5,0)</f>
        <v>138.6026</v>
      </c>
      <c r="CA48" s="13">
        <f t="shared" si="39"/>
        <v>35.976694116938198</v>
      </c>
      <c r="CB48" s="20">
        <f t="shared" si="10"/>
        <v>304.05893725366735</v>
      </c>
      <c r="CC48" s="59">
        <f t="shared" si="11"/>
        <v>597.39227058700067</v>
      </c>
      <c r="CD48" s="59">
        <f ca="1">AVERAGE(OFFSET($CC$3,0,0,'Données projet'!$E$12+1,1))-AVERAGE(OFFSET($H$3,0,0,'Données projet'!$E$12+1,1))</f>
        <v>213.18424462765137</v>
      </c>
      <c r="CE48" s="59">
        <f t="shared" si="40"/>
        <v>158.77848520346532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28.036634623483629</v>
      </c>
      <c r="CL48" s="21">
        <f>EXP(-LN(2)/25)*CL47+(1-EXP(-LN(2)/25))/(LN(2)/25)*Calculateur!CG48*Calculateur!CI48*VLOOKUP('Données projet'!$B$12,Paramètres!$A$1:$I$89,3,0)*0.475*44/12</f>
        <v>11.776229798427478</v>
      </c>
      <c r="CM48" s="21">
        <f>EXP(-LN(2)/2)*CM47+(1-EXP(-LN(2)/2))/(LN(2)/2)*CG48*CJ48*VLOOKUP('Données projet'!$B$12,Paramètres!$A$1:$I$89,3,0)*0.475*44/12</f>
        <v>1.3782814189589092</v>
      </c>
      <c r="CN48" s="22">
        <f t="shared" si="12"/>
        <v>41.191145840870014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242</v>
      </c>
      <c r="CR48" s="12">
        <f>VLOOKUP(A48,'Données projet'!$A$139:$I$159,9,0)</f>
        <v>9.8000000000000007</v>
      </c>
      <c r="CS48" s="12">
        <f t="array" ref="CS48">INDEX(CR:CR,MIN(IF(ISNUMBER(CR48:CR244),ROW(CR48:CR244),"")))</f>
        <v>9.8000000000000007</v>
      </c>
      <c r="CT48" s="12">
        <f>IF('Données projet'!$A$140&gt;35,CT47+CS48-DB47,IF(A48&lt;'Données projet'!$A$140,$CQ$205^A48,IF(A48='Données projet'!$A$140,'Données projet'!$B$140,CT47+CS48-DB47)))</f>
        <v>242.00000000000006</v>
      </c>
      <c r="CU48" s="17">
        <f>CT48*VLOOKUP('Données projet'!$B$13,Paramètres!$A$1:$I$89,3,0)*VLOOKUP('Données projet'!$B$13,Paramètres!$A$1:$I$89,5,0)</f>
        <v>192.53520000000006</v>
      </c>
      <c r="CV48" s="13">
        <f t="shared" si="41"/>
        <v>48.100016456123079</v>
      </c>
      <c r="CW48" s="20">
        <f t="shared" si="13"/>
        <v>419.10633532774779</v>
      </c>
      <c r="CX48" s="59">
        <f t="shared" si="14"/>
        <v>712.4396686610811</v>
      </c>
      <c r="CY48" s="59">
        <f ca="1">AVERAGE(OFFSET($CX$3,0,0,'Données projet'!$E$13+1,1))-AVERAGE(OFFSET($H$3,0,0,'Données projet'!$E$13+1,1))</f>
        <v>279.49721661620544</v>
      </c>
      <c r="CZ48" s="59">
        <f t="shared" si="42"/>
        <v>275.18739333988754</v>
      </c>
      <c r="DA48" s="15">
        <f>IF(ISNA(VLOOKUP(A48,'Données projet'!$A$139:$I$159,3,0)),0,VLOOKUP(A48,'Données projet'!$A$139:$I$159,3,0))</f>
        <v>7</v>
      </c>
      <c r="DB48" s="15">
        <f>IF(ISNA(VLOOKUP(A48,'Données projet'!$A$139:$I$159,4,0)),0,VLOOKUP(A48,'Données projet'!$A$139:$I$159,4,0))</f>
        <v>24</v>
      </c>
      <c r="DC48" s="16">
        <f>IF(ISNA(VLOOKUP(A48,'Données projet'!$A$139:$I$159,5,0)),0%,VLOOKUP(A48,'Données projet'!$A$139:$I$159,5,0)*VLOOKUP('Données projet'!$B$13,Paramètres!$A$1:$I$89,7,0))</f>
        <v>0.43990000000000001</v>
      </c>
      <c r="DD48" s="16">
        <f>IF(ISNA(VLOOKUP(A48,'Données projet'!$A$139:$I$159,6,0)),0%,VLOOKUP(A48,'Données projet'!$A$139:$I$159,6,0)*VLOOKUP('Données projet'!$B$13,Paramètres!$A$1:$I$89,7,0))</f>
        <v>6.8900000000000003E-2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29.088889009305952</v>
      </c>
      <c r="DG48" s="21">
        <f>EXP(-LN(2)/25)*DG47+(1-EXP(-LN(2)/25))/(LN(2)/25)*Calculateur!DB48*Calculateur!DD48*VLOOKUP('Données projet'!$B$13,Paramètres!$A$1:$I$89,3,0)*0.475*44/12</f>
        <v>15.466117885333276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44.555006894639227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21.625641025641034</v>
      </c>
      <c r="N49" s="13">
        <f>IF('Données projet'!$A$36&gt;35,N48+M49-V48,IF(A49&lt;'Données projet'!$A$36,$K$205^A49,IF(A49='Données projet'!$A$36,'Données projet'!$B$36,N48+M49-V48)))</f>
        <v>481.83333333333326</v>
      </c>
      <c r="O49" s="13">
        <f>N49*VLOOKUP('Données projet'!$B$9,Paramètres!$A$1:$I$89,3,0)*VLOOKUP('Données projet'!$B$9,Paramètres!$A$1:$I$89,5,0)</f>
        <v>269.34483333333333</v>
      </c>
      <c r="P49" s="13">
        <f t="shared" si="33"/>
        <v>64.710206731812576</v>
      </c>
      <c r="Q49" s="20">
        <f t="shared" si="53"/>
        <v>581.81252811346246</v>
      </c>
      <c r="R49" s="59">
        <f t="shared" si="0"/>
        <v>875.14586144679583</v>
      </c>
      <c r="S49" s="59">
        <f ca="1">AVERAGE(OFFSET($R$3,0,0,'Données projet'!$E$9+1,1))-AVERAGE(OFFSET($H$3,0,0,'Données projet'!$E$9+1,1))</f>
        <v>278.5296012747549</v>
      </c>
      <c r="T49" s="59">
        <f t="shared" si="34"/>
        <v>370.55343097937077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57.122558733194019</v>
      </c>
      <c r="AA49" s="21">
        <f>EXP(-LN(2)/25)*AA48+(1-EXP(-LN(2)/25))/(LN(2)/25)*Calculateur!V49*Calculateur!X49*VLOOKUP('Données projet'!$B$9,Paramètres!$A$1:$I$89,3,0)*0.475*44/12</f>
        <v>19.77780659244711</v>
      </c>
      <c r="AB49" s="21">
        <f>EXP(-LN(2)/2)*AB48+(1-EXP(-LN(2)/2))/(LN(2)/2)*V49*Y49*VLOOKUP('Données projet'!$B$9,Paramètres!$A$1:$I$89,3,0)*0.475*44/12</f>
        <v>1.7381694495449156</v>
      </c>
      <c r="AC49" s="22">
        <f t="shared" si="3"/>
        <v>78.638534775186045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18.985714285714291</v>
      </c>
      <c r="AI49" s="13">
        <f>IF('Données projet'!$A$62&gt;35,AI48+AH49-AQ48,IF(A49&lt;'Données projet'!$A$62,$AF$205^A49,IF(A49='Données projet'!$A$62,'Données projet'!$B$62,AI48+AH49-AQ48)))</f>
        <v>216.18571428571414</v>
      </c>
      <c r="AJ49" s="13">
        <f>AI49*VLOOKUP('Données projet'!$B$10,Paramètres!$A$1:$I$89,3,0)*VLOOKUP('Données projet'!$B$10,Paramètres!$A$1:$I$89,5,0)</f>
        <v>103.98532857142851</v>
      </c>
      <c r="AK49" s="13">
        <f t="shared" si="35"/>
        <v>27.909276901057058</v>
      </c>
      <c r="AL49" s="20">
        <f t="shared" si="4"/>
        <v>229.71643786457904</v>
      </c>
      <c r="AM49" s="59">
        <f t="shared" si="5"/>
        <v>523.04977119791238</v>
      </c>
      <c r="AN49" s="59">
        <f ca="1">AVERAGE(OFFSET($AM$3,0,0,'Données projet'!$E$10+1,1))-AVERAGE(OFFSET($H$3,0,0,'Données projet'!$E$10+1,1))</f>
        <v>255.05550867459038</v>
      </c>
      <c r="AO49" s="59">
        <f t="shared" si="36"/>
        <v>119.28597757550295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27.855689797108631</v>
      </c>
      <c r="AW49" s="21">
        <f>EXP(-LN(2)/2)*AW48+(1-EXP(-LN(2)/2))/(LN(2)/2)*AQ49*AT49*VLOOKUP('Données projet'!$B$10,Paramètres!$A$1:$I$89,3,0)*0.475*44/12</f>
        <v>24.789206219807848</v>
      </c>
      <c r="AX49" s="21">
        <f t="shared" si="6"/>
        <v>52.644896016916476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11.443589743589744</v>
      </c>
      <c r="BD49" s="12">
        <f>IF('Données projet'!$A$88&gt;35,BD48+BC49-BL48,IF(A49&lt;'Données projet'!$A$88,$BA$205^A49,IF(A49='Données projet'!$A$88,'Données projet'!$B$88,BD48+BC49-BL48)))</f>
        <v>330.35128205128217</v>
      </c>
      <c r="BE49" s="13">
        <f>BD49*VLOOKUP('Données projet'!$B$11,Paramètres!$A$1:$I$89,3,0)*VLOOKUP('Données projet'!$B$11,Paramètres!$A$1:$I$89,5,0)</f>
        <v>154.60440000000006</v>
      </c>
      <c r="BF49" s="13">
        <f t="shared" si="37"/>
        <v>39.623103715153171</v>
      </c>
      <c r="BG49" s="20">
        <f t="shared" si="7"/>
        <v>338.2795689705585</v>
      </c>
      <c r="BH49" s="59">
        <f t="shared" si="8"/>
        <v>631.61290230389181</v>
      </c>
      <c r="BI49" s="59">
        <f ca="1">AVERAGE(OFFSET($BH$3,0,0,'Données projet'!$E$11+1,1))-AVERAGE(OFFSET($H$3,0,0,'Données projet'!$E$11+1,1))</f>
        <v>181.79645720099597</v>
      </c>
      <c r="BJ49" s="59">
        <f t="shared" si="38"/>
        <v>120.20040029102233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11.861538461538462</v>
      </c>
      <c r="BY49" s="12">
        <f>IF('Données projet'!$A$114&gt;35,BY48+BX49-CG48,IF(A49&lt;'Données projet'!$A$114,$BV$205^A49,IF(A49='Données projet'!$A$114,'Données projet'!$B$114,BY48+BX49-CG48)))</f>
        <v>243.63846153846151</v>
      </c>
      <c r="BZ49" s="13">
        <f>BY49*VLOOKUP('Données projet'!$B$12,Paramètres!$A$1:$I$89,3,0)*VLOOKUP('Données projet'!$B$12,Paramètres!$A$1:$I$89,5,0)</f>
        <v>145.69579999999999</v>
      </c>
      <c r="CA49" s="13">
        <f t="shared" si="39"/>
        <v>37.598789481990465</v>
      </c>
      <c r="CB49" s="20">
        <f t="shared" si="10"/>
        <v>319.23807668113335</v>
      </c>
      <c r="CC49" s="59">
        <f t="shared" si="11"/>
        <v>612.57141001446666</v>
      </c>
      <c r="CD49" s="59">
        <f ca="1">AVERAGE(OFFSET($CC$3,0,0,'Données projet'!$E$12+1,1))-AVERAGE(OFFSET($H$3,0,0,'Données projet'!$E$12+1,1))</f>
        <v>213.18424462765137</v>
      </c>
      <c r="CE49" s="59">
        <f t="shared" si="40"/>
        <v>158.77848520346532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27.486853319175687</v>
      </c>
      <c r="CL49" s="21">
        <f>EXP(-LN(2)/25)*CL48+(1-EXP(-LN(2)/25))/(LN(2)/25)*Calculateur!CG49*Calculateur!CI49*VLOOKUP('Données projet'!$B$12,Paramètres!$A$1:$I$89,3,0)*0.475*44/12</f>
        <v>11.454208175304467</v>
      </c>
      <c r="CM49" s="21">
        <f>EXP(-LN(2)/2)*CM48+(1-EXP(-LN(2)/2))/(LN(2)/2)*CG49*CJ49*VLOOKUP('Données projet'!$B$12,Paramètres!$A$1:$I$89,3,0)*0.475*44/12</f>
        <v>0.97459213772926168</v>
      </c>
      <c r="CN49" s="22">
        <f t="shared" si="12"/>
        <v>39.915653632209413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8.6</v>
      </c>
      <c r="CT49" s="12">
        <f>IF('Données projet'!$A$140&gt;35,CT48+CS49-DB48,IF(A49&lt;'Données projet'!$A$140,$CQ$205^A49,IF(A49='Données projet'!$A$140,'Données projet'!$B$140,CT48+CS49-DB48)))</f>
        <v>226.60000000000005</v>
      </c>
      <c r="CU49" s="17">
        <f>CT49*VLOOKUP('Données projet'!$B$13,Paramètres!$A$1:$I$89,3,0)*VLOOKUP('Données projet'!$B$13,Paramètres!$A$1:$I$89,5,0)</f>
        <v>180.28296000000006</v>
      </c>
      <c r="CV49" s="13">
        <f t="shared" si="41"/>
        <v>45.385133797071397</v>
      </c>
      <c r="CW49" s="20">
        <f t="shared" si="13"/>
        <v>393.03859669656612</v>
      </c>
      <c r="CX49" s="59">
        <f t="shared" si="14"/>
        <v>686.37193002989943</v>
      </c>
      <c r="CY49" s="59">
        <f ca="1">AVERAGE(OFFSET($CX$3,0,0,'Données projet'!$E$13+1,1))-AVERAGE(OFFSET($H$3,0,0,'Données projet'!$E$13+1,1))</f>
        <v>279.49721661620544</v>
      </c>
      <c r="CZ49" s="59">
        <f t="shared" si="42"/>
        <v>275.18739333988754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28.518473638303835</v>
      </c>
      <c r="DG49" s="21">
        <f>EXP(-LN(2)/25)*DG48+(1-EXP(-LN(2)/25))/(LN(2)/25)*Calculateur!DB49*Calculateur!DD49*VLOOKUP('Données projet'!$B$13,Paramètres!$A$1:$I$89,3,0)*0.475*44/12</f>
        <v>15.043196078431047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43.561669716734883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21.625641025641034</v>
      </c>
      <c r="N50" s="13">
        <f>IF('Données projet'!$A$36&gt;35,N49+M50-V49,IF(A50&lt;'Données projet'!$A$36,$K$205^A50,IF(A50='Données projet'!$A$36,'Données projet'!$B$36,N49+M50-V49)))</f>
        <v>503.45897435897427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278.5296012747549</v>
      </c>
      <c r="T50" s="59">
        <f t="shared" si="34"/>
        <v>370.55343097937077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56.002420197756614</v>
      </c>
      <c r="AA50" s="21">
        <f>EXP(-LN(2)/25)*AA49+(1-EXP(-LN(2)/25))/(LN(2)/25)*Calculateur!V50*Calculateur!X50*VLOOKUP('Données projet'!$B$9,Paramètres!$A$1:$I$89,3,0)*0.475*44/12</f>
        <v>19.236981431106997</v>
      </c>
      <c r="AB50" s="21">
        <f>EXP(-LN(2)/2)*AB49+(1-EXP(-LN(2)/2))/(LN(2)/2)*V50*Y50*VLOOKUP('Données projet'!$B$9,Paramètres!$A$1:$I$89,3,0)*0.475*44/12</f>
        <v>1.2290714046244984</v>
      </c>
      <c r="AC50" s="22">
        <f t="shared" si="3"/>
        <v>76.46847303348811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18.985714285714291</v>
      </c>
      <c r="AI50" s="13">
        <f>IF('Données projet'!$A$62&gt;35,AI49+AH50-AQ49,IF(A50&lt;'Données projet'!$A$62,$AF$205^A50,IF(A50='Données projet'!$A$62,'Données projet'!$B$62,AI49+AH50-AQ49)))</f>
        <v>235.17142857142844</v>
      </c>
      <c r="AJ50" s="13">
        <f>AI50*VLOOKUP('Données projet'!$B$10,Paramètres!$A$1:$I$89,3,0)*VLOOKUP('Données projet'!$B$10,Paramètres!$A$1:$I$89,5,0)</f>
        <v>113.11745714285708</v>
      </c>
      <c r="AK50" s="13">
        <f t="shared" si="35"/>
        <v>30.06428288626325</v>
      </c>
      <c r="AL50" s="20">
        <f t="shared" si="4"/>
        <v>249.37486388405125</v>
      </c>
      <c r="AM50" s="59">
        <f t="shared" si="5"/>
        <v>542.70819721738462</v>
      </c>
      <c r="AN50" s="59">
        <f ca="1">AVERAGE(OFFSET($AM$3,0,0,'Données projet'!$E$10+1,1))-AVERAGE(OFFSET($H$3,0,0,'Données projet'!$E$10+1,1))</f>
        <v>255.05550867459038</v>
      </c>
      <c r="AO50" s="59">
        <f t="shared" si="36"/>
        <v>119.28597757550295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27.093974494739633</v>
      </c>
      <c r="AW50" s="21">
        <f>EXP(-LN(2)/2)*AW49+(1-EXP(-LN(2)/2))/(LN(2)/2)*AQ50*AT50*VLOOKUP('Données projet'!$B$10,Paramètres!$A$1:$I$89,3,0)*0.475*44/12</f>
        <v>17.528615818257872</v>
      </c>
      <c r="AX50" s="21">
        <f t="shared" si="6"/>
        <v>44.622590312997502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11.443589743589744</v>
      </c>
      <c r="BD50" s="12">
        <f>IF('Données projet'!$A$88&gt;35,BD49+BC50-BL49,IF(A50&lt;'Données projet'!$A$88,$BA$205^A50,IF(A50='Données projet'!$A$88,'Données projet'!$B$88,BD49+BC50-BL49)))</f>
        <v>341.79487179487194</v>
      </c>
      <c r="BE50" s="13">
        <f>BD50*VLOOKUP('Données projet'!$B$11,Paramètres!$A$1:$I$89,3,0)*VLOOKUP('Données projet'!$B$11,Paramètres!$A$1:$I$89,5,0)</f>
        <v>159.96000000000006</v>
      </c>
      <c r="BF50" s="13">
        <f t="shared" si="37"/>
        <v>40.833493163758575</v>
      </c>
      <c r="BG50" s="20">
        <f t="shared" si="7"/>
        <v>349.71533392687957</v>
      </c>
      <c r="BH50" s="59">
        <f t="shared" si="8"/>
        <v>643.04866726021282</v>
      </c>
      <c r="BI50" s="59">
        <f ca="1">AVERAGE(OFFSET($BH$3,0,0,'Données projet'!$E$11+1,1))-AVERAGE(OFFSET($H$3,0,0,'Données projet'!$E$11+1,1))</f>
        <v>181.79645720099597</v>
      </c>
      <c r="BJ50" s="59">
        <f t="shared" si="38"/>
        <v>120.20040029102233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11.861538461538462</v>
      </c>
      <c r="BY50" s="12">
        <f>IF('Données projet'!$A$114&gt;35,BY49+BX50-CG49,IF(A50&lt;'Données projet'!$A$114,$BV$205^A50,IF(A50='Données projet'!$A$114,'Données projet'!$B$114,BY49+BX50-CG49)))</f>
        <v>255.49999999999997</v>
      </c>
      <c r="BZ50" s="13">
        <f>BY50*VLOOKUP('Données projet'!$B$12,Paramètres!$A$1:$I$89,3,0)*VLOOKUP('Données projet'!$B$12,Paramètres!$A$1:$I$89,5,0)</f>
        <v>152.78899999999999</v>
      </c>
      <c r="CA50" s="13">
        <f t="shared" si="39"/>
        <v>39.211714711932316</v>
      </c>
      <c r="CB50" s="20">
        <f t="shared" si="10"/>
        <v>334.40124478994869</v>
      </c>
      <c r="CC50" s="59">
        <f t="shared" si="11"/>
        <v>627.73457812328206</v>
      </c>
      <c r="CD50" s="59">
        <f ca="1">AVERAGE(OFFSET($CC$3,0,0,'Données projet'!$E$12+1,1))-AVERAGE(OFFSET($H$3,0,0,'Données projet'!$E$12+1,1))</f>
        <v>213.18424462765137</v>
      </c>
      <c r="CE50" s="59">
        <f t="shared" si="40"/>
        <v>158.77848520346532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26.947852890911737</v>
      </c>
      <c r="CL50" s="21">
        <f>EXP(-LN(2)/25)*CL49+(1-EXP(-LN(2)/25))/(LN(2)/25)*Calculateur!CG50*Calculateur!CI50*VLOOKUP('Données projet'!$B$12,Paramètres!$A$1:$I$89,3,0)*0.475*44/12</f>
        <v>11.140992250400137</v>
      </c>
      <c r="CM50" s="21">
        <f>EXP(-LN(2)/2)*CM49+(1-EXP(-LN(2)/2))/(LN(2)/2)*CG50*CJ50*VLOOKUP('Données projet'!$B$12,Paramètres!$A$1:$I$89,3,0)*0.475*44/12</f>
        <v>0.68914070947945472</v>
      </c>
      <c r="CN50" s="22">
        <f t="shared" si="12"/>
        <v>38.777985850791325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8.6</v>
      </c>
      <c r="CT50" s="12">
        <f>IF('Données projet'!$A$140&gt;35,CT49+CS50-DB49,IF(A50&lt;'Données projet'!$A$140,$CQ$205^A50,IF(A50='Données projet'!$A$140,'Données projet'!$B$140,CT49+CS50-DB49)))</f>
        <v>235.20000000000005</v>
      </c>
      <c r="CU50" s="17">
        <f>CT50*VLOOKUP('Données projet'!$B$13,Paramètres!$A$1:$I$89,3,0)*VLOOKUP('Données projet'!$B$13,Paramètres!$A$1:$I$89,5,0)</f>
        <v>187.12512000000004</v>
      </c>
      <c r="CV50" s="13">
        <f t="shared" si="41"/>
        <v>46.903794805770545</v>
      </c>
      <c r="CW50" s="20">
        <f t="shared" si="13"/>
        <v>407.60035995338376</v>
      </c>
      <c r="CX50" s="59">
        <f t="shared" si="14"/>
        <v>700.93369328671702</v>
      </c>
      <c r="CY50" s="59">
        <f ca="1">AVERAGE(OFFSET($CX$3,0,0,'Données projet'!$E$13+1,1))-AVERAGE(OFFSET($H$3,0,0,'Données projet'!$E$13+1,1))</f>
        <v>279.49721661620544</v>
      </c>
      <c r="CZ50" s="59">
        <f t="shared" si="42"/>
        <v>275.18739333988754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27.959243764808047</v>
      </c>
      <c r="DG50" s="21">
        <f>EXP(-LN(2)/25)*DG49+(1-EXP(-LN(2)/25))/(LN(2)/25)*Calculateur!DB50*Calculateur!DD50*VLOOKUP('Données projet'!$B$13,Paramètres!$A$1:$I$89,3,0)*0.475*44/12</f>
        <v>14.631839090579049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42.5910828553871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21.625641025641034</v>
      </c>
      <c r="M51" s="12">
        <f t="array" ref="M51">INDEX(L:L,MIN(IF(ISNUMBER(L51:L247),ROW(L51:L247),"")))</f>
        <v>21.625641025641034</v>
      </c>
      <c r="N51" s="13">
        <f>IF('Données projet'!$A$36&gt;35,N50+M51-V50,IF(A51&lt;'Données projet'!$A$36,$K$205^A51,IF(A51='Données projet'!$A$36,'Données projet'!$B$36,N50+M51-V50)))</f>
        <v>525.08461538461529</v>
      </c>
      <c r="O51" s="13">
        <f>N51*VLOOKUP('Données projet'!$B$9,Paramètres!$A$1:$I$89,3,0)*VLOOKUP('Données projet'!$B$9,Paramètres!$A$1:$I$89,5,0)</f>
        <v>293.52229999999997</v>
      </c>
      <c r="P51" s="13">
        <f t="shared" si="33"/>
        <v>69.816768342057628</v>
      </c>
      <c r="Q51" s="20">
        <f t="shared" si="53"/>
        <v>632.81554402908364</v>
      </c>
      <c r="R51" s="59">
        <f t="shared" si="0"/>
        <v>926.1488773624169</v>
      </c>
      <c r="S51" s="59">
        <f ca="1">AVERAGE(OFFSET($R$3,0,0,'Données projet'!$E$9+1,1))-AVERAGE(OFFSET($H$3,0,0,'Données projet'!$E$9+1,1))</f>
        <v>278.5296012747549</v>
      </c>
      <c r="T51" s="59">
        <f t="shared" si="34"/>
        <v>370.55343097937077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0.38500000000000001</v>
      </c>
      <c r="X51" s="16">
        <f>IF(ISNA(VLOOKUP(A51,'Données projet'!$A$35:$I$55,6,0)),0%,VLOOKUP(A51,'Données projet'!$A$35:$I$55,6,0)*VLOOKUP('Données projet'!$B$9,Paramètres!$A$1:$I$89,7,0))</f>
        <v>9.240000000000001E-2</v>
      </c>
      <c r="Y51" s="16">
        <f>IF(ISNA(VLOOKUP(A51,'Données projet'!$A$35:$I$55,7,0)),0%,VLOOKUP(A51,'Données projet'!$A$35:$I$55,7,0))</f>
        <v>0.13200000000000001</v>
      </c>
      <c r="Z51" s="21">
        <f>EXP(-LN(2)/35)*Z50+(1-EXP(-LN(2)/35))/(LN(2)/35)*V51*W51*VLOOKUP('Données projet'!$B$9,Paramètres!$A$1:$I$89,3,0)*0.475*44/12</f>
        <v>78.12390248786032</v>
      </c>
      <c r="AA51" s="21">
        <f>EXP(-LN(2)/25)*AA50+(1-EXP(-LN(2)/25))/(LN(2)/25)*Calculateur!V51*Calculateur!X51*VLOOKUP('Données projet'!$B$9,Paramètres!$A$1:$I$89,3,0)*0.475*44/12</f>
        <v>24.261720592795644</v>
      </c>
      <c r="AB51" s="21">
        <f>EXP(-LN(2)/2)*AB50+(1-EXP(-LN(2)/2))/(LN(2)/2)*V51*Y51*VLOOKUP('Données projet'!$B$9,Paramètres!$A$1:$I$89,3,0)*0.475*44/12</f>
        <v>7.6638765903722392</v>
      </c>
      <c r="AC51" s="22">
        <f t="shared" si="3"/>
        <v>110.0494996710282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18.985714285714291</v>
      </c>
      <c r="AI51" s="13">
        <f>IF('Données projet'!$A$62&gt;35,AI50+AH51-AQ50,IF(A51&lt;'Données projet'!$A$62,$AF$205^A51,IF(A51='Données projet'!$A$62,'Données projet'!$B$62,AI50+AH51-AQ50)))</f>
        <v>254.15714285714273</v>
      </c>
      <c r="AJ51" s="13">
        <f>AI51*VLOOKUP('Données projet'!$B$10,Paramètres!$A$1:$I$89,3,0)*VLOOKUP('Données projet'!$B$10,Paramètres!$A$1:$I$89,5,0)</f>
        <v>122.24958571428566</v>
      </c>
      <c r="AK51" s="13">
        <f t="shared" si="35"/>
        <v>32.199109723517935</v>
      </c>
      <c r="AL51" s="20">
        <f t="shared" si="4"/>
        <v>268.99814455417459</v>
      </c>
      <c r="AM51" s="59">
        <f t="shared" si="5"/>
        <v>562.33147788750784</v>
      </c>
      <c r="AN51" s="59">
        <f ca="1">AVERAGE(OFFSET($AM$3,0,0,'Données projet'!$E$10+1,1))-AVERAGE(OFFSET($H$3,0,0,'Données projet'!$E$10+1,1))</f>
        <v>255.05550867459038</v>
      </c>
      <c r="AO51" s="59">
        <f t="shared" si="36"/>
        <v>119.28597757550295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26.353088337370785</v>
      </c>
      <c r="AW51" s="21">
        <f>EXP(-LN(2)/2)*AW50+(1-EXP(-LN(2)/2))/(LN(2)/2)*AQ51*AT51*VLOOKUP('Données projet'!$B$10,Paramètres!$A$1:$I$89,3,0)*0.475*44/12</f>
        <v>12.394603109903926</v>
      </c>
      <c r="AX51" s="21">
        <f t="shared" si="6"/>
        <v>38.747691447274711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11.443589743589744</v>
      </c>
      <c r="BD51" s="12">
        <f>IF('Données projet'!$A$88&gt;35,BD50+BC51-BL50,IF(A51&lt;'Données projet'!$A$88,$BA$205^A51,IF(A51='Données projet'!$A$88,'Données projet'!$B$88,BD50+BC51-BL50)))</f>
        <v>353.23846153846171</v>
      </c>
      <c r="BE51" s="13">
        <f>BD51*VLOOKUP('Données projet'!$B$11,Paramètres!$A$1:$I$89,3,0)*VLOOKUP('Données projet'!$B$11,Paramètres!$A$1:$I$89,5,0)</f>
        <v>165.31560000000007</v>
      </c>
      <c r="BF51" s="13">
        <f t="shared" si="37"/>
        <v>42.039173765288623</v>
      </c>
      <c r="BG51" s="20">
        <f t="shared" si="7"/>
        <v>361.14289764121116</v>
      </c>
      <c r="BH51" s="59">
        <f t="shared" si="8"/>
        <v>654.47623097454448</v>
      </c>
      <c r="BI51" s="59">
        <f ca="1">AVERAGE(OFFSET($BH$3,0,0,'Données projet'!$E$11+1,1))-AVERAGE(OFFSET($H$3,0,0,'Données projet'!$E$11+1,1))</f>
        <v>181.79645720099597</v>
      </c>
      <c r="BJ51" s="59">
        <f t="shared" si="38"/>
        <v>120.20040029102233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11.861538461538462</v>
      </c>
      <c r="BY51" s="12">
        <f>IF('Données projet'!$A$114&gt;35,BY50+BX51-CG50,IF(A51&lt;'Données projet'!$A$114,$BV$205^A51,IF(A51='Données projet'!$A$114,'Données projet'!$B$114,BY50+BX51-CG50)))</f>
        <v>267.36153846153843</v>
      </c>
      <c r="BZ51" s="13">
        <f>BY51*VLOOKUP('Données projet'!$B$12,Paramètres!$A$1:$I$89,3,0)*VLOOKUP('Données projet'!$B$12,Paramètres!$A$1:$I$89,5,0)</f>
        <v>159.88219999999998</v>
      </c>
      <c r="CA51" s="13">
        <f t="shared" si="39"/>
        <v>40.815944149041762</v>
      </c>
      <c r="CB51" s="20">
        <f t="shared" si="10"/>
        <v>349.54926772624771</v>
      </c>
      <c r="CC51" s="59">
        <f t="shared" si="11"/>
        <v>642.88260105958102</v>
      </c>
      <c r="CD51" s="59">
        <f ca="1">AVERAGE(OFFSET($CC$3,0,0,'Données projet'!$E$12+1,1))-AVERAGE(OFFSET($H$3,0,0,'Données projet'!$E$12+1,1))</f>
        <v>213.18424462765137</v>
      </c>
      <c r="CE51" s="59">
        <f t="shared" si="40"/>
        <v>158.77848520346532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26.419421932288245</v>
      </c>
      <c r="CL51" s="21">
        <f>EXP(-LN(2)/25)*CL50+(1-EXP(-LN(2)/25))/(LN(2)/25)*Calculateur!CG51*Calculateur!CI51*VLOOKUP('Données projet'!$B$12,Paramètres!$A$1:$I$89,3,0)*0.475*44/12</f>
        <v>10.836341231433625</v>
      </c>
      <c r="CM51" s="21">
        <f>EXP(-LN(2)/2)*CM50+(1-EXP(-LN(2)/2))/(LN(2)/2)*CG51*CJ51*VLOOKUP('Données projet'!$B$12,Paramètres!$A$1:$I$89,3,0)*0.475*44/12</f>
        <v>0.48729606886463095</v>
      </c>
      <c r="CN51" s="22">
        <f t="shared" si="12"/>
        <v>37.743059232586496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8.6</v>
      </c>
      <c r="CT51" s="12">
        <f>IF('Données projet'!$A$140&gt;35,CT50+CS51-DB50,IF(A51&lt;'Données projet'!$A$140,$CQ$205^A51,IF(A51='Données projet'!$A$140,'Données projet'!$B$140,CT50+CS51-DB50)))</f>
        <v>243.80000000000004</v>
      </c>
      <c r="CU51" s="17">
        <f>CT51*VLOOKUP('Données projet'!$B$13,Paramètres!$A$1:$I$89,3,0)*VLOOKUP('Données projet'!$B$13,Paramètres!$A$1:$I$89,5,0)</f>
        <v>193.96728000000004</v>
      </c>
      <c r="CV51" s="13">
        <f t="shared" si="41"/>
        <v>48.41600442423902</v>
      </c>
      <c r="CW51" s="20">
        <f t="shared" si="13"/>
        <v>422.15088703888301</v>
      </c>
      <c r="CX51" s="59">
        <f t="shared" si="14"/>
        <v>715.48422037221633</v>
      </c>
      <c r="CY51" s="59">
        <f ca="1">AVERAGE(OFFSET($CX$3,0,0,'Données projet'!$E$13+1,1))-AVERAGE(OFFSET($H$3,0,0,'Données projet'!$E$13+1,1))</f>
        <v>279.49721661620544</v>
      </c>
      <c r="CZ51" s="59">
        <f t="shared" si="42"/>
        <v>275.18739333988754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27.410980048034968</v>
      </c>
      <c r="DG51" s="21">
        <f>EXP(-LN(2)/25)*DG50+(1-EXP(-LN(2)/25))/(LN(2)/25)*Calculateur!DB51*Calculateur!DD51*VLOOKUP('Données projet'!$B$13,Paramètres!$A$1:$I$89,3,0)*0.475*44/12</f>
        <v>14.23173068119219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41.642710729227161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464.26153846153835</v>
      </c>
      <c r="O52" s="13">
        <f>N52*VLOOKUP('Données projet'!$B$9,Paramètres!$A$1:$I$89,3,0)*VLOOKUP('Données projet'!$B$9,Paramètres!$A$1:$I$89,5,0)</f>
        <v>259.52219999999994</v>
      </c>
      <c r="P52" s="13">
        <f t="shared" si="33"/>
        <v>62.620519404058925</v>
      </c>
      <c r="Q52" s="20">
        <f t="shared" si="53"/>
        <v>561.06523629540254</v>
      </c>
      <c r="R52" s="59">
        <f t="shared" si="0"/>
        <v>854.39856962873591</v>
      </c>
      <c r="S52" s="59">
        <f ca="1">AVERAGE(OFFSET($R$3,0,0,'Données projet'!$E$9+1,1))-AVERAGE(OFFSET($H$3,0,0,'Données projet'!$E$9+1,1))</f>
        <v>278.5296012747549</v>
      </c>
      <c r="T52" s="59">
        <f t="shared" si="34"/>
        <v>370.55343097937077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76.591940410948766</v>
      </c>
      <c r="AA52" s="21">
        <f>EXP(-LN(2)/25)*AA51+(1-EXP(-LN(2)/25))/(LN(2)/25)*Calculateur!V52*Calculateur!X52*VLOOKUP('Données projet'!$B$9,Paramètres!$A$1:$I$89,3,0)*0.475*44/12</f>
        <v>23.598282567317213</v>
      </c>
      <c r="AB52" s="21">
        <f>EXP(-LN(2)/2)*AB51+(1-EXP(-LN(2)/2))/(LN(2)/2)*V52*Y52*VLOOKUP('Données projet'!$B$9,Paramètres!$A$1:$I$89,3,0)*0.475*44/12</f>
        <v>5.4191791072290476</v>
      </c>
      <c r="AC52" s="22">
        <f t="shared" si="3"/>
        <v>105.60940208549502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18.985714285714291</v>
      </c>
      <c r="AI52" s="13">
        <f>IF('Données projet'!$A$62&gt;35,AI51+AH52-AQ51,IF(A52&lt;'Données projet'!$A$62,$AF$205^A52,IF(A52='Données projet'!$A$62,'Données projet'!$B$62,AI51+AH52-AQ51)))</f>
        <v>273.142857142857</v>
      </c>
      <c r="AJ52" s="13">
        <f>AI52*VLOOKUP('Données projet'!$B$10,Paramètres!$A$1:$I$89,3,0)*VLOOKUP('Données projet'!$B$10,Paramètres!$A$1:$I$89,5,0)</f>
        <v>131.38171428571422</v>
      </c>
      <c r="AK52" s="13">
        <f t="shared" si="35"/>
        <v>34.315436215256668</v>
      </c>
      <c r="AL52" s="20">
        <f t="shared" si="4"/>
        <v>288.589203789191</v>
      </c>
      <c r="AM52" s="59">
        <f t="shared" si="5"/>
        <v>581.92253712252432</v>
      </c>
      <c r="AN52" s="59">
        <f ca="1">AVERAGE(OFFSET($AM$3,0,0,'Données projet'!$E$10+1,1))-AVERAGE(OFFSET($H$3,0,0,'Données projet'!$E$10+1,1))</f>
        <v>255.05550867459038</v>
      </c>
      <c r="AO52" s="59">
        <f t="shared" si="36"/>
        <v>119.28597757550295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25.632461750936695</v>
      </c>
      <c r="AW52" s="21">
        <f>EXP(-LN(2)/2)*AW51+(1-EXP(-LN(2)/2))/(LN(2)/2)*AQ52*AT52*VLOOKUP('Données projet'!$B$10,Paramètres!$A$1:$I$89,3,0)*0.475*44/12</f>
        <v>8.764307909128938</v>
      </c>
      <c r="AX52" s="21">
        <f t="shared" si="6"/>
        <v>34.39676966006563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11.443589743589744</v>
      </c>
      <c r="BD52" s="12">
        <f>IF('Données projet'!$A$88&gt;35,BD51+BC52-BL51,IF(A52&lt;'Données projet'!$A$88,$BA$205^A52,IF(A52='Données projet'!$A$88,'Données projet'!$B$88,BD51+BC52-BL51)))</f>
        <v>364.68205128205148</v>
      </c>
      <c r="BE52" s="13">
        <f>BD52*VLOOKUP('Données projet'!$B$11,Paramètres!$A$1:$I$89,3,0)*VLOOKUP('Données projet'!$B$11,Paramètres!$A$1:$I$89,5,0)</f>
        <v>170.67120000000008</v>
      </c>
      <c r="BF52" s="13">
        <f t="shared" si="37"/>
        <v>43.240315564943899</v>
      </c>
      <c r="BG52" s="20">
        <f t="shared" si="7"/>
        <v>372.56255627561069</v>
      </c>
      <c r="BH52" s="59">
        <f t="shared" si="8"/>
        <v>665.895889608944</v>
      </c>
      <c r="BI52" s="59">
        <f ca="1">AVERAGE(OFFSET($BH$3,0,0,'Données projet'!$E$11+1,1))-AVERAGE(OFFSET($H$3,0,0,'Données projet'!$E$11+1,1))</f>
        <v>181.79645720099597</v>
      </c>
      <c r="BJ52" s="59">
        <f t="shared" si="38"/>
        <v>120.20040029102233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11.861538461538462</v>
      </c>
      <c r="BY52" s="12">
        <f>IF('Données projet'!$A$114&gt;35,BY51+BX52-CG51,IF(A52&lt;'Données projet'!$A$114,$BV$205^A52,IF(A52='Données projet'!$A$114,'Données projet'!$B$114,BY51+BX52-CG51)))</f>
        <v>279.22307692307692</v>
      </c>
      <c r="BZ52" s="13">
        <f>BY52*VLOOKUP('Données projet'!$B$12,Paramètres!$A$1:$I$89,3,0)*VLOOKUP('Données projet'!$B$12,Paramètres!$A$1:$I$89,5,0)</f>
        <v>166.97540000000001</v>
      </c>
      <c r="CA52" s="13">
        <f t="shared" si="39"/>
        <v>42.411907667415186</v>
      </c>
      <c r="CB52" s="20">
        <f t="shared" si="10"/>
        <v>364.68289418741483</v>
      </c>
      <c r="CC52" s="59">
        <f t="shared" si="11"/>
        <v>658.01622752074809</v>
      </c>
      <c r="CD52" s="59">
        <f ca="1">AVERAGE(OFFSET($CC$3,0,0,'Données projet'!$E$12+1,1))-AVERAGE(OFFSET($H$3,0,0,'Données projet'!$E$12+1,1))</f>
        <v>213.18424462765137</v>
      </c>
      <c r="CE52" s="59">
        <f t="shared" si="40"/>
        <v>158.77848520346532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25.901353182452301</v>
      </c>
      <c r="CL52" s="21">
        <f>EXP(-LN(2)/25)*CL51+(1-EXP(-LN(2)/25))/(LN(2)/25)*Calculateur!CG52*Calculateur!CI52*VLOOKUP('Données projet'!$B$12,Paramètres!$A$1:$I$89,3,0)*0.475*44/12</f>
        <v>10.540020910601655</v>
      </c>
      <c r="CM52" s="21">
        <f>EXP(-LN(2)/2)*CM51+(1-EXP(-LN(2)/2))/(LN(2)/2)*CG52*CJ52*VLOOKUP('Données projet'!$B$12,Paramètres!$A$1:$I$89,3,0)*0.475*44/12</f>
        <v>0.34457035473972741</v>
      </c>
      <c r="CN52" s="22">
        <f t="shared" si="12"/>
        <v>36.785944447793682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8.6</v>
      </c>
      <c r="CT52" s="12">
        <f>IF('Données projet'!$A$140&gt;35,CT51+CS52-DB51,IF(A52&lt;'Données projet'!$A$140,$CQ$205^A52,IF(A52='Données projet'!$A$140,'Données projet'!$B$140,CT51+CS52-DB51)))</f>
        <v>252.40000000000003</v>
      </c>
      <c r="CU52" s="17">
        <f>CT52*VLOOKUP('Données projet'!$B$13,Paramètres!$A$1:$I$89,3,0)*VLOOKUP('Données projet'!$B$13,Paramètres!$A$1:$I$89,5,0)</f>
        <v>200.80944000000002</v>
      </c>
      <c r="CV52" s="13">
        <f t="shared" si="41"/>
        <v>49.922016299484312</v>
      </c>
      <c r="CW52" s="20">
        <f t="shared" si="13"/>
        <v>436.69061972160188</v>
      </c>
      <c r="CX52" s="59">
        <f t="shared" si="14"/>
        <v>730.02395305493519</v>
      </c>
      <c r="CY52" s="59">
        <f ca="1">AVERAGE(OFFSET($CX$3,0,0,'Données projet'!$E$13+1,1))-AVERAGE(OFFSET($H$3,0,0,'Données projet'!$E$13+1,1))</f>
        <v>279.49721661620544</v>
      </c>
      <c r="CZ52" s="59">
        <f t="shared" si="42"/>
        <v>275.18739333988754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26.873467448339962</v>
      </c>
      <c r="DG52" s="21">
        <f>EXP(-LN(2)/25)*DG51+(1-EXP(-LN(2)/25))/(LN(2)/25)*Calculateur!DB52*Calculateur!DD52*VLOOKUP('Données projet'!$B$13,Paramètres!$A$1:$I$89,3,0)*0.475*44/12</f>
        <v>13.8425632573008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40.716030705640762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484.76923076923066</v>
      </c>
      <c r="O53" s="13">
        <f>N53*VLOOKUP('Données projet'!$B$9,Paramètres!$A$1:$I$89,3,0)*VLOOKUP('Données projet'!$B$9,Paramètres!$A$1:$I$89,5,0)</f>
        <v>270.98599999999993</v>
      </c>
      <c r="P53" s="13">
        <f t="shared" si="33"/>
        <v>65.058478958733772</v>
      </c>
      <c r="Q53" s="20">
        <f t="shared" si="53"/>
        <v>585.27746751979453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278.5296012747549</v>
      </c>
      <c r="T53" s="59">
        <f t="shared" si="34"/>
        <v>370.55343097937077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75.090019175960848</v>
      </c>
      <c r="AA53" s="21">
        <f>EXP(-LN(2)/25)*AA52+(1-EXP(-LN(2)/25))/(LN(2)/25)*Calculateur!V53*Calculateur!X53*VLOOKUP('Données projet'!$B$9,Paramètres!$A$1:$I$89,3,0)*0.475*44/12</f>
        <v>22.952986289534177</v>
      </c>
      <c r="AB53" s="21">
        <f>EXP(-LN(2)/2)*AB52+(1-EXP(-LN(2)/2))/(LN(2)/2)*V53*Y53*VLOOKUP('Données projet'!$B$9,Paramètres!$A$1:$I$89,3,0)*0.475*44/12</f>
        <v>3.8319382951861205</v>
      </c>
      <c r="AC53" s="22">
        <f t="shared" si="3"/>
        <v>101.87494376068115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18.985714285714291</v>
      </c>
      <c r="AI53" s="13">
        <f>IF('Données projet'!$A$62&gt;35,AI52+AH53-AQ52,IF(A53&lt;'Données projet'!$A$62,$AF$205^A53,IF(A53='Données projet'!$A$62,'Données projet'!$B$62,AI52+AH53-AQ52)))</f>
        <v>292.12857142857126</v>
      </c>
      <c r="AJ53" s="13">
        <f>AI53*VLOOKUP('Données projet'!$B$10,Paramètres!$A$1:$I$89,3,0)*VLOOKUP('Données projet'!$B$10,Paramètres!$A$1:$I$89,5,0)</f>
        <v>140.51384285714278</v>
      </c>
      <c r="AK53" s="13">
        <f t="shared" si="35"/>
        <v>36.414694567098202</v>
      </c>
      <c r="AL53" s="20">
        <f t="shared" si="4"/>
        <v>308.15053601388632</v>
      </c>
      <c r="AM53" s="59">
        <f t="shared" si="5"/>
        <v>601.48386934721964</v>
      </c>
      <c r="AN53" s="59">
        <f ca="1">AVERAGE(OFFSET($AM$3,0,0,'Données projet'!$E$10+1,1))-AVERAGE(OFFSET($H$3,0,0,'Données projet'!$E$10+1,1))</f>
        <v>255.05550867459038</v>
      </c>
      <c r="AO53" s="59">
        <f t="shared" si="36"/>
        <v>119.28597757550295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24.931540736404752</v>
      </c>
      <c r="AW53" s="21">
        <f>EXP(-LN(2)/2)*AW52+(1-EXP(-LN(2)/2))/(LN(2)/2)*AQ53*AT53*VLOOKUP('Données projet'!$B$10,Paramètres!$A$1:$I$89,3,0)*0.475*44/12</f>
        <v>6.1973015549519639</v>
      </c>
      <c r="AX53" s="21">
        <f t="shared" si="6"/>
        <v>31.128842291356715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11.443589743589744</v>
      </c>
      <c r="BD53" s="12">
        <f>IF('Données projet'!$A$88&gt;35,BD52+BC53-BL52,IF(A53&lt;'Données projet'!$A$88,$BA$205^A53,IF(A53='Données projet'!$A$88,'Données projet'!$B$88,BD52+BC53-BL52)))</f>
        <v>376.12564102564124</v>
      </c>
      <c r="BE53" s="13">
        <f>BD53*VLOOKUP('Données projet'!$B$11,Paramètres!$A$1:$I$89,3,0)*VLOOKUP('Données projet'!$B$11,Paramètres!$A$1:$I$89,5,0)</f>
        <v>176.02680000000012</v>
      </c>
      <c r="BF53" s="13">
        <f t="shared" si="37"/>
        <v>44.437077329889675</v>
      </c>
      <c r="BG53" s="20">
        <f t="shared" si="7"/>
        <v>383.97458634955802</v>
      </c>
      <c r="BH53" s="59">
        <f t="shared" si="8"/>
        <v>677.30791968289134</v>
      </c>
      <c r="BI53" s="59">
        <f ca="1">AVERAGE(OFFSET($BH$3,0,0,'Données projet'!$E$11+1,1))-AVERAGE(OFFSET($H$3,0,0,'Données projet'!$E$11+1,1))</f>
        <v>181.79645720099597</v>
      </c>
      <c r="BJ53" s="59">
        <f t="shared" si="38"/>
        <v>120.20040029102233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291.08461538461535</v>
      </c>
      <c r="BW53" s="12">
        <f>VLOOKUP(A53,'Données projet'!$A$113:$I$133,9,0)</f>
        <v>11.861538461538462</v>
      </c>
      <c r="BX53" s="12">
        <f t="array" ref="BX53">INDEX(BW:BW,MIN(IF(ISNUMBER(BW53:BW249),ROW(BW53:BW249),"")))</f>
        <v>11.861538461538462</v>
      </c>
      <c r="BY53" s="12">
        <f>IF('Données projet'!$A$114&gt;35,BY52+BX53-CG52,IF(A53&lt;'Données projet'!$A$114,$BV$205^A53,IF(A53='Données projet'!$A$114,'Données projet'!$B$114,BY52+BX53-CG52)))</f>
        <v>291.0846153846154</v>
      </c>
      <c r="BZ53" s="13">
        <f>BY53*VLOOKUP('Données projet'!$B$12,Paramètres!$A$1:$I$89,3,0)*VLOOKUP('Données projet'!$B$12,Paramètres!$A$1:$I$89,5,0)</f>
        <v>174.06860000000003</v>
      </c>
      <c r="CA53" s="13">
        <f t="shared" si="39"/>
        <v>43.999996552753835</v>
      </c>
      <c r="CB53" s="20">
        <f t="shared" si="10"/>
        <v>379.80280566271296</v>
      </c>
      <c r="CC53" s="59">
        <f t="shared" si="11"/>
        <v>673.13613899604627</v>
      </c>
      <c r="CD53" s="59">
        <f ca="1">AVERAGE(OFFSET($CC$3,0,0,'Données projet'!$E$12+1,1))-AVERAGE(OFFSET($H$3,0,0,'Données projet'!$E$12+1,1))</f>
        <v>213.18424462765137</v>
      </c>
      <c r="CE53" s="59">
        <f t="shared" si="40"/>
        <v>158.77848520346532</v>
      </c>
      <c r="CF53" s="15">
        <f>IF(ISNA(VLOOKUP(A53,'Données projet'!$A$113:$I$133,3,0)),0,VLOOKUP(A53,'Données projet'!$A$113:$I$133,3,0))</f>
        <v>5</v>
      </c>
      <c r="CG53" s="15">
        <f>IF(ISNA(VLOOKUP(A53,'Données projet'!$A$113:$I$133,4,0)),0,VLOOKUP(A53,'Données projet'!$A$113:$I$133,4,0))</f>
        <v>55.292307692307688</v>
      </c>
      <c r="CH53" s="16">
        <f>IF(ISNA(VLOOKUP(A53,'Données projet'!$A$113:$I$133,5,0)),0%,VLOOKUP(A53,'Données projet'!$A$113:$I$133,5,0)*VLOOKUP('Données projet'!$B$12,Paramètres!$A$1:$I$89,7,0))</f>
        <v>0.315</v>
      </c>
      <c r="CI53" s="16">
        <f>IF(ISNA(VLOOKUP(A53,'Données projet'!$A$113:$I$133,6,0)),0%,VLOOKUP(A53,'Données projet'!$A$113:$I$133,6,0)*VLOOKUP('Données projet'!$B$12,Paramètres!$A$1:$I$89,7,0))</f>
        <v>7.5600000000000001E-2</v>
      </c>
      <c r="CJ53" s="16">
        <f>IF(ISNA(VLOOKUP(A53,'Données projet'!$A$113:$I$133,7,0)),0%,VLOOKUP(A53,'Données projet'!$A$113:$I$133,7,0))</f>
        <v>0.13200000000000001</v>
      </c>
      <c r="CK53" s="21">
        <f>EXP(-LN(2)/35)*CK52+(1-EXP(-LN(2)/35))/(LN(2)/35)*CG53*CH53*VLOOKUP('Données projet'!$B$12,Paramètres!$A$1:$I$89,3,0)*0.475*44/12</f>
        <v>39.210158792768354</v>
      </c>
      <c r="CL53" s="21">
        <f>EXP(-LN(2)/25)*CL52+(1-EXP(-LN(2)/25))/(LN(2)/25)*Calculateur!CG53*Calculateur!CI53*VLOOKUP('Données projet'!$B$12,Paramètres!$A$1:$I$89,3,0)*0.475*44/12</f>
        <v>13.554758766538184</v>
      </c>
      <c r="CM53" s="21">
        <f>EXP(-LN(2)/2)*CM52+(1-EXP(-LN(2)/2))/(LN(2)/2)*CG53*CJ53*VLOOKUP('Données projet'!$B$12,Paramètres!$A$1:$I$89,3,0)*0.475*44/12</f>
        <v>5.1853365846377217</v>
      </c>
      <c r="CN53" s="22">
        <f t="shared" si="12"/>
        <v>57.950254143944264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261</v>
      </c>
      <c r="CR53" s="12">
        <f>VLOOKUP(A53,'Données projet'!$A$139:$I$159,9,0)</f>
        <v>8.6</v>
      </c>
      <c r="CS53" s="12">
        <f t="array" ref="CS53">INDEX(CR:CR,MIN(IF(ISNUMBER(CR53:CR249),ROW(CR53:CR249),"")))</f>
        <v>8.6</v>
      </c>
      <c r="CT53" s="12">
        <f>IF('Données projet'!$A$140&gt;35,CT52+CS53-DB52,IF(A53&lt;'Données projet'!$A$140,$CQ$205^A53,IF(A53='Données projet'!$A$140,'Données projet'!$B$140,CT52+CS53-DB52)))</f>
        <v>261.00000000000006</v>
      </c>
      <c r="CU53" s="17">
        <f>CT53*VLOOKUP('Données projet'!$B$13,Paramètres!$A$1:$I$89,3,0)*VLOOKUP('Données projet'!$B$13,Paramètres!$A$1:$I$89,5,0)</f>
        <v>207.65160000000006</v>
      </c>
      <c r="CV53" s="13">
        <f t="shared" si="41"/>
        <v>51.422065813018108</v>
      </c>
      <c r="CW53" s="20">
        <f t="shared" si="13"/>
        <v>451.2199679576733</v>
      </c>
      <c r="CX53" s="59">
        <f t="shared" si="14"/>
        <v>744.55330129100662</v>
      </c>
      <c r="CY53" s="59">
        <f ca="1">AVERAGE(OFFSET($CX$3,0,0,'Données projet'!$E$13+1,1))-AVERAGE(OFFSET($H$3,0,0,'Données projet'!$E$13+1,1))</f>
        <v>279.49721661620544</v>
      </c>
      <c r="CZ53" s="59">
        <f t="shared" si="42"/>
        <v>275.18739333988754</v>
      </c>
      <c r="DA53" s="15">
        <f>IF(ISNA(VLOOKUP(A53,'Données projet'!$A$139:$I$159,3,0)),0,VLOOKUP(A53,'Données projet'!$A$139:$I$159,3,0))</f>
        <v>8</v>
      </c>
      <c r="DB53" s="15">
        <f>IF(ISNA(VLOOKUP(A53,'Données projet'!$A$139:$I$159,4,0)),0,VLOOKUP(A53,'Données projet'!$A$139:$I$159,4,0))</f>
        <v>19</v>
      </c>
      <c r="DC53" s="16">
        <f>IF(ISNA(VLOOKUP(A53,'Données projet'!$A$139:$I$159,5,0)),0%,VLOOKUP(A53,'Données projet'!$A$139:$I$159,5,0)*VLOOKUP('Données projet'!$B$13,Paramètres!$A$1:$I$89,7,0))</f>
        <v>0.44519999999999998</v>
      </c>
      <c r="DD53" s="16">
        <f>IF(ISNA(VLOOKUP(A53,'Données projet'!$A$139:$I$159,6,0)),0%,VLOOKUP(A53,'Données projet'!$A$139:$I$159,6,0)*VLOOKUP('Données projet'!$B$13,Paramètres!$A$1:$I$89,7,0))</f>
        <v>5.8300000000000005E-2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33.786113227465187</v>
      </c>
      <c r="DG53" s="21">
        <f>EXP(-LN(2)/25)*DG52+(1-EXP(-LN(2)/25))/(LN(2)/25)*Calculateur!DB53*Calculateur!DD53*VLOOKUP('Données projet'!$B$13,Paramètres!$A$1:$I$89,3,0)*0.475*44/12</f>
        <v>14.434437401464745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48.220550628929928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505.27692307692297</v>
      </c>
      <c r="O54" s="13">
        <f>N54*VLOOKUP('Données projet'!$B$9,Paramètres!$A$1:$I$89,3,0)*VLOOKUP('Données projet'!$B$9,Paramètres!$A$1:$I$89,5,0)</f>
        <v>282.44979999999998</v>
      </c>
      <c r="P54" s="13">
        <f t="shared" si="33"/>
        <v>67.484459274997945</v>
      </c>
      <c r="Q54" s="20">
        <f t="shared" si="53"/>
        <v>609.46883490395464</v>
      </c>
      <c r="R54" s="59">
        <f t="shared" si="0"/>
        <v>902.80216823728802</v>
      </c>
      <c r="S54" s="59">
        <f ca="1">AVERAGE(OFFSET($R$3,0,0,'Données projet'!$E$9+1,1))-AVERAGE(OFFSET($H$3,0,0,'Données projet'!$E$9+1,1))</f>
        <v>278.5296012747549</v>
      </c>
      <c r="T54" s="59">
        <f t="shared" si="34"/>
        <v>370.55343097937077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73.617549700309539</v>
      </c>
      <c r="AA54" s="21">
        <f>EXP(-LN(2)/25)*AA53+(1-EXP(-LN(2)/25))/(LN(2)/25)*Calculateur!V54*Calculateur!X54*VLOOKUP('Données projet'!$B$9,Paramètres!$A$1:$I$89,3,0)*0.475*44/12</f>
        <v>22.325335672401774</v>
      </c>
      <c r="AB54" s="21">
        <f>EXP(-LN(2)/2)*AB53+(1-EXP(-LN(2)/2))/(LN(2)/2)*V54*Y54*VLOOKUP('Données projet'!$B$9,Paramètres!$A$1:$I$89,3,0)*0.475*44/12</f>
        <v>2.7095895536145242</v>
      </c>
      <c r="AC54" s="22">
        <f t="shared" si="3"/>
        <v>98.652474926325837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18.985714285714291</v>
      </c>
      <c r="AI54" s="13">
        <f>IF('Données projet'!$A$62&gt;35,AI53+AH54-AQ53,IF(A54&lt;'Données projet'!$A$62,$AF$205^A54,IF(A54='Données projet'!$A$62,'Données projet'!$B$62,AI53+AH54-AQ53)))</f>
        <v>311.11428571428553</v>
      </c>
      <c r="AJ54" s="13">
        <f>AI54*VLOOKUP('Données projet'!$B$10,Paramètres!$A$1:$I$89,3,0)*VLOOKUP('Données projet'!$B$10,Paramètres!$A$1:$I$89,5,0)</f>
        <v>149.64597142857136</v>
      </c>
      <c r="AK54" s="13">
        <f t="shared" si="35"/>
        <v>38.498120296448633</v>
      </c>
      <c r="AL54" s="20">
        <f t="shared" si="4"/>
        <v>327.68429308774313</v>
      </c>
      <c r="AM54" s="59">
        <f t="shared" si="5"/>
        <v>621.01762642107644</v>
      </c>
      <c r="AN54" s="59">
        <f ca="1">AVERAGE(OFFSET($AM$3,0,0,'Données projet'!$E$10+1,1))-AVERAGE(OFFSET($H$3,0,0,'Données projet'!$E$10+1,1))</f>
        <v>255.05550867459038</v>
      </c>
      <c r="AO54" s="59">
        <f t="shared" si="36"/>
        <v>119.28597757550295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24.249786443875021</v>
      </c>
      <c r="AW54" s="21">
        <f>EXP(-LN(2)/2)*AW53+(1-EXP(-LN(2)/2))/(LN(2)/2)*AQ54*AT54*VLOOKUP('Données projet'!$B$10,Paramètres!$A$1:$I$89,3,0)*0.475*44/12</f>
        <v>4.382153954564469</v>
      </c>
      <c r="AX54" s="21">
        <f t="shared" si="6"/>
        <v>28.63194039843949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>
        <f>VLOOKUP(A54,'Données projet'!$A$87:$I$107,2,0)</f>
        <v>387.56923076923078</v>
      </c>
      <c r="BB54" s="12">
        <f>VLOOKUP(A54,'Données projet'!$A$87:$I$107,9,0)</f>
        <v>11.443589743589744</v>
      </c>
      <c r="BC54" s="12">
        <f t="array" ref="BC54">INDEX(BB:BB,MIN(IF(ISNUMBER(BB54:BB250),ROW(BB54:BB250),"")))</f>
        <v>11.443589743589744</v>
      </c>
      <c r="BD54" s="12">
        <f>IF('Données projet'!$A$88&gt;35,BD53+BC54-BL53,IF(A54&lt;'Données projet'!$A$88,$BA$205^A54,IF(A54='Données projet'!$A$88,'Données projet'!$B$88,BD53+BC54-BL53)))</f>
        <v>387.56923076923101</v>
      </c>
      <c r="BE54" s="13">
        <f>BD54*VLOOKUP('Données projet'!$B$11,Paramètres!$A$1:$I$89,3,0)*VLOOKUP('Données projet'!$B$11,Paramètres!$A$1:$I$89,5,0)</f>
        <v>181.3824000000001</v>
      </c>
      <c r="BF54" s="13">
        <f t="shared" si="37"/>
        <v>45.629607617375228</v>
      </c>
      <c r="BG54" s="20">
        <f t="shared" si="7"/>
        <v>395.37924660026198</v>
      </c>
      <c r="BH54" s="59">
        <f t="shared" si="8"/>
        <v>688.71257993359529</v>
      </c>
      <c r="BI54" s="59">
        <f ca="1">AVERAGE(OFFSET($BH$3,0,0,'Données projet'!$E$11+1,1))-AVERAGE(OFFSET($H$3,0,0,'Données projet'!$E$11+1,1))</f>
        <v>181.79645720099597</v>
      </c>
      <c r="BJ54" s="59">
        <f t="shared" si="38"/>
        <v>120.20040029102233</v>
      </c>
      <c r="BK54" s="15">
        <f>IF(ISNA(VLOOKUP(A54,'Données projet'!$A$87:$I$107,3,0)),0,VLOOKUP(A54,'Données projet'!$A$87:$I$107,3,0))</f>
        <v>1</v>
      </c>
      <c r="BL54" s="15">
        <f>IF(ISNA(VLOOKUP(A54,'Données projet'!$A$87:$I$107,4,0)),0,VLOOKUP(A54,'Données projet'!$A$87:$I$107,4,0))</f>
        <v>170.16153846153847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0.30800000000000005</v>
      </c>
      <c r="BO54" s="16">
        <f>IF(ISNA(VLOOKUP(A54,'Données projet'!$A$87:$I$107,7,0)),0%,VLOOKUP(A54,'Données projet'!$A$87:$I$107,7,0))</f>
        <v>0.44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32.409547786060251</v>
      </c>
      <c r="BR54" s="21">
        <f>EXP(-LN(2)/2)*BR53+(1-EXP(-LN(2)/2))/(LN(2)/2)*BL54*BO54*VLOOKUP('Données projet'!$B$11,Paramètres!$A$1:$I$89,3,0)*0.475*44/12</f>
        <v>39.673039275275386</v>
      </c>
      <c r="BS54" s="22">
        <f t="shared" si="9"/>
        <v>72.08258706133563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10.663076923076932</v>
      </c>
      <c r="BY54" s="12">
        <f>IF('Données projet'!$A$114&gt;35,BY53+BX54-CG53,IF(A54&lt;'Données projet'!$A$114,$BV$205^A54,IF(A54='Données projet'!$A$114,'Données projet'!$B$114,BY53+BX54-CG53)))</f>
        <v>246.45538461538462</v>
      </c>
      <c r="BZ54" s="13">
        <f>BY54*VLOOKUP('Données projet'!$B$12,Paramètres!$A$1:$I$89,3,0)*VLOOKUP('Données projet'!$B$12,Paramètres!$A$1:$I$89,5,0)</f>
        <v>147.38032000000001</v>
      </c>
      <c r="CA54" s="13">
        <f t="shared" si="39"/>
        <v>37.982644854557613</v>
      </c>
      <c r="CB54" s="20">
        <f t="shared" si="10"/>
        <v>322.84049712168786</v>
      </c>
      <c r="CC54" s="59">
        <f t="shared" si="11"/>
        <v>616.17383045502118</v>
      </c>
      <c r="CD54" s="59">
        <f ca="1">AVERAGE(OFFSET($CC$3,0,0,'Données projet'!$E$12+1,1))-AVERAGE(OFFSET($H$3,0,0,'Données projet'!$E$12+1,1))</f>
        <v>213.18424462765137</v>
      </c>
      <c r="CE54" s="59">
        <f t="shared" si="40"/>
        <v>158.77848520346532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38.441271494677537</v>
      </c>
      <c r="CL54" s="21">
        <f>EXP(-LN(2)/25)*CL53+(1-EXP(-LN(2)/25))/(LN(2)/25)*Calculateur!CG54*Calculateur!CI54*VLOOKUP('Données projet'!$B$12,Paramètres!$A$1:$I$89,3,0)*0.475*44/12</f>
        <v>13.184103175253414</v>
      </c>
      <c r="CM54" s="21">
        <f>EXP(-LN(2)/2)*CM53+(1-EXP(-LN(2)/2))/(LN(2)/2)*CG54*CJ54*VLOOKUP('Données projet'!$B$12,Paramètres!$A$1:$I$89,3,0)*0.475*44/12</f>
        <v>3.6665866617320253</v>
      </c>
      <c r="CN54" s="22">
        <f t="shared" si="12"/>
        <v>55.291961331662975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7.4</v>
      </c>
      <c r="CT54" s="12">
        <f>IF('Données projet'!$A$140&gt;35,CT53+CS54-DB53,IF(A54&lt;'Données projet'!$A$140,$CQ$205^A54,IF(A54='Données projet'!$A$140,'Données projet'!$B$140,CT53+CS54-DB53)))</f>
        <v>249.40000000000003</v>
      </c>
      <c r="CU54" s="17">
        <f>CT54*VLOOKUP('Données projet'!$B$13,Paramètres!$A$1:$I$89,3,0)*VLOOKUP('Données projet'!$B$13,Paramètres!$A$1:$I$89,5,0)</f>
        <v>198.42264000000003</v>
      </c>
      <c r="CV54" s="13">
        <f t="shared" si="41"/>
        <v>49.397352151183256</v>
      </c>
      <c r="CW54" s="20">
        <f t="shared" si="13"/>
        <v>431.61981966331086</v>
      </c>
      <c r="CX54" s="59">
        <f t="shared" si="14"/>
        <v>724.95315299664412</v>
      </c>
      <c r="CY54" s="59">
        <f ca="1">AVERAGE(OFFSET($CX$3,0,0,'Données projet'!$E$13+1,1))-AVERAGE(OFFSET($H$3,0,0,'Données projet'!$E$13+1,1))</f>
        <v>279.49721661620544</v>
      </c>
      <c r="CZ54" s="59">
        <f t="shared" si="42"/>
        <v>275.18739333988754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33.123588154568843</v>
      </c>
      <c r="DG54" s="21">
        <f>EXP(-LN(2)/25)*DG53+(1-EXP(-LN(2)/25))/(LN(2)/25)*Calculateur!DB54*Calculateur!DD54*VLOOKUP('Données projet'!$B$13,Paramètres!$A$1:$I$89,3,0)*0.475*44/12</f>
        <v>14.039726951647619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47.163315106216459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525.78461538461522</v>
      </c>
      <c r="O55" s="13">
        <f>N55*VLOOKUP('Données projet'!$B$9,Paramètres!$A$1:$I$89,3,0)*VLOOKUP('Données projet'!$B$9,Paramètres!$A$1:$I$89,5,0)</f>
        <v>293.91359999999992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278.5296012747549</v>
      </c>
      <c r="T55" s="59">
        <f t="shared" si="34"/>
        <v>370.55343097937077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72.173954452958057</v>
      </c>
      <c r="AA55" s="21">
        <f>EXP(-LN(2)/25)*AA54+(1-EXP(-LN(2)/25))/(LN(2)/25)*Calculateur!V55*Calculateur!X55*VLOOKUP('Données projet'!$B$9,Paramètres!$A$1:$I$89,3,0)*0.475*44/12</f>
        <v>21.714848194401569</v>
      </c>
      <c r="AB55" s="21">
        <f>EXP(-LN(2)/2)*AB54+(1-EXP(-LN(2)/2))/(LN(2)/2)*V55*Y55*VLOOKUP('Données projet'!$B$9,Paramètres!$A$1:$I$89,3,0)*0.475*44/12</f>
        <v>1.9159691475930605</v>
      </c>
      <c r="AC55" s="22">
        <f t="shared" si="3"/>
        <v>95.804771794952686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>
        <f>VLOOKUP(A55,'Données projet'!$A$61:$I$81,2,0)</f>
        <v>330.1</v>
      </c>
      <c r="AG55" s="12">
        <f>VLOOKUP(A55,'Données projet'!$A$61:$I$81,9,0)</f>
        <v>18.985714285714291</v>
      </c>
      <c r="AH55" s="12">
        <f t="array" ref="AH55">INDEX(AG:AG,MIN(IF(ISNUMBER(AG55:AG251),ROW(AG55:AG251),"")))</f>
        <v>18.985714285714291</v>
      </c>
      <c r="AI55" s="13">
        <f>IF('Données projet'!$A$62&gt;35,AI54+AH55-AQ54,IF(A55&lt;'Données projet'!$A$62,$AF$205^A55,IF(A55='Données projet'!$A$62,'Données projet'!$B$62,AI54+AH55-AQ54)))</f>
        <v>330.0999999999998</v>
      </c>
      <c r="AJ55" s="13">
        <f>AI55*VLOOKUP('Données projet'!$B$10,Paramètres!$A$1:$I$89,3,0)*VLOOKUP('Données projet'!$B$10,Paramètres!$A$1:$I$89,5,0)</f>
        <v>158.77809999999991</v>
      </c>
      <c r="AK55" s="13">
        <f t="shared" si="35"/>
        <v>40.566789605248012</v>
      </c>
      <c r="AL55" s="20">
        <f t="shared" si="4"/>
        <v>347.19234939580679</v>
      </c>
      <c r="AM55" s="59">
        <f t="shared" si="5"/>
        <v>640.52568272914004</v>
      </c>
      <c r="AN55" s="59">
        <f ca="1">AVERAGE(OFFSET($AM$3,0,0,'Données projet'!$E$10+1,1))-AVERAGE(OFFSET($H$3,0,0,'Données projet'!$E$10+1,1))</f>
        <v>255.05550867459038</v>
      </c>
      <c r="AO55" s="59">
        <f t="shared" si="36"/>
        <v>119.28597757550295</v>
      </c>
      <c r="AP55" s="15">
        <f>IF(ISNA(VLOOKUP(A55,'Données projet'!$A$61:$I$81,3,0)),0,VLOOKUP(A55,'Données projet'!$A$61:$I$81,3,0))</f>
        <v>2</v>
      </c>
      <c r="AQ55" s="15">
        <f>IF(ISNA(VLOOKUP(A55,'Données projet'!$A$61:$I$81,4,0)),0,VLOOKUP(A55,'Données projet'!$A$61:$I$81,4,0))</f>
        <v>75.5</v>
      </c>
      <c r="AR55" s="16">
        <f>IF(ISNA(VLOOKUP(A55,'Données projet'!$A$61:$I$81,5,0)),0%,VLOOKUP(A55,'Données projet'!$A$61:$I$81,5,0)*VLOOKUP('Données projet'!$B$10,Paramètres!$A$1:$I$89,7,0))</f>
        <v>0.38500000000000001</v>
      </c>
      <c r="AS55" s="16">
        <f>IF(ISNA(VLOOKUP(A55,'Données projet'!$A$61:$I$81,6,0)),0%,VLOOKUP(A55,'Données projet'!$A$61:$I$81,6,0)*VLOOKUP('Données projet'!$B$10,Paramètres!$A$1:$I$89,7,0))</f>
        <v>9.3500000000000014E-2</v>
      </c>
      <c r="AT55" s="16">
        <f>IF(ISNA(VLOOKUP(A55,'Données projet'!$A$61:$I$81,7,0)),0%,VLOOKUP(A55,'Données projet'!$A$61:$I$81,7,0))</f>
        <v>0.13</v>
      </c>
      <c r="AU55" s="21">
        <f>EXP(-LN(2)/35)*AU54+(1-EXP(-LN(2)/35))/(LN(2)/35)*AQ55*AR55*VLOOKUP('Données projet'!$B$10,Paramètres!$A$1:$I$89,3,0)*0.475*44/12</f>
        <v>18.547317820383128</v>
      </c>
      <c r="AV55" s="21">
        <f>EXP(-LN(2)/25)*AV54+(1-EXP(-LN(2)/25))/(LN(2)/25)*Calculateur!AQ55*Calculateur!AS55*VLOOKUP('Données projet'!$B$10,Paramètres!$A$1:$I$89,3,0)*0.475*44/12</f>
        <v>28.073288035065218</v>
      </c>
      <c r="AW55" s="21">
        <f>EXP(-LN(2)/2)*AW54+(1-EXP(-LN(2)/2))/(LN(2)/2)*AQ55*AT55*VLOOKUP('Données projet'!$B$10,Paramètres!$A$1:$I$89,3,0)*0.475*44/12</f>
        <v>8.4439364375828916</v>
      </c>
      <c r="AX55" s="21">
        <f t="shared" si="6"/>
        <v>55.064542293031238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11.170769230769233</v>
      </c>
      <c r="BD55" s="12">
        <f>IF('Données projet'!$A$88&gt;35,BD54+BC55-BL54,IF(A55&lt;'Données projet'!$A$88,$BA$205^A55,IF(A55='Données projet'!$A$88,'Données projet'!$B$88,BD54+BC55-BL54)))</f>
        <v>228.57846153846177</v>
      </c>
      <c r="BE55" s="13">
        <f>BD55*VLOOKUP('Données projet'!$B$11,Paramètres!$A$1:$I$89,3,0)*VLOOKUP('Données projet'!$B$11,Paramètres!$A$1:$I$89,5,0)</f>
        <v>106.9747200000001</v>
      </c>
      <c r="BF55" s="13">
        <f t="shared" si="37"/>
        <v>28.617052249308387</v>
      </c>
      <c r="BG55" s="20">
        <f t="shared" si="7"/>
        <v>236.15567000087893</v>
      </c>
      <c r="BH55" s="59">
        <f t="shared" si="8"/>
        <v>529.48900333421227</v>
      </c>
      <c r="BI55" s="59">
        <f ca="1">AVERAGE(OFFSET($BH$3,0,0,'Données projet'!$E$11+1,1))-AVERAGE(OFFSET($H$3,0,0,'Données projet'!$E$11+1,1))</f>
        <v>181.79645720099597</v>
      </c>
      <c r="BJ55" s="59">
        <f t="shared" si="38"/>
        <v>120.20040029102233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31.523306997506388</v>
      </c>
      <c r="BR55" s="21">
        <f>EXP(-LN(2)/2)*BR54+(1-EXP(-LN(2)/2))/(LN(2)/2)*BL55*BO55*VLOOKUP('Données projet'!$B$11,Paramètres!$A$1:$I$89,3,0)*0.475*44/12</f>
        <v>28.05307510182746</v>
      </c>
      <c r="BS55" s="22">
        <f t="shared" si="9"/>
        <v>59.576382099333848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10.663076923076932</v>
      </c>
      <c r="BY55" s="12">
        <f>IF('Données projet'!$A$114&gt;35,BY54+BX55-CG54,IF(A55&lt;'Données projet'!$A$114,$BV$205^A55,IF(A55='Données projet'!$A$114,'Données projet'!$B$114,BY54+BX55-CG54)))</f>
        <v>257.11846153846153</v>
      </c>
      <c r="BZ55" s="13">
        <f>BY55*VLOOKUP('Données projet'!$B$12,Paramètres!$A$1:$I$89,3,0)*VLOOKUP('Données projet'!$B$12,Paramètres!$A$1:$I$89,5,0)</f>
        <v>153.75684000000001</v>
      </c>
      <c r="CA55" s="13">
        <f t="shared" si="39"/>
        <v>39.431107959482766</v>
      </c>
      <c r="CB55" s="20">
        <f t="shared" si="10"/>
        <v>336.4690093627658</v>
      </c>
      <c r="CC55" s="59">
        <f t="shared" si="11"/>
        <v>629.80234269609912</v>
      </c>
      <c r="CD55" s="59">
        <f ca="1">AVERAGE(OFFSET($CC$3,0,0,'Données projet'!$E$12+1,1))-AVERAGE(OFFSET($H$3,0,0,'Données projet'!$E$12+1,1))</f>
        <v>213.18424462765137</v>
      </c>
      <c r="CE55" s="59">
        <f t="shared" si="40"/>
        <v>158.77848520346532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37.687461607527339</v>
      </c>
      <c r="CL55" s="21">
        <f>EXP(-LN(2)/25)*CL54+(1-EXP(-LN(2)/25))/(LN(2)/25)*Calculateur!CG55*Calculateur!CI55*VLOOKUP('Données projet'!$B$12,Paramètres!$A$1:$I$89,3,0)*0.475*44/12</f>
        <v>12.823583180604256</v>
      </c>
      <c r="CM55" s="21">
        <f>EXP(-LN(2)/2)*CM54+(1-EXP(-LN(2)/2))/(LN(2)/2)*CG55*CJ55*VLOOKUP('Données projet'!$B$12,Paramètres!$A$1:$I$89,3,0)*0.475*44/12</f>
        <v>2.5926682923188613</v>
      </c>
      <c r="CN55" s="22">
        <f t="shared" si="12"/>
        <v>53.103713080450461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7.4</v>
      </c>
      <c r="CT55" s="12">
        <f>IF('Données projet'!$A$140&gt;35,CT54+CS55-DB54,IF(A55&lt;'Données projet'!$A$140,$CQ$205^A55,IF(A55='Données projet'!$A$140,'Données projet'!$B$140,CT54+CS55-DB54)))</f>
        <v>256.8</v>
      </c>
      <c r="CU55" s="17">
        <f>CT55*VLOOKUP('Données projet'!$B$13,Paramètres!$A$1:$I$89,3,0)*VLOOKUP('Données projet'!$B$13,Paramètres!$A$1:$I$89,5,0)</f>
        <v>204.31008000000003</v>
      </c>
      <c r="CV55" s="13">
        <f t="shared" si="41"/>
        <v>50.690214235398379</v>
      </c>
      <c r="CW55" s="20">
        <f t="shared" si="13"/>
        <v>444.12551245998549</v>
      </c>
      <c r="CX55" s="59">
        <f t="shared" si="14"/>
        <v>737.4588457933188</v>
      </c>
      <c r="CY55" s="59">
        <f ca="1">AVERAGE(OFFSET($CX$3,0,0,'Données projet'!$E$13+1,1))-AVERAGE(OFFSET($H$3,0,0,'Données projet'!$E$13+1,1))</f>
        <v>279.49721661620544</v>
      </c>
      <c r="CZ55" s="59">
        <f t="shared" si="42"/>
        <v>275.18739333988754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32.4740547942516</v>
      </c>
      <c r="DG55" s="21">
        <f>EXP(-LN(2)/25)*DG54+(1-EXP(-LN(2)/25))/(LN(2)/25)*Calculateur!DB55*Calculateur!DD55*VLOOKUP('Données projet'!$B$13,Paramètres!$A$1:$I$89,3,0)*0.475*44/12</f>
        <v>13.655809879837664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46.129864674089262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546.29230769230753</v>
      </c>
      <c r="O56" s="13">
        <f>N56*VLOOKUP('Données projet'!$B$9,Paramètres!$A$1:$I$89,3,0)*VLOOKUP('Données projet'!$B$9,Paramètres!$A$1:$I$89,5,0)</f>
        <v>305.37739999999991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278.5296012747549</v>
      </c>
      <c r="T56" s="59">
        <f t="shared" si="34"/>
        <v>370.55343097937077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70.758667227900972</v>
      </c>
      <c r="AA56" s="21">
        <f>EXP(-LN(2)/25)*AA55+(1-EXP(-LN(2)/25))/(LN(2)/25)*Calculateur!V56*Calculateur!X56*VLOOKUP('Données projet'!$B$9,Paramètres!$A$1:$I$89,3,0)*0.475*44/12</f>
        <v>21.121054528591422</v>
      </c>
      <c r="AB56" s="21">
        <f>EXP(-LN(2)/2)*AB55+(1-EXP(-LN(2)/2))/(LN(2)/2)*V56*Y56*VLOOKUP('Données projet'!$B$9,Paramètres!$A$1:$I$89,3,0)*0.475*44/12</f>
        <v>1.3547947768072623</v>
      </c>
      <c r="AC56" s="22">
        <f t="shared" si="3"/>
        <v>93.234516533299654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18.028571428571428</v>
      </c>
      <c r="AI56" s="13">
        <f>IF('Données projet'!$A$62&gt;35,AI55+AH56-AQ55,IF(A56&lt;'Données projet'!$A$62,$AF$205^A56,IF(A56='Données projet'!$A$62,'Données projet'!$B$62,AI55+AH56-AQ55)))</f>
        <v>272.62857142857121</v>
      </c>
      <c r="AJ56" s="13">
        <f>AI56*VLOOKUP('Données projet'!$B$10,Paramètres!$A$1:$I$89,3,0)*VLOOKUP('Données projet'!$B$10,Paramètres!$A$1:$I$89,5,0)</f>
        <v>131.13434285714277</v>
      </c>
      <c r="AK56" s="13">
        <f t="shared" si="35"/>
        <v>34.258339981018139</v>
      </c>
      <c r="AL56" s="20">
        <f t="shared" si="4"/>
        <v>288.05892260979687</v>
      </c>
      <c r="AM56" s="59">
        <f t="shared" si="5"/>
        <v>581.39225594313018</v>
      </c>
      <c r="AN56" s="59">
        <f ca="1">AVERAGE(OFFSET($AM$3,0,0,'Données projet'!$E$10+1,1))-AVERAGE(OFFSET($H$3,0,0,'Données projet'!$E$10+1,1))</f>
        <v>255.05550867459038</v>
      </c>
      <c r="AO56" s="59">
        <f t="shared" si="36"/>
        <v>119.28597757550295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18.183616230672243</v>
      </c>
      <c r="AV56" s="21">
        <f>EXP(-LN(2)/25)*AV55+(1-EXP(-LN(2)/25))/(LN(2)/25)*Calculateur!AQ56*Calculateur!AS56*VLOOKUP('Données projet'!$B$10,Paramètres!$A$1:$I$89,3,0)*0.475*44/12</f>
        <v>27.305622497436303</v>
      </c>
      <c r="AW56" s="21">
        <f>EXP(-LN(2)/2)*AW55+(1-EXP(-LN(2)/2))/(LN(2)/2)*AQ56*AT56*VLOOKUP('Données projet'!$B$10,Paramètres!$A$1:$I$89,3,0)*0.475*44/12</f>
        <v>5.9707647149230416</v>
      </c>
      <c r="AX56" s="21">
        <f t="shared" si="6"/>
        <v>51.460003443031589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11.170769230769233</v>
      </c>
      <c r="BD56" s="12">
        <f>IF('Données projet'!$A$88&gt;35,BD55+BC56-BL55,IF(A56&lt;'Données projet'!$A$88,$BA$205^A56,IF(A56='Données projet'!$A$88,'Données projet'!$B$88,BD55+BC56-BL55)))</f>
        <v>239.74923076923099</v>
      </c>
      <c r="BE56" s="13">
        <f>BD56*VLOOKUP('Données projet'!$B$11,Paramètres!$A$1:$I$89,3,0)*VLOOKUP('Données projet'!$B$11,Paramètres!$A$1:$I$89,5,0)</f>
        <v>112.2026400000001</v>
      </c>
      <c r="BF56" s="13">
        <f t="shared" si="37"/>
        <v>29.84934340268536</v>
      </c>
      <c r="BG56" s="20">
        <f t="shared" si="7"/>
        <v>247.40720442634384</v>
      </c>
      <c r="BH56" s="59">
        <f t="shared" si="8"/>
        <v>540.74053775967718</v>
      </c>
      <c r="BI56" s="59">
        <f ca="1">AVERAGE(OFFSET($BH$3,0,0,'Données projet'!$E$11+1,1))-AVERAGE(OFFSET($H$3,0,0,'Données projet'!$E$11+1,1))</f>
        <v>181.79645720099597</v>
      </c>
      <c r="BJ56" s="59">
        <f t="shared" si="38"/>
        <v>120.20040029102233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30.66130050992091</v>
      </c>
      <c r="BR56" s="21">
        <f>EXP(-LN(2)/2)*BR55+(1-EXP(-LN(2)/2))/(LN(2)/2)*BL56*BO56*VLOOKUP('Données projet'!$B$11,Paramètres!$A$1:$I$89,3,0)*0.475*44/12</f>
        <v>19.836519637637696</v>
      </c>
      <c r="BS56" s="22">
        <f t="shared" si="9"/>
        <v>50.497820147558606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10.663076923076932</v>
      </c>
      <c r="BY56" s="12">
        <f>IF('Données projet'!$A$114&gt;35,BY55+BX56-CG55,IF(A56&lt;'Données projet'!$A$114,$BV$205^A56,IF(A56='Données projet'!$A$114,'Données projet'!$B$114,BY55+BX56-CG55)))</f>
        <v>267.78153846153845</v>
      </c>
      <c r="BZ56" s="13">
        <f>BY56*VLOOKUP('Données projet'!$B$12,Paramètres!$A$1:$I$89,3,0)*VLOOKUP('Données projet'!$B$12,Paramètres!$A$1:$I$89,5,0)</f>
        <v>160.13336000000001</v>
      </c>
      <c r="CA56" s="13">
        <f t="shared" si="39"/>
        <v>40.872593668242253</v>
      </c>
      <c r="CB56" s="20">
        <f t="shared" si="10"/>
        <v>350.08536930552191</v>
      </c>
      <c r="CC56" s="59">
        <f t="shared" si="11"/>
        <v>643.41870263885517</v>
      </c>
      <c r="CD56" s="59">
        <f ca="1">AVERAGE(OFFSET($CC$3,0,0,'Données projet'!$E$12+1,1))-AVERAGE(OFFSET($H$3,0,0,'Données projet'!$E$12+1,1))</f>
        <v>213.18424462765137</v>
      </c>
      <c r="CE56" s="59">
        <f t="shared" si="40"/>
        <v>158.77848520346532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36.948433472485526</v>
      </c>
      <c r="CL56" s="21">
        <f>EXP(-LN(2)/25)*CL55+(1-EXP(-LN(2)/25))/(LN(2)/25)*Calculateur!CG56*Calculateur!CI56*VLOOKUP('Données projet'!$B$12,Paramètres!$A$1:$I$89,3,0)*0.475*44/12</f>
        <v>12.472921624167702</v>
      </c>
      <c r="CM56" s="21">
        <f>EXP(-LN(2)/2)*CM55+(1-EXP(-LN(2)/2))/(LN(2)/2)*CG56*CJ56*VLOOKUP('Données projet'!$B$12,Paramètres!$A$1:$I$89,3,0)*0.475*44/12</f>
        <v>1.8332933308660131</v>
      </c>
      <c r="CN56" s="22">
        <f t="shared" si="12"/>
        <v>51.254648427519243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7.4</v>
      </c>
      <c r="CT56" s="12">
        <f>IF('Données projet'!$A$140&gt;35,CT55+CS56-DB55,IF(A56&lt;'Données projet'!$A$140,$CQ$205^A56,IF(A56='Données projet'!$A$140,'Données projet'!$B$140,CT55+CS56-DB55)))</f>
        <v>264.2</v>
      </c>
      <c r="CU56" s="17">
        <f>CT56*VLOOKUP('Données projet'!$B$13,Paramètres!$A$1:$I$89,3,0)*VLOOKUP('Données projet'!$B$13,Paramètres!$A$1:$I$89,5,0)</f>
        <v>210.19752</v>
      </c>
      <c r="CV56" s="13">
        <f t="shared" si="41"/>
        <v>51.978746425856599</v>
      </c>
      <c r="CW56" s="20">
        <f t="shared" si="13"/>
        <v>456.62366402503358</v>
      </c>
      <c r="CX56" s="59">
        <f t="shared" si="14"/>
        <v>749.95699735836683</v>
      </c>
      <c r="CY56" s="59">
        <f ca="1">AVERAGE(OFFSET($CX$3,0,0,'Données projet'!$E$13+1,1))-AVERAGE(OFFSET($H$3,0,0,'Données projet'!$E$13+1,1))</f>
        <v>279.49721661620544</v>
      </c>
      <c r="CZ56" s="59">
        <f t="shared" si="42"/>
        <v>275.18739333988754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31.837258386953952</v>
      </c>
      <c r="DG56" s="21">
        <f>EXP(-LN(2)/25)*DG55+(1-EXP(-LN(2)/25))/(LN(2)/25)*Calculateur!DB56*Calculateur!DD56*VLOOKUP('Données projet'!$B$13,Paramètres!$A$1:$I$89,3,0)*0.475*44/12</f>
        <v>13.282391040545672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45.119649427499624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566.79999999999984</v>
      </c>
      <c r="O57" s="13">
        <f>N57*VLOOKUP('Données projet'!$B$9,Paramètres!$A$1:$I$89,3,0)*VLOOKUP('Données projet'!$B$9,Paramètres!$A$1:$I$89,5,0)</f>
        <v>316.8411999999999</v>
      </c>
      <c r="P57" s="13">
        <f t="shared" si="33"/>
        <v>74.695724902330795</v>
      </c>
      <c r="Q57" s="20">
        <f t="shared" si="53"/>
        <v>681.92681087155927</v>
      </c>
      <c r="R57" s="59">
        <f t="shared" si="0"/>
        <v>975.26014420489264</v>
      </c>
      <c r="S57" s="59">
        <f ca="1">AVERAGE(OFFSET($R$3,0,0,'Données projet'!$E$9+1,1))-AVERAGE(OFFSET($H$3,0,0,'Données projet'!$E$9+1,1))</f>
        <v>278.5296012747549</v>
      </c>
      <c r="T57" s="59">
        <f t="shared" si="34"/>
        <v>370.55343097937077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0.38500000000000001</v>
      </c>
      <c r="X57" s="16">
        <f>IF(ISNA(VLOOKUP(A57,'Données projet'!$A$35:$I$55,6,0)),0%,VLOOKUP(A57,'Données projet'!$A$35:$I$55,6,0)*VLOOKUP('Données projet'!$B$9,Paramètres!$A$1:$I$89,7,0))</f>
        <v>9.240000000000001E-2</v>
      </c>
      <c r="Y57" s="16">
        <f>IF(ISNA(VLOOKUP(A57,'Données projet'!$A$35:$I$55,7,0)),0%,VLOOKUP(A57,'Données projet'!$A$35:$I$55,7,0))</f>
        <v>0.13200000000000001</v>
      </c>
      <c r="Z57" s="21">
        <f>EXP(-LN(2)/35)*Z56+(1-EXP(-LN(2)/35))/(LN(2)/35)*V57*W57*VLOOKUP('Données projet'!$B$9,Paramètres!$A$1:$I$89,3,0)*0.475*44/12</f>
        <v>231.19058838852931</v>
      </c>
      <c r="AA57" s="21">
        <f>EXP(-LN(2)/25)*AA56+(1-EXP(-LN(2)/25))/(LN(2)/25)*Calculateur!V57*Calculateur!X57*VLOOKUP('Données projet'!$B$9,Paramètres!$A$1:$I$89,3,0)*0.475*44/12</f>
        <v>59.227252728732921</v>
      </c>
      <c r="AB57" s="21">
        <f>EXP(-LN(2)/2)*AB56+(1-EXP(-LN(2)/2))/(LN(2)/2)*V57*Y57*VLOOKUP('Données projet'!$B$9,Paramètres!$A$1:$I$89,3,0)*0.475*44/12</f>
        <v>48.311379430966142</v>
      </c>
      <c r="AC57" s="22">
        <f t="shared" si="3"/>
        <v>338.7292205482284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18.028571428571428</v>
      </c>
      <c r="AI57" s="13">
        <f>IF('Données projet'!$A$62&gt;35,AI56+AH57-AQ56,IF(A57&lt;'Données projet'!$A$62,$AF$205^A57,IF(A57='Données projet'!$A$62,'Données projet'!$B$62,AI56+AH57-AQ56)))</f>
        <v>290.65714285714262</v>
      </c>
      <c r="AJ57" s="13">
        <f>AI57*VLOOKUP('Données projet'!$B$10,Paramètres!$A$1:$I$89,3,0)*VLOOKUP('Données projet'!$B$10,Paramètres!$A$1:$I$89,5,0)</f>
        <v>139.80608571428562</v>
      </c>
      <c r="AK57" s="13">
        <f t="shared" si="35"/>
        <v>36.252578872265744</v>
      </c>
      <c r="AL57" s="20">
        <f t="shared" si="4"/>
        <v>306.6355074882436</v>
      </c>
      <c r="AM57" s="59">
        <f t="shared" si="5"/>
        <v>599.96884082157692</v>
      </c>
      <c r="AN57" s="59">
        <f ca="1">AVERAGE(OFFSET($AM$3,0,0,'Données projet'!$E$10+1,1))-AVERAGE(OFFSET($H$3,0,0,'Données projet'!$E$10+1,1))</f>
        <v>255.05550867459038</v>
      </c>
      <c r="AO57" s="59">
        <f t="shared" si="36"/>
        <v>119.28597757550295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17.827046607299526</v>
      </c>
      <c r="AV57" s="21">
        <f>EXP(-LN(2)/25)*AV56+(1-EXP(-LN(2)/25))/(LN(2)/25)*Calculateur!AQ57*Calculateur!AS57*VLOOKUP('Données projet'!$B$10,Paramètres!$A$1:$I$89,3,0)*0.475*44/12</f>
        <v>26.55894881430363</v>
      </c>
      <c r="AW57" s="21">
        <f>EXP(-LN(2)/2)*AW56+(1-EXP(-LN(2)/2))/(LN(2)/2)*AQ57*AT57*VLOOKUP('Données projet'!$B$10,Paramètres!$A$1:$I$89,3,0)*0.475*44/12</f>
        <v>4.2219682187914467</v>
      </c>
      <c r="AX57" s="21">
        <f t="shared" si="6"/>
        <v>48.607963640394601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11.170769230769233</v>
      </c>
      <c r="BD57" s="12">
        <f>IF('Données projet'!$A$88&gt;35,BD56+BC57-BL56,IF(A57&lt;'Données projet'!$A$88,$BA$205^A57,IF(A57='Données projet'!$A$88,'Données projet'!$B$88,BD56+BC57-BL56)))</f>
        <v>250.92000000000021</v>
      </c>
      <c r="BE57" s="13">
        <f>BD57*VLOOKUP('Données projet'!$B$11,Paramètres!$A$1:$I$89,3,0)*VLOOKUP('Données projet'!$B$11,Paramètres!$A$1:$I$89,5,0)</f>
        <v>117.43056000000011</v>
      </c>
      <c r="BF57" s="13">
        <f t="shared" si="37"/>
        <v>31.074966780724139</v>
      </c>
      <c r="BG57" s="20">
        <f t="shared" si="7"/>
        <v>258.64712580976141</v>
      </c>
      <c r="BH57" s="59">
        <f t="shared" si="8"/>
        <v>551.98045914309478</v>
      </c>
      <c r="BI57" s="59">
        <f ca="1">AVERAGE(OFFSET($BH$3,0,0,'Données projet'!$E$11+1,1))-AVERAGE(OFFSET($H$3,0,0,'Données projet'!$E$11+1,1))</f>
        <v>181.79645720099597</v>
      </c>
      <c r="BJ57" s="59">
        <f t="shared" si="38"/>
        <v>120.20040029102233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29.822865635069405</v>
      </c>
      <c r="BR57" s="21">
        <f>EXP(-LN(2)/2)*BR56+(1-EXP(-LN(2)/2))/(LN(2)/2)*BL57*BO57*VLOOKUP('Données projet'!$B$11,Paramètres!$A$1:$I$89,3,0)*0.475*44/12</f>
        <v>14.026537550913732</v>
      </c>
      <c r="BS57" s="22">
        <f t="shared" si="9"/>
        <v>43.849403185983135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10.663076923076932</v>
      </c>
      <c r="BY57" s="12">
        <f>IF('Données projet'!$A$114&gt;35,BY56+BX57-CG56,IF(A57&lt;'Données projet'!$A$114,$BV$205^A57,IF(A57='Données projet'!$A$114,'Données projet'!$B$114,BY56+BX57-CG56)))</f>
        <v>278.44461538461536</v>
      </c>
      <c r="BZ57" s="13">
        <f>BY57*VLOOKUP('Données projet'!$B$12,Paramètres!$A$1:$I$89,3,0)*VLOOKUP('Données projet'!$B$12,Paramètres!$A$1:$I$89,5,0)</f>
        <v>166.50987999999998</v>
      </c>
      <c r="CA57" s="13">
        <f t="shared" si="39"/>
        <v>42.307411610776938</v>
      </c>
      <c r="CB57" s="20">
        <f t="shared" si="10"/>
        <v>363.69011622210314</v>
      </c>
      <c r="CC57" s="59">
        <f t="shared" si="11"/>
        <v>657.0234495554364</v>
      </c>
      <c r="CD57" s="59">
        <f ca="1">AVERAGE(OFFSET($CC$3,0,0,'Données projet'!$E$12+1,1))-AVERAGE(OFFSET($H$3,0,0,'Données projet'!$E$12+1,1))</f>
        <v>213.18424462765137</v>
      </c>
      <c r="CE57" s="59">
        <f t="shared" si="40"/>
        <v>158.77848520346532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36.223897228409228</v>
      </c>
      <c r="CL57" s="21">
        <f>EXP(-LN(2)/25)*CL56+(1-EXP(-LN(2)/25))/(LN(2)/25)*Calculateur!CG57*Calculateur!CI57*VLOOKUP('Données projet'!$B$12,Paramètres!$A$1:$I$89,3,0)*0.475*44/12</f>
        <v>12.131848926432395</v>
      </c>
      <c r="CM57" s="21">
        <f>EXP(-LN(2)/2)*CM56+(1-EXP(-LN(2)/2))/(LN(2)/2)*CG57*CJ57*VLOOKUP('Données projet'!$B$12,Paramètres!$A$1:$I$89,3,0)*0.475*44/12</f>
        <v>1.2963341461594309</v>
      </c>
      <c r="CN57" s="22">
        <f t="shared" si="12"/>
        <v>49.652080301001057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7.4</v>
      </c>
      <c r="CT57" s="12">
        <f>IF('Données projet'!$A$140&gt;35,CT56+CS57-DB56,IF(A57&lt;'Données projet'!$A$140,$CQ$205^A57,IF(A57='Données projet'!$A$140,'Données projet'!$B$140,CT56+CS57-DB56)))</f>
        <v>271.59999999999997</v>
      </c>
      <c r="CU57" s="17">
        <f>CT57*VLOOKUP('Données projet'!$B$13,Paramètres!$A$1:$I$89,3,0)*VLOOKUP('Données projet'!$B$13,Paramètres!$A$1:$I$89,5,0)</f>
        <v>216.08496</v>
      </c>
      <c r="CV57" s="13">
        <f t="shared" si="41"/>
        <v>53.26308393083157</v>
      </c>
      <c r="CW57" s="20">
        <f t="shared" si="13"/>
        <v>469.11450984619825</v>
      </c>
      <c r="CX57" s="59">
        <f t="shared" si="14"/>
        <v>762.44784317953156</v>
      </c>
      <c r="CY57" s="59">
        <f ca="1">AVERAGE(OFFSET($CX$3,0,0,'Données projet'!$E$13+1,1))-AVERAGE(OFFSET($H$3,0,0,'Données projet'!$E$13+1,1))</f>
        <v>279.49721661620544</v>
      </c>
      <c r="CZ57" s="59">
        <f t="shared" si="42"/>
        <v>275.18739333988754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31.212949168795951</v>
      </c>
      <c r="DG57" s="21">
        <f>EXP(-LN(2)/25)*DG56+(1-EXP(-LN(2)/25))/(LN(2)/25)*Calculateur!DB57*Calculateur!DD57*VLOOKUP('Données projet'!$B$13,Paramètres!$A$1:$I$89,3,0)*0.475*44/12</f>
        <v>12.919183359051363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44.132132527847318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-1.1368683772161603E-13</v>
      </c>
      <c r="O58" s="13">
        <f>N58*VLOOKUP('Données projet'!$B$9,Paramètres!$A$1:$I$89,3,0)*VLOOKUP('Données projet'!$B$9,Paramètres!$A$1:$I$89,5,0)</f>
        <v>-6.3550942286383367E-14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278.5296012747549</v>
      </c>
      <c r="T58" s="59">
        <f t="shared" si="34"/>
        <v>370.55343097937077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226.65708196256534</v>
      </c>
      <c r="AA58" s="21">
        <f>EXP(-LN(2)/25)*AA57+(1-EXP(-LN(2)/25))/(LN(2)/25)*Calculateur!V58*Calculateur!X58*VLOOKUP('Données projet'!$B$9,Paramètres!$A$1:$I$89,3,0)*0.475*44/12</f>
        <v>57.607680388239864</v>
      </c>
      <c r="AB58" s="21">
        <f>EXP(-LN(2)/2)*AB57+(1-EXP(-LN(2)/2))/(LN(2)/2)*V58*Y58*VLOOKUP('Données projet'!$B$9,Paramètres!$A$1:$I$89,3,0)*0.475*44/12</f>
        <v>34.161304004112452</v>
      </c>
      <c r="AC58" s="22">
        <f t="shared" si="3"/>
        <v>318.42606635491768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18.028571428571428</v>
      </c>
      <c r="AI58" s="13">
        <f>IF('Données projet'!$A$62&gt;35,AI57+AH58-AQ57,IF(A58&lt;'Données projet'!$A$62,$AF$205^A58,IF(A58='Données projet'!$A$62,'Données projet'!$B$62,AI57+AH58-AQ57)))</f>
        <v>308.68571428571403</v>
      </c>
      <c r="AJ58" s="13">
        <f>AI58*VLOOKUP('Données projet'!$B$10,Paramètres!$A$1:$I$89,3,0)*VLOOKUP('Données projet'!$B$10,Paramètres!$A$1:$I$89,5,0)</f>
        <v>148.47782857142846</v>
      </c>
      <c r="AK58" s="13">
        <f t="shared" si="35"/>
        <v>38.232461625345479</v>
      </c>
      <c r="AL58" s="20">
        <f t="shared" si="4"/>
        <v>325.18708875938125</v>
      </c>
      <c r="AM58" s="59">
        <f t="shared" si="5"/>
        <v>618.52042209271463</v>
      </c>
      <c r="AN58" s="59">
        <f ca="1">AVERAGE(OFFSET($AM$3,0,0,'Données projet'!$E$10+1,1))-AVERAGE(OFFSET($H$3,0,0,'Données projet'!$E$10+1,1))</f>
        <v>255.05550867459038</v>
      </c>
      <c r="AO58" s="59">
        <f t="shared" si="36"/>
        <v>119.28597757550295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17.477469096755151</v>
      </c>
      <c r="AV58" s="21">
        <f>EXP(-LN(2)/25)*AV57+(1-EXP(-LN(2)/25))/(LN(2)/25)*Calculateur!AQ58*Calculateur!AS58*VLOOKUP('Données projet'!$B$10,Paramètres!$A$1:$I$89,3,0)*0.475*44/12</f>
        <v>25.83269296230208</v>
      </c>
      <c r="AW58" s="21">
        <f>EXP(-LN(2)/2)*AW57+(1-EXP(-LN(2)/2))/(LN(2)/2)*AQ58*AT58*VLOOKUP('Données projet'!$B$10,Paramètres!$A$1:$I$89,3,0)*0.475*44/12</f>
        <v>2.9853823574615217</v>
      </c>
      <c r="AX58" s="21">
        <f t="shared" si="6"/>
        <v>46.295544416518759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11.170769230769233</v>
      </c>
      <c r="BD58" s="12">
        <f>IF('Données projet'!$A$88&gt;35,BD57+BC58-BL57,IF(A58&lt;'Données projet'!$A$88,$BA$205^A58,IF(A58='Données projet'!$A$88,'Données projet'!$B$88,BD57+BC58-BL57)))</f>
        <v>262.09076923076947</v>
      </c>
      <c r="BE58" s="13">
        <f>BD58*VLOOKUP('Données projet'!$B$11,Paramètres!$A$1:$I$89,3,0)*VLOOKUP('Données projet'!$B$11,Paramètres!$A$1:$I$89,5,0)</f>
        <v>122.6584800000001</v>
      </c>
      <c r="BF58" s="13">
        <f t="shared" si="37"/>
        <v>32.294253146422101</v>
      </c>
      <c r="BG58" s="20">
        <f t="shared" si="7"/>
        <v>269.87601023001861</v>
      </c>
      <c r="BH58" s="59">
        <f t="shared" si="8"/>
        <v>563.20934356335192</v>
      </c>
      <c r="BI58" s="59">
        <f ca="1">AVERAGE(OFFSET($BH$3,0,0,'Données projet'!$E$11+1,1))-AVERAGE(OFFSET($H$3,0,0,'Données projet'!$E$11+1,1))</f>
        <v>181.79645720099597</v>
      </c>
      <c r="BJ58" s="59">
        <f t="shared" si="38"/>
        <v>120.20040029102233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29.007357805962091</v>
      </c>
      <c r="BR58" s="21">
        <f>EXP(-LN(2)/2)*BR57+(1-EXP(-LN(2)/2))/(LN(2)/2)*BL58*BO58*VLOOKUP('Données projet'!$B$11,Paramètres!$A$1:$I$89,3,0)*0.475*44/12</f>
        <v>9.9182598188188482</v>
      </c>
      <c r="BS58" s="22">
        <f t="shared" si="9"/>
        <v>38.925617624780941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10.663076923076932</v>
      </c>
      <c r="BY58" s="12">
        <f>IF('Données projet'!$A$114&gt;35,BY57+BX58-CG57,IF(A58&lt;'Données projet'!$A$114,$BV$205^A58,IF(A58='Données projet'!$A$114,'Données projet'!$B$114,BY57+BX58-CG57)))</f>
        <v>289.10769230769228</v>
      </c>
      <c r="BZ58" s="13">
        <f>BY58*VLOOKUP('Données projet'!$B$12,Paramètres!$A$1:$I$89,3,0)*VLOOKUP('Données projet'!$B$12,Paramètres!$A$1:$I$89,5,0)</f>
        <v>172.88639999999998</v>
      </c>
      <c r="CA58" s="13">
        <f t="shared" si="39"/>
        <v>43.735846359314316</v>
      </c>
      <c r="CB58" s="20">
        <f t="shared" si="10"/>
        <v>377.28374574247232</v>
      </c>
      <c r="CC58" s="59">
        <f t="shared" si="11"/>
        <v>670.61707907580558</v>
      </c>
      <c r="CD58" s="59">
        <f ca="1">AVERAGE(OFFSET($CC$3,0,0,'Données projet'!$E$12+1,1))-AVERAGE(OFFSET($H$3,0,0,'Données projet'!$E$12+1,1))</f>
        <v>213.18424462765137</v>
      </c>
      <c r="CE58" s="59">
        <f t="shared" si="40"/>
        <v>158.77848520346532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35.513568698155794</v>
      </c>
      <c r="CL58" s="21">
        <f>EXP(-LN(2)/25)*CL57+(1-EXP(-LN(2)/25))/(LN(2)/25)*Calculateur!CG58*Calculateur!CI58*VLOOKUP('Données projet'!$B$12,Paramètres!$A$1:$I$89,3,0)*0.475*44/12</f>
        <v>11.800102879552893</v>
      </c>
      <c r="CM58" s="21">
        <f>EXP(-LN(2)/2)*CM57+(1-EXP(-LN(2)/2))/(LN(2)/2)*CG58*CJ58*VLOOKUP('Données projet'!$B$12,Paramètres!$A$1:$I$89,3,0)*0.475*44/12</f>
        <v>0.91664666543300666</v>
      </c>
      <c r="CN58" s="22">
        <f t="shared" si="12"/>
        <v>48.230318243141696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279</v>
      </c>
      <c r="CR58" s="12">
        <f>VLOOKUP(A58,'Données projet'!$A$139:$I$159,9,0)</f>
        <v>7.4</v>
      </c>
      <c r="CS58" s="12">
        <f t="array" ref="CS58">INDEX(CR:CR,MIN(IF(ISNUMBER(CR58:CR254),ROW(CR58:CR254),"")))</f>
        <v>7.4</v>
      </c>
      <c r="CT58" s="12">
        <f>IF('Données projet'!$A$140&gt;35,CT57+CS58-DB57,IF(A58&lt;'Données projet'!$A$140,$CQ$205^A58,IF(A58='Données projet'!$A$140,'Données projet'!$B$140,CT57+CS58-DB57)))</f>
        <v>278.99999999999994</v>
      </c>
      <c r="CU58" s="17">
        <f>CT58*VLOOKUP('Données projet'!$B$13,Paramètres!$A$1:$I$89,3,0)*VLOOKUP('Données projet'!$B$13,Paramètres!$A$1:$I$89,5,0)</f>
        <v>221.97239999999996</v>
      </c>
      <c r="CV58" s="13">
        <f t="shared" si="41"/>
        <v>54.543354171476821</v>
      </c>
      <c r="CW58" s="20">
        <f t="shared" si="13"/>
        <v>481.59827184865543</v>
      </c>
      <c r="CX58" s="59">
        <f t="shared" si="14"/>
        <v>774.93160518198874</v>
      </c>
      <c r="CY58" s="59">
        <f ca="1">AVERAGE(OFFSET($CX$3,0,0,'Données projet'!$E$13+1,1))-AVERAGE(OFFSET($H$3,0,0,'Données projet'!$E$13+1,1))</f>
        <v>279.49721661620544</v>
      </c>
      <c r="CZ58" s="59">
        <f t="shared" si="42"/>
        <v>275.18739333988754</v>
      </c>
      <c r="DA58" s="15">
        <f>IF(ISNA(VLOOKUP(A58,'Données projet'!$A$139:$I$159,3,0)),0,VLOOKUP(A58,'Données projet'!$A$139:$I$159,3,0))</f>
        <v>9</v>
      </c>
      <c r="DB58" s="15">
        <f>IF(ISNA(VLOOKUP(A58,'Données projet'!$A$139:$I$159,4,0)),0,VLOOKUP(A58,'Données projet'!$A$139:$I$159,4,0))</f>
        <v>16</v>
      </c>
      <c r="DC58" s="16">
        <f>IF(ISNA(VLOOKUP(A58,'Données projet'!$A$139:$I$159,5,0)),0%,VLOOKUP(A58,'Données projet'!$A$139:$I$159,5,0)*VLOOKUP('Données projet'!$B$13,Paramètres!$A$1:$I$89,7,0))</f>
        <v>0.46640000000000004</v>
      </c>
      <c r="DD58" s="16">
        <f>IF(ISNA(VLOOKUP(A58,'Données projet'!$A$139:$I$159,6,0)),0%,VLOOKUP(A58,'Données projet'!$A$139:$I$159,6,0)*VLOOKUP('Données projet'!$B$13,Paramètres!$A$1:$I$89,7,0))</f>
        <v>3.1800000000000002E-2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37.164154368291364</v>
      </c>
      <c r="DG58" s="21">
        <f>EXP(-LN(2)/25)*DG57+(1-EXP(-LN(2)/25))/(LN(2)/25)*Calculateur!DB58*Calculateur!DD58*VLOOKUP('Données projet'!$B$13,Paramètres!$A$1:$I$89,3,0)*0.475*44/12</f>
        <v>13.011641473773929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50.175795842065291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-1.1368683772161603E-13</v>
      </c>
      <c r="O59" s="13">
        <f>N59*VLOOKUP('Données projet'!$B$9,Paramètres!$A$1:$I$89,3,0)*VLOOKUP('Données projet'!$B$9,Paramètres!$A$1:$I$89,5,0)</f>
        <v>-6.3550942286383367E-14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278.5296012747549</v>
      </c>
      <c r="T59" s="59">
        <f t="shared" si="34"/>
        <v>370.55343097937077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222.21247483244866</v>
      </c>
      <c r="AA59" s="21">
        <f>EXP(-LN(2)/25)*AA58+(1-EXP(-LN(2)/25))/(LN(2)/25)*Calculateur!V59*Calculateur!X59*VLOOKUP('Données projet'!$B$9,Paramètres!$A$1:$I$89,3,0)*0.475*44/12</f>
        <v>56.032395338567198</v>
      </c>
      <c r="AB59" s="21">
        <f>EXP(-LN(2)/2)*AB58+(1-EXP(-LN(2)/2))/(LN(2)/2)*V59*Y59*VLOOKUP('Données projet'!$B$9,Paramètres!$A$1:$I$89,3,0)*0.475*44/12</f>
        <v>24.155689715483074</v>
      </c>
      <c r="AC59" s="22">
        <f t="shared" si="3"/>
        <v>302.40055988649891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18.028571428571428</v>
      </c>
      <c r="AI59" s="13">
        <f>IF('Données projet'!$A$62&gt;35,AI58+AH59-AQ58,IF(A59&lt;'Données projet'!$A$62,$AF$205^A59,IF(A59='Données projet'!$A$62,'Données projet'!$B$62,AI58+AH59-AQ58)))</f>
        <v>326.71428571428544</v>
      </c>
      <c r="AJ59" s="13">
        <f>AI59*VLOOKUP('Données projet'!$B$10,Paramètres!$A$1:$I$89,3,0)*VLOOKUP('Données projet'!$B$10,Paramètres!$A$1:$I$89,5,0)</f>
        <v>157.14957142857131</v>
      </c>
      <c r="AK59" s="13">
        <f t="shared" si="35"/>
        <v>40.198922214865838</v>
      </c>
      <c r="AL59" s="20">
        <f t="shared" si="4"/>
        <v>343.71529309565295</v>
      </c>
      <c r="AM59" s="59">
        <f t="shared" si="5"/>
        <v>637.04862642898627</v>
      </c>
      <c r="AN59" s="59">
        <f ca="1">AVERAGE(OFFSET($AM$3,0,0,'Données projet'!$E$10+1,1))-AVERAGE(OFFSET($H$3,0,0,'Données projet'!$E$10+1,1))</f>
        <v>255.05550867459038</v>
      </c>
      <c r="AO59" s="59">
        <f t="shared" si="36"/>
        <v>119.28597757550295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17.134746587971325</v>
      </c>
      <c r="AV59" s="21">
        <f>EXP(-LN(2)/25)*AV58+(1-EXP(-LN(2)/25))/(LN(2)/25)*Calculateur!AQ59*Calculateur!AS59*VLOOKUP('Données projet'!$B$10,Paramètres!$A$1:$I$89,3,0)*0.475*44/12</f>
        <v>25.126296614765646</v>
      </c>
      <c r="AW59" s="21">
        <f>EXP(-LN(2)/2)*AW58+(1-EXP(-LN(2)/2))/(LN(2)/2)*AQ59*AT59*VLOOKUP('Données projet'!$B$10,Paramètres!$A$1:$I$89,3,0)*0.475*44/12</f>
        <v>2.1109841093957238</v>
      </c>
      <c r="AX59" s="21">
        <f t="shared" si="6"/>
        <v>44.372027312132694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11.170769230769233</v>
      </c>
      <c r="BD59" s="12">
        <f>IF('Données projet'!$A$88&gt;35,BD58+BC59-BL58,IF(A59&lt;'Données projet'!$A$88,$BA$205^A59,IF(A59='Données projet'!$A$88,'Données projet'!$B$88,BD58+BC59-BL58)))</f>
        <v>273.26153846153869</v>
      </c>
      <c r="BE59" s="13">
        <f>BD59*VLOOKUP('Données projet'!$B$11,Paramètres!$A$1:$I$89,3,0)*VLOOKUP('Données projet'!$B$11,Paramètres!$A$1:$I$89,5,0)</f>
        <v>127.88640000000011</v>
      </c>
      <c r="BF59" s="13">
        <f t="shared" si="37"/>
        <v>33.507503472593491</v>
      </c>
      <c r="BG59" s="20">
        <f t="shared" si="7"/>
        <v>281.09438188143378</v>
      </c>
      <c r="BH59" s="59">
        <f t="shared" si="8"/>
        <v>574.42771521476709</v>
      </c>
      <c r="BI59" s="59">
        <f ca="1">AVERAGE(OFFSET($BH$3,0,0,'Données projet'!$E$11+1,1))-AVERAGE(OFFSET($H$3,0,0,'Données projet'!$E$11+1,1))</f>
        <v>181.79645720099597</v>
      </c>
      <c r="BJ59" s="59">
        <f t="shared" si="38"/>
        <v>120.20040029102233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28.214150081327407</v>
      </c>
      <c r="BR59" s="21">
        <f>EXP(-LN(2)/2)*BR58+(1-EXP(-LN(2)/2))/(LN(2)/2)*BL59*BO59*VLOOKUP('Données projet'!$B$11,Paramètres!$A$1:$I$89,3,0)*0.475*44/12</f>
        <v>7.0132687754568659</v>
      </c>
      <c r="BS59" s="22">
        <f t="shared" si="9"/>
        <v>35.227418856784276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10.663076923076932</v>
      </c>
      <c r="BY59" s="12">
        <f>IF('Données projet'!$A$114&gt;35,BY58+BX59-CG58,IF(A59&lt;'Données projet'!$A$114,$BV$205^A59,IF(A59='Données projet'!$A$114,'Données projet'!$B$114,BY58+BX59-CG58)))</f>
        <v>299.77076923076919</v>
      </c>
      <c r="BZ59" s="13">
        <f>BY59*VLOOKUP('Données projet'!$B$12,Paramètres!$A$1:$I$89,3,0)*VLOOKUP('Données projet'!$B$12,Paramètres!$A$1:$I$89,5,0)</f>
        <v>179.26291999999998</v>
      </c>
      <c r="CA59" s="13">
        <f t="shared" si="39"/>
        <v>45.158160305042841</v>
      </c>
      <c r="CB59" s="20">
        <f t="shared" si="10"/>
        <v>390.8667148646162</v>
      </c>
      <c r="CC59" s="59">
        <f t="shared" si="11"/>
        <v>684.20004819794951</v>
      </c>
      <c r="CD59" s="59">
        <f ca="1">AVERAGE(OFFSET($CC$3,0,0,'Données projet'!$E$12+1,1))-AVERAGE(OFFSET($H$3,0,0,'Données projet'!$E$12+1,1))</f>
        <v>213.18424462765137</v>
      </c>
      <c r="CE59" s="59">
        <f t="shared" si="40"/>
        <v>158.77848520346532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34.817169277123007</v>
      </c>
      <c r="CL59" s="21">
        <f>EXP(-LN(2)/25)*CL58+(1-EXP(-LN(2)/25))/(LN(2)/25)*Calculateur!CG59*Calculateur!CI59*VLOOKUP('Données projet'!$B$12,Paramètres!$A$1:$I$89,3,0)*0.475*44/12</f>
        <v>11.477428445771078</v>
      </c>
      <c r="CM59" s="21">
        <f>EXP(-LN(2)/2)*CM58+(1-EXP(-LN(2)/2))/(LN(2)/2)*CG59*CJ59*VLOOKUP('Données projet'!$B$12,Paramètres!$A$1:$I$89,3,0)*0.475*44/12</f>
        <v>0.64816707307971555</v>
      </c>
      <c r="CN59" s="22">
        <f t="shared" si="12"/>
        <v>46.942764795973801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6.2</v>
      </c>
      <c r="CT59" s="12">
        <f>IF('Données projet'!$A$140&gt;35,CT58+CS59-DB58,IF(A59&lt;'Données projet'!$A$140,$CQ$205^A59,IF(A59='Données projet'!$A$140,'Données projet'!$B$140,CT58+CS59-DB58)))</f>
        <v>269.19999999999993</v>
      </c>
      <c r="CU59" s="17">
        <f>CT59*VLOOKUP('Données projet'!$B$13,Paramètres!$A$1:$I$89,3,0)*VLOOKUP('Données projet'!$B$13,Paramètres!$A$1:$I$89,5,0)</f>
        <v>214.17551999999998</v>
      </c>
      <c r="CV59" s="13">
        <f t="shared" si="41"/>
        <v>52.846993696165399</v>
      </c>
      <c r="CW59" s="20">
        <f t="shared" si="13"/>
        <v>465.06421135415468</v>
      </c>
      <c r="CX59" s="59">
        <f t="shared" si="14"/>
        <v>758.39754468748799</v>
      </c>
      <c r="CY59" s="59">
        <f ca="1">AVERAGE(OFFSET($CX$3,0,0,'Données projet'!$E$13+1,1))-AVERAGE(OFFSET($H$3,0,0,'Données projet'!$E$13+1,1))</f>
        <v>279.49721661620544</v>
      </c>
      <c r="CZ59" s="59">
        <f t="shared" si="42"/>
        <v>275.18739333988754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36.435387969025065</v>
      </c>
      <c r="DG59" s="21">
        <f>EXP(-LN(2)/25)*DG58+(1-EXP(-LN(2)/25))/(LN(2)/25)*Calculateur!DB59*Calculateur!DD59*VLOOKUP('Données projet'!$B$13,Paramètres!$A$1:$I$89,3,0)*0.475*44/12</f>
        <v>12.655837453421094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49.091225422446158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-1.1368683772161603E-13</v>
      </c>
      <c r="O60" s="13">
        <f>N60*VLOOKUP('Données projet'!$B$9,Paramètres!$A$1:$I$89,3,0)*VLOOKUP('Données projet'!$B$9,Paramètres!$A$1:$I$89,5,0)</f>
        <v>-6.3550942286383367E-14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278.5296012747549</v>
      </c>
      <c r="T60" s="59">
        <f t="shared" si="34"/>
        <v>370.55343097937077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217.8550237372109</v>
      </c>
      <c r="AA60" s="21">
        <f>EXP(-LN(2)/25)*AA59+(1-EXP(-LN(2)/25))/(LN(2)/25)*Calculateur!V60*Calculateur!X60*VLOOKUP('Données projet'!$B$9,Paramètres!$A$1:$I$89,3,0)*0.475*44/12</f>
        <v>54.500186541418472</v>
      </c>
      <c r="AB60" s="21">
        <f>EXP(-LN(2)/2)*AB59+(1-EXP(-LN(2)/2))/(LN(2)/2)*V60*Y60*VLOOKUP('Données projet'!$B$9,Paramètres!$A$1:$I$89,3,0)*0.475*44/12</f>
        <v>17.08065200205623</v>
      </c>
      <c r="AC60" s="22">
        <f t="shared" si="3"/>
        <v>289.43586228068563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18.028571428571428</v>
      </c>
      <c r="AI60" s="13">
        <f>IF('Données projet'!$A$62&gt;35,AI59+AH60-AQ59,IF(A60&lt;'Données projet'!$A$62,$AF$205^A60,IF(A60='Données projet'!$A$62,'Données projet'!$B$62,AI59+AH60-AQ59)))</f>
        <v>344.74285714285685</v>
      </c>
      <c r="AJ60" s="13">
        <f>AI60*VLOOKUP('Données projet'!$B$10,Paramètres!$A$1:$I$89,3,0)*VLOOKUP('Données projet'!$B$10,Paramètres!$A$1:$I$89,5,0)</f>
        <v>165.82131428571415</v>
      </c>
      <c r="AK60" s="13">
        <f t="shared" si="35"/>
        <v>42.152785717687124</v>
      </c>
      <c r="AL60" s="20">
        <f t="shared" si="4"/>
        <v>362.22155750592384</v>
      </c>
      <c r="AM60" s="59">
        <f t="shared" si="5"/>
        <v>655.55489083925715</v>
      </c>
      <c r="AN60" s="59">
        <f ca="1">AVERAGE(OFFSET($AM$3,0,0,'Données projet'!$E$10+1,1))-AVERAGE(OFFSET($H$3,0,0,'Données projet'!$E$10+1,1))</f>
        <v>255.05550867459038</v>
      </c>
      <c r="AO60" s="59">
        <f t="shared" si="36"/>
        <v>119.28597757550295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16.79874465854466</v>
      </c>
      <c r="AV60" s="21">
        <f>EXP(-LN(2)/25)*AV59+(1-EXP(-LN(2)/25))/(LN(2)/25)*Calculateur!AQ60*Calculateur!AS60*VLOOKUP('Données projet'!$B$10,Paramètres!$A$1:$I$89,3,0)*0.475*44/12</f>
        <v>24.439216712500368</v>
      </c>
      <c r="AW60" s="21">
        <f>EXP(-LN(2)/2)*AW59+(1-EXP(-LN(2)/2))/(LN(2)/2)*AQ60*AT60*VLOOKUP('Données projet'!$B$10,Paramètres!$A$1:$I$89,3,0)*0.475*44/12</f>
        <v>1.4926911787307611</v>
      </c>
      <c r="AX60" s="21">
        <f t="shared" si="6"/>
        <v>42.73065254977579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11.170769230769233</v>
      </c>
      <c r="BD60" s="12">
        <f>IF('Données projet'!$A$88&gt;35,BD59+BC60-BL59,IF(A60&lt;'Données projet'!$A$88,$BA$205^A60,IF(A60='Données projet'!$A$88,'Données projet'!$B$88,BD59+BC60-BL59)))</f>
        <v>284.43230769230792</v>
      </c>
      <c r="BE60" s="13">
        <f>BD60*VLOOKUP('Données projet'!$B$11,Paramètres!$A$1:$I$89,3,0)*VLOOKUP('Données projet'!$B$11,Paramètres!$A$1:$I$89,5,0)</f>
        <v>133.11432000000011</v>
      </c>
      <c r="BF60" s="13">
        <f t="shared" si="37"/>
        <v>34.714992732392233</v>
      </c>
      <c r="BG60" s="20">
        <f t="shared" si="7"/>
        <v>292.30271967558332</v>
      </c>
      <c r="BH60" s="59">
        <f t="shared" si="8"/>
        <v>585.63605300891663</v>
      </c>
      <c r="BI60" s="59">
        <f ca="1">AVERAGE(OFFSET($BH$3,0,0,'Données projet'!$E$11+1,1))-AVERAGE(OFFSET($H$3,0,0,'Données projet'!$E$11+1,1))</f>
        <v>181.79645720099597</v>
      </c>
      <c r="BJ60" s="59">
        <f t="shared" si="38"/>
        <v>120.20040029102233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27.442632663635841</v>
      </c>
      <c r="BR60" s="21">
        <f>EXP(-LN(2)/2)*BR59+(1-EXP(-LN(2)/2))/(LN(2)/2)*BL60*BO60*VLOOKUP('Données projet'!$B$11,Paramètres!$A$1:$I$89,3,0)*0.475*44/12</f>
        <v>4.9591299094094241</v>
      </c>
      <c r="BS60" s="22">
        <f t="shared" si="9"/>
        <v>32.401762573045268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10.663076923076932</v>
      </c>
      <c r="BY60" s="12">
        <f>IF('Données projet'!$A$114&gt;35,BY59+BX60-CG59,IF(A60&lt;'Données projet'!$A$114,$BV$205^A60,IF(A60='Données projet'!$A$114,'Données projet'!$B$114,BY59+BX60-CG59)))</f>
        <v>310.4338461538461</v>
      </c>
      <c r="BZ60" s="13">
        <f>BY60*VLOOKUP('Données projet'!$B$12,Paramètres!$A$1:$I$89,3,0)*VLOOKUP('Données projet'!$B$12,Paramètres!$A$1:$I$89,5,0)</f>
        <v>185.63943999999998</v>
      </c>
      <c r="CA60" s="13">
        <f t="shared" si="39"/>
        <v>46.574596113982338</v>
      </c>
      <c r="CB60" s="20">
        <f t="shared" si="10"/>
        <v>404.43944623185251</v>
      </c>
      <c r="CC60" s="59">
        <f t="shared" si="11"/>
        <v>697.77277956518583</v>
      </c>
      <c r="CD60" s="59">
        <f ca="1">AVERAGE(OFFSET($CC$3,0,0,'Données projet'!$E$12+1,1))-AVERAGE(OFFSET($H$3,0,0,'Données projet'!$E$12+1,1))</f>
        <v>213.18424462765137</v>
      </c>
      <c r="CE60" s="59">
        <f t="shared" si="40"/>
        <v>158.77848520346532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34.134425823974965</v>
      </c>
      <c r="CL60" s="21">
        <f>EXP(-LN(2)/25)*CL59+(1-EXP(-LN(2)/25))/(LN(2)/25)*Calculateur!CG60*Calculateur!CI60*VLOOKUP('Données projet'!$B$12,Paramètres!$A$1:$I$89,3,0)*0.475*44/12</f>
        <v>11.163577561349738</v>
      </c>
      <c r="CM60" s="21">
        <f>EXP(-LN(2)/2)*CM59+(1-EXP(-LN(2)/2))/(LN(2)/2)*CG60*CJ60*VLOOKUP('Données projet'!$B$12,Paramètres!$A$1:$I$89,3,0)*0.475*44/12</f>
        <v>0.45832333271650344</v>
      </c>
      <c r="CN60" s="22">
        <f t="shared" si="12"/>
        <v>45.756326718041208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6.2</v>
      </c>
      <c r="CT60" s="12">
        <f>IF('Données projet'!$A$140&gt;35,CT59+CS60-DB59,IF(A60&lt;'Données projet'!$A$140,$CQ$205^A60,IF(A60='Données projet'!$A$140,'Données projet'!$B$140,CT59+CS60-DB59)))</f>
        <v>275.39999999999992</v>
      </c>
      <c r="CU60" s="17">
        <f>CT60*VLOOKUP('Données projet'!$B$13,Paramètres!$A$1:$I$89,3,0)*VLOOKUP('Données projet'!$B$13,Paramètres!$A$1:$I$89,5,0)</f>
        <v>219.10823999999994</v>
      </c>
      <c r="CV60" s="13">
        <f t="shared" si="41"/>
        <v>53.921020297295854</v>
      </c>
      <c r="CW60" s="20">
        <f t="shared" si="13"/>
        <v>475.52596168445672</v>
      </c>
      <c r="CX60" s="59">
        <f t="shared" si="14"/>
        <v>768.85929501779003</v>
      </c>
      <c r="CY60" s="59">
        <f ca="1">AVERAGE(OFFSET($CX$3,0,0,'Données projet'!$E$13+1,1))-AVERAGE(OFFSET($H$3,0,0,'Données projet'!$E$13+1,1))</f>
        <v>279.49721661620544</v>
      </c>
      <c r="CZ60" s="59">
        <f t="shared" si="42"/>
        <v>275.18739333988754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35.720912234344766</v>
      </c>
      <c r="DG60" s="21">
        <f>EXP(-LN(2)/25)*DG59+(1-EXP(-LN(2)/25))/(LN(2)/25)*Calculateur!DB60*Calculateur!DD60*VLOOKUP('Données projet'!$B$13,Paramètres!$A$1:$I$89,3,0)*0.475*44/12</f>
        <v>12.309762912715728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48.030675147060492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-1.1368683772161603E-13</v>
      </c>
      <c r="O61" s="13">
        <f>N61*VLOOKUP('Données projet'!$B$9,Paramètres!$A$1:$I$89,3,0)*VLOOKUP('Données projet'!$B$9,Paramètres!$A$1:$I$89,5,0)</f>
        <v>-6.3550942286383367E-14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278.5296012747549</v>
      </c>
      <c r="T61" s="59">
        <f t="shared" si="34"/>
        <v>370.55343097937077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213.58301960016803</v>
      </c>
      <c r="AA61" s="21">
        <f>EXP(-LN(2)/25)*AA60+(1-EXP(-LN(2)/25))/(LN(2)/25)*Calculateur!V61*Calculateur!X61*VLOOKUP('Données projet'!$B$9,Paramètres!$A$1:$I$89,3,0)*0.475*44/12</f>
        <v>53.009876074403138</v>
      </c>
      <c r="AB61" s="21">
        <f>EXP(-LN(2)/2)*AB60+(1-EXP(-LN(2)/2))/(LN(2)/2)*V61*Y61*VLOOKUP('Données projet'!$B$9,Paramètres!$A$1:$I$89,3,0)*0.475*44/12</f>
        <v>12.077844857741541</v>
      </c>
      <c r="AC61" s="22">
        <f t="shared" si="3"/>
        <v>278.67074053231272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18.028571428571428</v>
      </c>
      <c r="AI61" s="13">
        <f>IF('Données projet'!$A$62&gt;35,AI60+AH61-AQ60,IF(A61&lt;'Données projet'!$A$62,$AF$205^A61,IF(A61='Données projet'!$A$62,'Données projet'!$B$62,AI60+AH61-AQ60)))</f>
        <v>362.77142857142826</v>
      </c>
      <c r="AJ61" s="13">
        <f>AI61*VLOOKUP('Données projet'!$B$10,Paramètres!$A$1:$I$89,3,0)*VLOOKUP('Données projet'!$B$10,Paramètres!$A$1:$I$89,5,0)</f>
        <v>174.49305714285703</v>
      </c>
      <c r="AK61" s="13">
        <f t="shared" si="35"/>
        <v>44.094786040674897</v>
      </c>
      <c r="AL61" s="20">
        <f t="shared" si="4"/>
        <v>380.70716021131807</v>
      </c>
      <c r="AM61" s="59">
        <f t="shared" si="5"/>
        <v>674.04049354465133</v>
      </c>
      <c r="AN61" s="59">
        <f ca="1">AVERAGE(OFFSET($AM$3,0,0,'Données projet'!$E$10+1,1))-AVERAGE(OFFSET($H$3,0,0,'Données projet'!$E$10+1,1))</f>
        <v>255.05550867459038</v>
      </c>
      <c r="AO61" s="59">
        <f t="shared" si="36"/>
        <v>119.28597757550295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16.46933152201311</v>
      </c>
      <c r="AV61" s="21">
        <f>EXP(-LN(2)/25)*AV60+(1-EXP(-LN(2)/25))/(LN(2)/25)*Calculateur!AQ61*Calculateur!AS61*VLOOKUP('Données projet'!$B$10,Paramètres!$A$1:$I$89,3,0)*0.475*44/12</f>
        <v>23.770925046294494</v>
      </c>
      <c r="AW61" s="21">
        <f>EXP(-LN(2)/2)*AW60+(1-EXP(-LN(2)/2))/(LN(2)/2)*AQ61*AT61*VLOOKUP('Données projet'!$B$10,Paramètres!$A$1:$I$89,3,0)*0.475*44/12</f>
        <v>1.0554920546978621</v>
      </c>
      <c r="AX61" s="21">
        <f t="shared" si="6"/>
        <v>41.295748623005466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11.170769230769233</v>
      </c>
      <c r="BD61" s="12">
        <f>IF('Données projet'!$A$88&gt;35,BD60+BC61-BL60,IF(A61&lt;'Données projet'!$A$88,$BA$205^A61,IF(A61='Données projet'!$A$88,'Données projet'!$B$88,BD60+BC61-BL60)))</f>
        <v>295.60307692307714</v>
      </c>
      <c r="BE61" s="13">
        <f>BD61*VLOOKUP('Données projet'!$B$11,Paramètres!$A$1:$I$89,3,0)*VLOOKUP('Données projet'!$B$11,Paramètres!$A$1:$I$89,5,0)</f>
        <v>138.34224000000009</v>
      </c>
      <c r="BF61" s="13">
        <f t="shared" si="37"/>
        <v>35.916973077604602</v>
      </c>
      <c r="BG61" s="20">
        <f t="shared" si="7"/>
        <v>303.50146277682819</v>
      </c>
      <c r="BH61" s="59">
        <f t="shared" si="8"/>
        <v>596.83479611016151</v>
      </c>
      <c r="BI61" s="59">
        <f ca="1">AVERAGE(OFFSET($BH$3,0,0,'Données projet'!$E$11+1,1))-AVERAGE(OFFSET($H$3,0,0,'Données projet'!$E$11+1,1))</f>
        <v>181.79645720099597</v>
      </c>
      <c r="BJ61" s="59">
        <f t="shared" si="38"/>
        <v>120.20040029102233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26.692212430303389</v>
      </c>
      <c r="BR61" s="21">
        <f>EXP(-LN(2)/2)*BR60+(1-EXP(-LN(2)/2))/(LN(2)/2)*BL61*BO61*VLOOKUP('Données projet'!$B$11,Paramètres!$A$1:$I$89,3,0)*0.475*44/12</f>
        <v>3.5066343877284329</v>
      </c>
      <c r="BS61" s="22">
        <f t="shared" si="9"/>
        <v>30.198846818031821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10.663076923076932</v>
      </c>
      <c r="BY61" s="12">
        <f>IF('Données projet'!$A$114&gt;35,BY60+BX61-CG60,IF(A61&lt;'Données projet'!$A$114,$BV$205^A61,IF(A61='Données projet'!$A$114,'Données projet'!$B$114,BY60+BX61-CG60)))</f>
        <v>321.09692307692302</v>
      </c>
      <c r="BZ61" s="13">
        <f>BY61*VLOOKUP('Données projet'!$B$12,Paramètres!$A$1:$I$89,3,0)*VLOOKUP('Données projet'!$B$12,Paramètres!$A$1:$I$89,5,0)</f>
        <v>192.01595999999998</v>
      </c>
      <c r="CA61" s="13">
        <f t="shared" si="39"/>
        <v>47.985378835949042</v>
      </c>
      <c r="CB61" s="20">
        <f t="shared" si="10"/>
        <v>418.00233180594455</v>
      </c>
      <c r="CC61" s="59">
        <f t="shared" si="11"/>
        <v>711.33566513927781</v>
      </c>
      <c r="CD61" s="59">
        <f ca="1">AVERAGE(OFFSET($CC$3,0,0,'Données projet'!$E$12+1,1))-AVERAGE(OFFSET($H$3,0,0,'Données projet'!$E$12+1,1))</f>
        <v>213.18424462765137</v>
      </c>
      <c r="CE61" s="59">
        <f t="shared" si="40"/>
        <v>158.77848520346532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33.46507055351077</v>
      </c>
      <c r="CL61" s="21">
        <f>EXP(-LN(2)/25)*CL60+(1-EXP(-LN(2)/25))/(LN(2)/25)*Calculateur!CG61*Calculateur!CI61*VLOOKUP('Données projet'!$B$12,Paramètres!$A$1:$I$89,3,0)*0.475*44/12</f>
        <v>10.8583089458676</v>
      </c>
      <c r="CM61" s="21">
        <f>EXP(-LN(2)/2)*CM60+(1-EXP(-LN(2)/2))/(LN(2)/2)*CG61*CJ61*VLOOKUP('Données projet'!$B$12,Paramètres!$A$1:$I$89,3,0)*0.475*44/12</f>
        <v>0.32408353653985783</v>
      </c>
      <c r="CN61" s="22">
        <f t="shared" si="12"/>
        <v>44.647463035918229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6.2</v>
      </c>
      <c r="CT61" s="12">
        <f>IF('Données projet'!$A$140&gt;35,CT60+CS61-DB60,IF(A61&lt;'Données projet'!$A$140,$CQ$205^A61,IF(A61='Données projet'!$A$140,'Données projet'!$B$140,CT60+CS61-DB60)))</f>
        <v>281.59999999999991</v>
      </c>
      <c r="CU61" s="17">
        <f>CT61*VLOOKUP('Données projet'!$B$13,Paramètres!$A$1:$I$89,3,0)*VLOOKUP('Données projet'!$B$13,Paramètres!$A$1:$I$89,5,0)</f>
        <v>224.04095999999993</v>
      </c>
      <c r="CV61" s="13">
        <f t="shared" si="41"/>
        <v>54.992235867381233</v>
      </c>
      <c r="CW61" s="20">
        <f t="shared" si="13"/>
        <v>485.98281613568884</v>
      </c>
      <c r="CX61" s="59">
        <f t="shared" si="14"/>
        <v>779.31614946902209</v>
      </c>
      <c r="CY61" s="59">
        <f ca="1">AVERAGE(OFFSET($CX$3,0,0,'Données projet'!$E$13+1,1))-AVERAGE(OFFSET($H$3,0,0,'Données projet'!$E$13+1,1))</f>
        <v>279.49721661620544</v>
      </c>
      <c r="CZ61" s="59">
        <f t="shared" si="42"/>
        <v>275.18739333988754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35.020446933034378</v>
      </c>
      <c r="DG61" s="21">
        <f>EXP(-LN(2)/25)*DG60+(1-EXP(-LN(2)/25))/(LN(2)/25)*Calculateur!DB61*Calculateur!DD61*VLOOKUP('Données projet'!$B$13,Paramètres!$A$1:$I$89,3,0)*0.475*44/12</f>
        <v>11.973151798525219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46.993598731559601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-1.1368683772161603E-13</v>
      </c>
      <c r="O62" s="13">
        <f>N62*VLOOKUP('Données projet'!$B$9,Paramètres!$A$1:$I$89,3,0)*VLOOKUP('Données projet'!$B$9,Paramètres!$A$1:$I$89,5,0)</f>
        <v>-6.3550942286383367E-14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278.5296012747549</v>
      </c>
      <c r="T62" s="59">
        <f t="shared" si="34"/>
        <v>370.55343097937077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209.39478685858731</v>
      </c>
      <c r="AA62" s="21">
        <f>EXP(-LN(2)/25)*AA61+(1-EXP(-LN(2)/25))/(LN(2)/25)*Calculateur!V62*Calculateur!X62*VLOOKUP('Données projet'!$B$9,Paramètres!$A$1:$I$89,3,0)*0.475*44/12</f>
        <v>51.560318225480358</v>
      </c>
      <c r="AB62" s="21">
        <f>EXP(-LN(2)/2)*AB61+(1-EXP(-LN(2)/2))/(LN(2)/2)*V62*Y62*VLOOKUP('Données projet'!$B$9,Paramètres!$A$1:$I$89,3,0)*0.475*44/12</f>
        <v>8.5403260010281166</v>
      </c>
      <c r="AC62" s="22">
        <f t="shared" si="3"/>
        <v>269.49543108509579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380.8</v>
      </c>
      <c r="AG62" s="12">
        <f>VLOOKUP(A62,'Données projet'!$A$61:$I$81,9,0)</f>
        <v>18.028571428571428</v>
      </c>
      <c r="AH62" s="12">
        <f t="array" ref="AH62">INDEX(AG:AG,MIN(IF(ISNUMBER(AG62:AG258),ROW(AG62:AG258),"")))</f>
        <v>18.028571428571428</v>
      </c>
      <c r="AI62" s="13">
        <f>IF('Données projet'!$A$62&gt;35,AI61+AH62-AQ61,IF(A62&lt;'Données projet'!$A$62,$AF$205^A62,IF(A62='Données projet'!$A$62,'Données projet'!$B$62,AI61+AH62-AQ61)))</f>
        <v>380.79999999999967</v>
      </c>
      <c r="AJ62" s="13">
        <f>AI62*VLOOKUP('Données projet'!$B$10,Paramètres!$A$1:$I$89,3,0)*VLOOKUP('Données projet'!$B$10,Paramètres!$A$1:$I$89,5,0)</f>
        <v>183.16479999999984</v>
      </c>
      <c r="AK62" s="13">
        <f t="shared" si="35"/>
        <v>46.025580024297781</v>
      </c>
      <c r="AL62" s="20">
        <f t="shared" si="4"/>
        <v>399.17324520898501</v>
      </c>
      <c r="AM62" s="59">
        <f t="shared" si="5"/>
        <v>692.50657854231827</v>
      </c>
      <c r="AN62" s="59">
        <f ca="1">AVERAGE(OFFSET($AM$3,0,0,'Données projet'!$E$10+1,1))-AVERAGE(OFFSET($H$3,0,0,'Données projet'!$E$10+1,1))</f>
        <v>255.05550867459038</v>
      </c>
      <c r="AO62" s="59">
        <f t="shared" si="36"/>
        <v>119.28597757550295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93.9</v>
      </c>
      <c r="AR62" s="16">
        <f>IF(ISNA(VLOOKUP(A62,'Données projet'!$A$61:$I$81,5,0)),0%,VLOOKUP(A62,'Données projet'!$A$61:$I$81,5,0)*VLOOKUP('Données projet'!$B$10,Paramètres!$A$1:$I$89,7,0))</f>
        <v>0.38500000000000001</v>
      </c>
      <c r="AS62" s="16">
        <f>IF(ISNA(VLOOKUP(A62,'Données projet'!$A$61:$I$81,6,0)),0%,VLOOKUP(A62,'Données projet'!$A$61:$I$81,6,0)*VLOOKUP('Données projet'!$B$10,Paramètres!$A$1:$I$89,7,0))</f>
        <v>9.3500000000000014E-2</v>
      </c>
      <c r="AT62" s="16">
        <f>IF(ISNA(VLOOKUP(A62,'Données projet'!$A$61:$I$81,7,0)),0%,VLOOKUP(A62,'Données projet'!$A$61:$I$81,7,0))</f>
        <v>0.13</v>
      </c>
      <c r="AU62" s="21">
        <f>EXP(-LN(2)/35)*AU61+(1-EXP(-LN(2)/35))/(LN(2)/35)*AQ62*AR62*VLOOKUP('Données projet'!$B$10,Paramètres!$A$1:$I$89,3,0)*0.475*44/12</f>
        <v>39.21383682827242</v>
      </c>
      <c r="AV62" s="21">
        <f>EXP(-LN(2)/25)*AV61+(1-EXP(-LN(2)/25))/(LN(2)/25)*Calculateur!AQ62*Calculateur!AS62*VLOOKUP('Données projet'!$B$10,Paramètres!$A$1:$I$89,3,0)*0.475*44/12</f>
        <v>28.700947409596921</v>
      </c>
      <c r="AW62" s="21">
        <f>EXP(-LN(2)/2)*AW61+(1-EXP(-LN(2)/2))/(LN(2)/2)*AQ62*AT62*VLOOKUP('Données projet'!$B$10,Paramètres!$A$1:$I$89,3,0)*0.475*44/12</f>
        <v>7.3943233838559594</v>
      </c>
      <c r="AX62" s="21">
        <f t="shared" si="6"/>
        <v>75.309107621725303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11.170769230769233</v>
      </c>
      <c r="BD62" s="12">
        <f>IF('Données projet'!$A$88&gt;35,BD61+BC62-BL61,IF(A62&lt;'Données projet'!$A$88,$BA$205^A62,IF(A62='Données projet'!$A$88,'Données projet'!$B$88,BD61+BC62-BL61)))</f>
        <v>306.77384615384636</v>
      </c>
      <c r="BE62" s="13">
        <f>BD62*VLOOKUP('Données projet'!$B$11,Paramètres!$A$1:$I$89,3,0)*VLOOKUP('Données projet'!$B$11,Paramètres!$A$1:$I$89,5,0)</f>
        <v>143.5701600000001</v>
      </c>
      <c r="BF62" s="13">
        <f t="shared" si="37"/>
        <v>37.113676523004848</v>
      </c>
      <c r="BG62" s="20">
        <f t="shared" si="7"/>
        <v>314.69101527756692</v>
      </c>
      <c r="BH62" s="59">
        <f t="shared" si="8"/>
        <v>608.02434861090023</v>
      </c>
      <c r="BI62" s="59">
        <f ca="1">AVERAGE(OFFSET($BH$3,0,0,'Données projet'!$E$11+1,1))-AVERAGE(OFFSET($H$3,0,0,'Données projet'!$E$11+1,1))</f>
        <v>181.79645720099597</v>
      </c>
      <c r="BJ62" s="59">
        <f t="shared" si="38"/>
        <v>120.20040029102233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25.962312477714296</v>
      </c>
      <c r="BR62" s="21">
        <f>EXP(-LN(2)/2)*BR61+(1-EXP(-LN(2)/2))/(LN(2)/2)*BL62*BO62*VLOOKUP('Données projet'!$B$11,Paramètres!$A$1:$I$89,3,0)*0.475*44/12</f>
        <v>2.4795649547047121</v>
      </c>
      <c r="BS62" s="22">
        <f t="shared" si="9"/>
        <v>28.441877432419009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10.663076923076932</v>
      </c>
      <c r="BY62" s="12">
        <f>IF('Données projet'!$A$114&gt;35,BY61+BX62-CG61,IF(A62&lt;'Données projet'!$A$114,$BV$205^A62,IF(A62='Données projet'!$A$114,'Données projet'!$B$114,BY61+BX62-CG61)))</f>
        <v>331.75999999999993</v>
      </c>
      <c r="BZ62" s="13">
        <f>BY62*VLOOKUP('Données projet'!$B$12,Paramètres!$A$1:$I$89,3,0)*VLOOKUP('Données projet'!$B$12,Paramètres!$A$1:$I$89,5,0)</f>
        <v>198.39247999999998</v>
      </c>
      <c r="CA62" s="13">
        <f t="shared" si="39"/>
        <v>49.39071772551025</v>
      </c>
      <c r="CB62" s="20">
        <f t="shared" si="10"/>
        <v>431.55573603859693</v>
      </c>
      <c r="CC62" s="59">
        <f t="shared" si="11"/>
        <v>724.88906937193019</v>
      </c>
      <c r="CD62" s="59">
        <f ca="1">AVERAGE(OFFSET($CC$3,0,0,'Données projet'!$E$12+1,1))-AVERAGE(OFFSET($H$3,0,0,'Données projet'!$E$12+1,1))</f>
        <v>213.18424462765137</v>
      </c>
      <c r="CE62" s="59">
        <f t="shared" si="40"/>
        <v>158.77848520346532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32.808840931633974</v>
      </c>
      <c r="CL62" s="21">
        <f>EXP(-LN(2)/25)*CL61+(1-EXP(-LN(2)/25))/(LN(2)/25)*Calculateur!CG62*Calculateur!CI62*VLOOKUP('Données projet'!$B$12,Paramètres!$A$1:$I$89,3,0)*0.475*44/12</f>
        <v>10.561387916729201</v>
      </c>
      <c r="CM62" s="21">
        <f>EXP(-LN(2)/2)*CM61+(1-EXP(-LN(2)/2))/(LN(2)/2)*CG62*CJ62*VLOOKUP('Données projet'!$B$12,Paramètres!$A$1:$I$89,3,0)*0.475*44/12</f>
        <v>0.22916166635825175</v>
      </c>
      <c r="CN62" s="22">
        <f t="shared" si="12"/>
        <v>43.599390514721428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6.2</v>
      </c>
      <c r="CT62" s="12">
        <f>IF('Données projet'!$A$140&gt;35,CT61+CS62-DB61,IF(A62&lt;'Données projet'!$A$140,$CQ$205^A62,IF(A62='Données projet'!$A$140,'Données projet'!$B$140,CT61+CS62-DB61)))</f>
        <v>287.7999999999999</v>
      </c>
      <c r="CU62" s="17">
        <f>CT62*VLOOKUP('Données projet'!$B$13,Paramètres!$A$1:$I$89,3,0)*VLOOKUP('Données projet'!$B$13,Paramètres!$A$1:$I$89,5,0)</f>
        <v>228.97367999999994</v>
      </c>
      <c r="CV62" s="13">
        <f t="shared" si="41"/>
        <v>56.060709423888284</v>
      </c>
      <c r="CW62" s="20">
        <f t="shared" si="13"/>
        <v>496.43489491327199</v>
      </c>
      <c r="CX62" s="59">
        <f t="shared" si="14"/>
        <v>789.7682282466053</v>
      </c>
      <c r="CY62" s="59">
        <f ca="1">AVERAGE(OFFSET($CX$3,0,0,'Données projet'!$E$13+1,1))-AVERAGE(OFFSET($H$3,0,0,'Données projet'!$E$13+1,1))</f>
        <v>279.49721661620544</v>
      </c>
      <c r="CZ62" s="59">
        <f t="shared" si="42"/>
        <v>275.18739333988754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34.333717329041043</v>
      </c>
      <c r="DG62" s="21">
        <f>EXP(-LN(2)/25)*DG61+(1-EXP(-LN(2)/25))/(LN(2)/25)*Calculateur!DB62*Calculateur!DD62*VLOOKUP('Données projet'!$B$13,Paramètres!$A$1:$I$89,3,0)*0.475*44/12</f>
        <v>11.645745332953858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45.979462661994901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-1.1368683772161603E-13</v>
      </c>
      <c r="O63" s="13">
        <f>N63*VLOOKUP('Données projet'!$B$9,Paramètres!$A$1:$I$89,3,0)*VLOOKUP('Données projet'!$B$9,Paramètres!$A$1:$I$89,5,0)</f>
        <v>-6.3550942286383367E-14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278.5296012747549</v>
      </c>
      <c r="T63" s="59">
        <f t="shared" si="34"/>
        <v>370.55343097937077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205.28868280649928</v>
      </c>
      <c r="AA63" s="21">
        <f>EXP(-LN(2)/25)*AA62+(1-EXP(-LN(2)/25))/(LN(2)/25)*Calculateur!V63*Calculateur!X63*VLOOKUP('Données projet'!$B$9,Paramètres!$A$1:$I$89,3,0)*0.475*44/12</f>
        <v>50.150398612165304</v>
      </c>
      <c r="AB63" s="21">
        <f>EXP(-LN(2)/2)*AB62+(1-EXP(-LN(2)/2))/(LN(2)/2)*V63*Y63*VLOOKUP('Données projet'!$B$9,Paramètres!$A$1:$I$89,3,0)*0.475*44/12</f>
        <v>6.0389224288707712</v>
      </c>
      <c r="AC63" s="22">
        <f t="shared" si="3"/>
        <v>261.47800384753538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16.900000000000006</v>
      </c>
      <c r="AI63" s="13">
        <f>IF('Données projet'!$A$62&gt;35,AI62+AH63-AQ62,IF(A63&lt;'Données projet'!$A$62,$AF$205^A63,IF(A63='Données projet'!$A$62,'Données projet'!$B$62,AI62+AH63-AQ62)))</f>
        <v>303.79999999999973</v>
      </c>
      <c r="AJ63" s="13">
        <f>AI63*VLOOKUP('Données projet'!$B$10,Paramètres!$A$1:$I$89,3,0)*VLOOKUP('Données projet'!$B$10,Paramètres!$A$1:$I$89,5,0)</f>
        <v>146.12779999999987</v>
      </c>
      <c r="AK63" s="13">
        <f t="shared" si="35"/>
        <v>37.697279318194482</v>
      </c>
      <c r="AL63" s="20">
        <f t="shared" si="4"/>
        <v>320.16201314585516</v>
      </c>
      <c r="AM63" s="59">
        <f t="shared" si="5"/>
        <v>613.49534647918847</v>
      </c>
      <c r="AN63" s="59">
        <f ca="1">AVERAGE(OFFSET($AM$3,0,0,'Données projet'!$E$10+1,1))-AVERAGE(OFFSET($H$3,0,0,'Données projet'!$E$10+1,1))</f>
        <v>255.05550867459038</v>
      </c>
      <c r="AO63" s="59">
        <f t="shared" si="36"/>
        <v>119.28597757550295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38.444877406148748</v>
      </c>
      <c r="AV63" s="21">
        <f>EXP(-LN(2)/25)*AV62+(1-EXP(-LN(2)/25))/(LN(2)/25)*Calculateur!AQ63*Calculateur!AS63*VLOOKUP('Données projet'!$B$10,Paramètres!$A$1:$I$89,3,0)*0.475*44/12</f>
        <v>27.916118493364266</v>
      </c>
      <c r="AW63" s="21">
        <f>EXP(-LN(2)/2)*AW62+(1-EXP(-LN(2)/2))/(LN(2)/2)*AQ63*AT63*VLOOKUP('Données projet'!$B$10,Paramètres!$A$1:$I$89,3,0)*0.475*44/12</f>
        <v>5.2285762070108079</v>
      </c>
      <c r="AX63" s="21">
        <f t="shared" si="6"/>
        <v>71.589572106523818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11.170769230769233</v>
      </c>
      <c r="BD63" s="12">
        <f>IF('Données projet'!$A$88&gt;35,BD62+BC63-BL62,IF(A63&lt;'Données projet'!$A$88,$BA$205^A63,IF(A63='Données projet'!$A$88,'Données projet'!$B$88,BD62+BC63-BL62)))</f>
        <v>317.94461538461559</v>
      </c>
      <c r="BE63" s="13">
        <f>BD63*VLOOKUP('Données projet'!$B$11,Paramètres!$A$1:$I$89,3,0)*VLOOKUP('Données projet'!$B$11,Paramètres!$A$1:$I$89,5,0)</f>
        <v>148.79808000000008</v>
      </c>
      <c r="BF63" s="13">
        <f t="shared" si="37"/>
        <v>38.305317228732633</v>
      </c>
      <c r="BG63" s="20">
        <f t="shared" si="7"/>
        <v>325.87175017337614</v>
      </c>
      <c r="BH63" s="59">
        <f t="shared" si="8"/>
        <v>619.20508350670946</v>
      </c>
      <c r="BI63" s="59">
        <f ca="1">AVERAGE(OFFSET($BH$3,0,0,'Données projet'!$E$11+1,1))-AVERAGE(OFFSET($H$3,0,0,'Données projet'!$E$11+1,1))</f>
        <v>181.79645720099597</v>
      </c>
      <c r="BJ63" s="59">
        <f t="shared" si="38"/>
        <v>120.20040029102233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25.252371677712521</v>
      </c>
      <c r="BR63" s="21">
        <f>EXP(-LN(2)/2)*BR62+(1-EXP(-LN(2)/2))/(LN(2)/2)*BL63*BO63*VLOOKUP('Données projet'!$B$11,Paramètres!$A$1:$I$89,3,0)*0.475*44/12</f>
        <v>1.7533171938642165</v>
      </c>
      <c r="BS63" s="22">
        <f t="shared" si="9"/>
        <v>27.005688871576737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342.42307692307696</v>
      </c>
      <c r="BW63" s="12">
        <f>VLOOKUP(A63,'Données projet'!$A$113:$I$133,9,0)</f>
        <v>10.663076923076932</v>
      </c>
      <c r="BX63" s="12">
        <f t="array" ref="BX63">INDEX(BW:BW,MIN(IF(ISNUMBER(BW63:BW259),ROW(BW63:BW259),"")))</f>
        <v>10.663076923076932</v>
      </c>
      <c r="BY63" s="12">
        <f>IF('Données projet'!$A$114&gt;35,BY62+BX63-CG62,IF(A63&lt;'Données projet'!$A$114,$BV$205^A63,IF(A63='Données projet'!$A$114,'Données projet'!$B$114,BY62+BX63-CG62)))</f>
        <v>342.42307692307685</v>
      </c>
      <c r="BZ63" s="13">
        <f>BY63*VLOOKUP('Données projet'!$B$12,Paramètres!$A$1:$I$89,3,0)*VLOOKUP('Données projet'!$B$12,Paramètres!$A$1:$I$89,5,0)</f>
        <v>204.76899999999998</v>
      </c>
      <c r="CA63" s="13">
        <f t="shared" si="39"/>
        <v>50.790807822253974</v>
      </c>
      <c r="CB63" s="20">
        <f t="shared" si="10"/>
        <v>445.09999862375895</v>
      </c>
      <c r="CC63" s="59">
        <f t="shared" si="11"/>
        <v>738.43333195709226</v>
      </c>
      <c r="CD63" s="59">
        <f ca="1">AVERAGE(OFFSET($CC$3,0,0,'Données projet'!$E$12+1,1))-AVERAGE(OFFSET($H$3,0,0,'Données projet'!$E$12+1,1))</f>
        <v>213.18424462765137</v>
      </c>
      <c r="CE63" s="59">
        <f t="shared" si="40"/>
        <v>158.77848520346532</v>
      </c>
      <c r="CF63" s="15">
        <f>IF(ISNA(VLOOKUP(A63,'Données projet'!$A$113:$I$133,3,0)),0,VLOOKUP(A63,'Données projet'!$A$113:$I$133,3,0))</f>
        <v>6</v>
      </c>
      <c r="CG63" s="15">
        <f>IF(ISNA(VLOOKUP(A63,'Données projet'!$A$113:$I$133,4,0)),0,VLOOKUP(A63,'Données projet'!$A$113:$I$133,4,0))</f>
        <v>54.261538461538464</v>
      </c>
      <c r="CH63" s="16">
        <f>IF(ISNA(VLOOKUP(A63,'Données projet'!$A$113:$I$133,5,0)),0%,VLOOKUP(A63,'Données projet'!$A$113:$I$133,5,0)*VLOOKUP('Données projet'!$B$12,Paramètres!$A$1:$I$89,7,0))</f>
        <v>0.315</v>
      </c>
      <c r="CI63" s="16">
        <f>IF(ISNA(VLOOKUP(A63,'Données projet'!$A$113:$I$133,6,0)),0%,VLOOKUP(A63,'Données projet'!$A$113:$I$133,6,0)*VLOOKUP('Données projet'!$B$12,Paramètres!$A$1:$I$89,7,0))</f>
        <v>7.5600000000000001E-2</v>
      </c>
      <c r="CJ63" s="16">
        <f>IF(ISNA(VLOOKUP(A63,'Données projet'!$A$113:$I$133,7,0)),0%,VLOOKUP(A63,'Données projet'!$A$113:$I$133,7,0))</f>
        <v>0.13200000000000001</v>
      </c>
      <c r="CK63" s="21">
        <f>EXP(-LN(2)/35)*CK62+(1-EXP(-LN(2)/35))/(LN(2)/35)*CG63*CH63*VLOOKUP('Données projet'!$B$12,Paramètres!$A$1:$I$89,3,0)*0.475*44/12</f>
        <v>45.724621206285214</v>
      </c>
      <c r="CL63" s="21">
        <f>EXP(-LN(2)/25)*CL62+(1-EXP(-LN(2)/25))/(LN(2)/25)*Calculateur!CG63*Calculateur!CI63*VLOOKUP('Données projet'!$B$12,Paramètres!$A$1:$I$89,3,0)*0.475*44/12</f>
        <v>13.513967199191683</v>
      </c>
      <c r="CM63" s="21">
        <f>EXP(-LN(2)/2)*CM62+(1-EXP(-LN(2)/2))/(LN(2)/2)*CG63*CJ63*VLOOKUP('Données projet'!$B$12,Paramètres!$A$1:$I$89,3,0)*0.475*44/12</f>
        <v>5.0116064640335569</v>
      </c>
      <c r="CN63" s="22">
        <f t="shared" si="12"/>
        <v>64.250194869510452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294</v>
      </c>
      <c r="CR63" s="12">
        <f>VLOOKUP(A63,'Données projet'!$A$139:$I$159,9,0)</f>
        <v>6.2</v>
      </c>
      <c r="CS63" s="12">
        <f t="array" ref="CS63">INDEX(CR:CR,MIN(IF(ISNUMBER(CR63:CR259),ROW(CR63:CR259),"")))</f>
        <v>6.2</v>
      </c>
      <c r="CT63" s="12">
        <f>IF('Données projet'!$A$140&gt;35,CT62+CS63-DB62,IF(A63&lt;'Données projet'!$A$140,$CQ$205^A63,IF(A63='Données projet'!$A$140,'Données projet'!$B$140,CT62+CS63-DB62)))</f>
        <v>293.99999999999989</v>
      </c>
      <c r="CU63" s="17">
        <f>CT63*VLOOKUP('Données projet'!$B$13,Paramètres!$A$1:$I$89,3,0)*VLOOKUP('Données projet'!$B$13,Paramètres!$A$1:$I$89,5,0)</f>
        <v>233.90639999999991</v>
      </c>
      <c r="CV63" s="13">
        <f t="shared" si="41"/>
        <v>57.126506840778347</v>
      </c>
      <c r="CW63" s="20">
        <f t="shared" si="13"/>
        <v>506.88231274768879</v>
      </c>
      <c r="CX63" s="59">
        <f t="shared" si="14"/>
        <v>800.2156460810221</v>
      </c>
      <c r="CY63" s="59">
        <f ca="1">AVERAGE(OFFSET($CX$3,0,0,'Données projet'!$E$13+1,1))-AVERAGE(OFFSET($H$3,0,0,'Données projet'!$E$13+1,1))</f>
        <v>279.49721661620544</v>
      </c>
      <c r="CZ63" s="59">
        <f t="shared" si="42"/>
        <v>275.18739333988754</v>
      </c>
      <c r="DA63" s="15">
        <f>IF(ISNA(VLOOKUP(A63,'Données projet'!$A$139:$I$159,3,0)),0,VLOOKUP(A63,'Données projet'!$A$139:$I$159,3,0))</f>
        <v>10</v>
      </c>
      <c r="DB63" s="15">
        <f>IF(ISNA(VLOOKUP(A63,'Données projet'!$A$139:$I$159,4,0)),0,VLOOKUP(A63,'Données projet'!$A$139:$I$159,4,0))</f>
        <v>14</v>
      </c>
      <c r="DC63" s="16">
        <f>IF(ISNA(VLOOKUP(A63,'Données projet'!$A$139:$I$159,5,0)),0%,VLOOKUP(A63,'Données projet'!$A$139:$I$159,5,0)*VLOOKUP('Données projet'!$B$13,Paramètres!$A$1:$I$89,7,0))</f>
        <v>0.49290000000000006</v>
      </c>
      <c r="DD63" s="16">
        <f>IF(ISNA(VLOOKUP(A63,'Données projet'!$A$139:$I$159,6,0)),0%,VLOOKUP(A63,'Données projet'!$A$139:$I$159,6,0)*VLOOKUP('Données projet'!$B$13,Paramètres!$A$1:$I$89,7,0))</f>
        <v>3.7100000000000008E-2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39.729616195357956</v>
      </c>
      <c r="DG63" s="21">
        <f>EXP(-LN(2)/25)*DG62+(1-EXP(-LN(2)/25))/(LN(2)/25)*Calculateur!DB63*Calculateur!DD63*VLOOKUP('Données projet'!$B$13,Paramètres!$A$1:$I$89,3,0)*0.475*44/12</f>
        <v>11.782311799614467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51.511927994972424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-1.1368683772161603E-13</v>
      </c>
      <c r="O64" s="13">
        <f>N64*VLOOKUP('Données projet'!$B$9,Paramètres!$A$1:$I$89,3,0)*VLOOKUP('Données projet'!$B$9,Paramètres!$A$1:$I$89,5,0)</f>
        <v>-6.3550942286383367E-14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278.5296012747549</v>
      </c>
      <c r="T64" s="59">
        <f t="shared" si="34"/>
        <v>370.55343097937077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201.26309695039652</v>
      </c>
      <c r="AA64" s="21">
        <f>EXP(-LN(2)/25)*AA63+(1-EXP(-LN(2)/25))/(LN(2)/25)*Calculateur!V64*Calculateur!X64*VLOOKUP('Données projet'!$B$9,Paramètres!$A$1:$I$89,3,0)*0.475*44/12</f>
        <v>48.779033324820801</v>
      </c>
      <c r="AB64" s="21">
        <f>EXP(-LN(2)/2)*AB63+(1-EXP(-LN(2)/2))/(LN(2)/2)*V64*Y64*VLOOKUP('Données projet'!$B$9,Paramètres!$A$1:$I$89,3,0)*0.475*44/12</f>
        <v>4.2701630005140592</v>
      </c>
      <c r="AC64" s="22">
        <f t="shared" si="3"/>
        <v>254.31229327573138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16.900000000000006</v>
      </c>
      <c r="AI64" s="13">
        <f>IF('Données projet'!$A$62&gt;35,AI63+AH64-AQ63,IF(A64&lt;'Données projet'!$A$62,$AF$205^A64,IF(A64='Données projet'!$A$62,'Données projet'!$B$62,AI63+AH64-AQ63)))</f>
        <v>320.6999999999997</v>
      </c>
      <c r="AJ64" s="13">
        <f>AI64*VLOOKUP('Données projet'!$B$10,Paramètres!$A$1:$I$89,3,0)*VLOOKUP('Données projet'!$B$10,Paramètres!$A$1:$I$89,5,0)</f>
        <v>154.25669999999985</v>
      </c>
      <c r="AK64" s="13">
        <f t="shared" si="35"/>
        <v>39.544354918147491</v>
      </c>
      <c r="AL64" s="20">
        <f t="shared" si="4"/>
        <v>337.53683731577331</v>
      </c>
      <c r="AM64" s="59">
        <f t="shared" si="5"/>
        <v>630.87017064910663</v>
      </c>
      <c r="AN64" s="59">
        <f ca="1">AVERAGE(OFFSET($AM$3,0,0,'Données projet'!$E$10+1,1))-AVERAGE(OFFSET($H$3,0,0,'Données projet'!$E$10+1,1))</f>
        <v>255.05550867459038</v>
      </c>
      <c r="AO64" s="59">
        <f t="shared" si="36"/>
        <v>119.28597757550295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37.69099680927399</v>
      </c>
      <c r="AV64" s="21">
        <f>EXP(-LN(2)/25)*AV63+(1-EXP(-LN(2)/25))/(LN(2)/25)*Calculateur!AQ64*Calculateur!AS64*VLOOKUP('Données projet'!$B$10,Paramètres!$A$1:$I$89,3,0)*0.475*44/12</f>
        <v>27.152750765118352</v>
      </c>
      <c r="AW64" s="21">
        <f>EXP(-LN(2)/2)*AW63+(1-EXP(-LN(2)/2))/(LN(2)/2)*AQ64*AT64*VLOOKUP('Données projet'!$B$10,Paramètres!$A$1:$I$89,3,0)*0.475*44/12</f>
        <v>3.6971616919279802</v>
      </c>
      <c r="AX64" s="21">
        <f t="shared" si="6"/>
        <v>68.540909266320313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>
        <f>VLOOKUP(A64,'Données projet'!$A$87:$I$107,2,0)</f>
        <v>329.11538461538464</v>
      </c>
      <c r="BB64" s="12">
        <f>VLOOKUP(A64,'Données projet'!$A$87:$I$107,9,0)</f>
        <v>11.170769230769233</v>
      </c>
      <c r="BC64" s="12">
        <f t="array" ref="BC64">INDEX(BB:BB,MIN(IF(ISNUMBER(BB64:BB260),ROW(BB64:BB260),"")))</f>
        <v>11.170769230769233</v>
      </c>
      <c r="BD64" s="12">
        <f>IF('Données projet'!$A$88&gt;35,BD63+BC64-BL63,IF(A64&lt;'Données projet'!$A$88,$BA$205^A64,IF(A64='Données projet'!$A$88,'Données projet'!$B$88,BD63+BC64-BL63)))</f>
        <v>329.11538461538481</v>
      </c>
      <c r="BE64" s="13">
        <f>BD64*VLOOKUP('Données projet'!$B$11,Paramètres!$A$1:$I$89,3,0)*VLOOKUP('Données projet'!$B$11,Paramètres!$A$1:$I$89,5,0)</f>
        <v>154.0260000000001</v>
      </c>
      <c r="BF64" s="13">
        <f t="shared" si="37"/>
        <v>39.492093452898274</v>
      </c>
      <c r="BG64" s="20">
        <f t="shared" si="7"/>
        <v>337.04401276379798</v>
      </c>
      <c r="BH64" s="59">
        <f t="shared" si="8"/>
        <v>630.37734609713129</v>
      </c>
      <c r="BI64" s="59">
        <f ca="1">AVERAGE(OFFSET($BH$3,0,0,'Données projet'!$E$11+1,1))-AVERAGE(OFFSET($H$3,0,0,'Données projet'!$E$11+1,1))</f>
        <v>181.79645720099597</v>
      </c>
      <c r="BJ64" s="59">
        <f t="shared" si="38"/>
        <v>120.20040029102233</v>
      </c>
      <c r="BK64" s="15">
        <f>IF(ISNA(VLOOKUP(A64,'Données projet'!$A$87:$I$107,3,0)),0,VLOOKUP(A64,'Données projet'!$A$87:$I$107,3,0))</f>
        <v>2</v>
      </c>
      <c r="BL64" s="15">
        <f>IF(ISNA(VLOOKUP(A64,'Données projet'!$A$87:$I$107,4,0)),0,VLOOKUP(A64,'Données projet'!$A$87:$I$107,4,0))</f>
        <v>94.76153846153845</v>
      </c>
      <c r="BM64" s="16">
        <f>IF(ISNA(VLOOKUP(A64,'Données projet'!$A$87:$I$107,5,0)),0%,VLOOKUP(A64,'Données projet'!$A$87:$I$107,5,0)*VLOOKUP('Données projet'!$B$11,Paramètres!$A$1:$I$89,7,0))</f>
        <v>0.38500000000000001</v>
      </c>
      <c r="BN64" s="16">
        <f>IF(ISNA(VLOOKUP(A64,'Données projet'!$A$87:$I$107,6,0)),0%,VLOOKUP(A64,'Données projet'!$A$87:$I$107,6,0)*VLOOKUP('Données projet'!$B$11,Paramètres!$A$1:$I$89,7,0))</f>
        <v>9.240000000000001E-2</v>
      </c>
      <c r="BO64" s="16">
        <f>IF(ISNA(VLOOKUP(A64,'Données projet'!$A$87:$I$107,7,0)),0%,VLOOKUP(A64,'Données projet'!$A$87:$I$107,7,0))</f>
        <v>0.13200000000000001</v>
      </c>
      <c r="BP64" s="21">
        <f>EXP(-LN(2)/35)*BP63+(1-EXP(-LN(2)/35))/(LN(2)/35)*BL64*BM64*VLOOKUP('Données projet'!$B$11,Paramètres!$A$1:$I$89,3,0)*0.475*44/12</f>
        <v>22.649939271811736</v>
      </c>
      <c r="BQ64" s="21">
        <f>EXP(-LN(2)/25)*BQ63+(1-EXP(-LN(2)/25))/(LN(2)/25)*Calculateur!BL64*Calculateur!BN64*VLOOKUP('Données projet'!$B$11,Paramètres!$A$1:$I$89,3,0)*0.475*44/12</f>
        <v>29.976426125563794</v>
      </c>
      <c r="BR64" s="21">
        <f>EXP(-LN(2)/2)*BR63+(1-EXP(-LN(2)/2))/(LN(2)/2)*BL64*BO64*VLOOKUP('Données projet'!$B$11,Paramètres!$A$1:$I$89,3,0)*0.475*44/12</f>
        <v>7.867857666070555</v>
      </c>
      <c r="BS64" s="22">
        <f t="shared" si="9"/>
        <v>60.494223063446086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9.1830769230769196</v>
      </c>
      <c r="BY64" s="12">
        <f>IF('Données projet'!$A$114&gt;35,BY63+BX64-CG63,IF(A64&lt;'Données projet'!$A$114,$BV$205^A64,IF(A64='Données projet'!$A$114,'Données projet'!$B$114,BY63+BX64-CG63)))</f>
        <v>297.34461538461528</v>
      </c>
      <c r="BZ64" s="13">
        <f>BY64*VLOOKUP('Données projet'!$B$12,Paramètres!$A$1:$I$89,3,0)*VLOOKUP('Données projet'!$B$12,Paramètres!$A$1:$I$89,5,0)</f>
        <v>177.81207999999992</v>
      </c>
      <c r="CA64" s="13">
        <f t="shared" si="39"/>
        <v>44.835068353066951</v>
      </c>
      <c r="CB64" s="20">
        <f t="shared" si="10"/>
        <v>387.77711671492483</v>
      </c>
      <c r="CC64" s="59">
        <f t="shared" si="11"/>
        <v>681.11045004825814</v>
      </c>
      <c r="CD64" s="59">
        <f ca="1">AVERAGE(OFFSET($CC$3,0,0,'Données projet'!$E$12+1,1))-AVERAGE(OFFSET($H$3,0,0,'Données projet'!$E$12+1,1))</f>
        <v>213.18424462765137</v>
      </c>
      <c r="CE64" s="59">
        <f t="shared" si="40"/>
        <v>158.77848520346532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44.82798927369506</v>
      </c>
      <c r="CL64" s="21">
        <f>EXP(-LN(2)/25)*CL63+(1-EXP(-LN(2)/25))/(LN(2)/25)*Calculateur!CG64*Calculateur!CI64*VLOOKUP('Données projet'!$B$12,Paramètres!$A$1:$I$89,3,0)*0.475*44/12</f>
        <v>13.144427055461138</v>
      </c>
      <c r="CM64" s="21">
        <f>EXP(-LN(2)/2)*CM63+(1-EXP(-LN(2)/2))/(LN(2)/2)*CG64*CJ64*VLOOKUP('Données projet'!$B$12,Paramètres!$A$1:$I$89,3,0)*0.475*44/12</f>
        <v>3.5437409153564636</v>
      </c>
      <c r="CN64" s="22">
        <f t="shared" si="12"/>
        <v>61.516157244512662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5.2</v>
      </c>
      <c r="CT64" s="12">
        <f>IF('Données projet'!$A$140&gt;35,CT63+CS64-DB63,IF(A64&lt;'Données projet'!$A$140,$CQ$205^A64,IF(A64='Données projet'!$A$140,'Données projet'!$B$140,CT63+CS64-DB63)))</f>
        <v>285.19999999999987</v>
      </c>
      <c r="CU64" s="17">
        <f>CT64*VLOOKUP('Données projet'!$B$13,Paramètres!$A$1:$I$89,3,0)*VLOOKUP('Données projet'!$B$13,Paramètres!$A$1:$I$89,5,0)</f>
        <v>226.90511999999993</v>
      </c>
      <c r="CV64" s="13">
        <f t="shared" si="41"/>
        <v>55.612969408444364</v>
      </c>
      <c r="CW64" s="20">
        <f t="shared" si="13"/>
        <v>492.05233905304044</v>
      </c>
      <c r="CX64" s="59">
        <f t="shared" si="14"/>
        <v>785.3856723863737</v>
      </c>
      <c r="CY64" s="59">
        <f ca="1">AVERAGE(OFFSET($CX$3,0,0,'Données projet'!$E$13+1,1))-AVERAGE(OFFSET($H$3,0,0,'Données projet'!$E$13+1,1))</f>
        <v>279.49721661620544</v>
      </c>
      <c r="CZ64" s="59">
        <f t="shared" si="42"/>
        <v>275.18739333988754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38.950542654440085</v>
      </c>
      <c r="DG64" s="21">
        <f>EXP(-LN(2)/25)*DG63+(1-EXP(-LN(2)/25))/(LN(2)/25)*Calculateur!DB64*Calculateur!DD64*VLOOKUP('Données projet'!$B$13,Paramètres!$A$1:$I$89,3,0)*0.475*44/12</f>
        <v>11.46012386384916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50.410666518289247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-1.1368683772161603E-13</v>
      </c>
      <c r="O65" s="13">
        <f>N65*VLOOKUP('Données projet'!$B$9,Paramètres!$A$1:$I$89,3,0)*VLOOKUP('Données projet'!$B$9,Paramètres!$A$1:$I$89,5,0)</f>
        <v>-6.3550942286383367E-14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278.5296012747549</v>
      </c>
      <c r="T65" s="59">
        <f t="shared" si="34"/>
        <v>370.55343097937077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197.31645037756701</v>
      </c>
      <c r="AA65" s="21">
        <f>EXP(-LN(2)/25)*AA64+(1-EXP(-LN(2)/25))/(LN(2)/25)*Calculateur!V65*Calculateur!X65*VLOOKUP('Données projet'!$B$9,Paramètres!$A$1:$I$89,3,0)*0.475*44/12</f>
        <v>47.445168093375699</v>
      </c>
      <c r="AB65" s="21">
        <f>EXP(-LN(2)/2)*AB64+(1-EXP(-LN(2)/2))/(LN(2)/2)*V65*Y65*VLOOKUP('Données projet'!$B$9,Paramètres!$A$1:$I$89,3,0)*0.475*44/12</f>
        <v>3.0194612144353861</v>
      </c>
      <c r="AC65" s="22">
        <f t="shared" si="3"/>
        <v>247.7810796853781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16.900000000000006</v>
      </c>
      <c r="AI65" s="13">
        <f>IF('Données projet'!$A$62&gt;35,AI64+AH65-AQ64,IF(A65&lt;'Données projet'!$A$62,$AF$205^A65,IF(A65='Données projet'!$A$62,'Données projet'!$B$62,AI64+AH65-AQ64)))</f>
        <v>337.59999999999968</v>
      </c>
      <c r="AJ65" s="13">
        <f>AI65*VLOOKUP('Données projet'!$B$10,Paramètres!$A$1:$I$89,3,0)*VLOOKUP('Données projet'!$B$10,Paramètres!$A$1:$I$89,5,0)</f>
        <v>162.38559999999984</v>
      </c>
      <c r="AK65" s="13">
        <f t="shared" si="35"/>
        <v>41.380129791901354</v>
      </c>
      <c r="AL65" s="20">
        <f t="shared" si="4"/>
        <v>354.89197938756121</v>
      </c>
      <c r="AM65" s="59">
        <f t="shared" si="5"/>
        <v>648.22531272089452</v>
      </c>
      <c r="AN65" s="59">
        <f ca="1">AVERAGE(OFFSET($AM$3,0,0,'Données projet'!$E$10+1,1))-AVERAGE(OFFSET($H$3,0,0,'Données projet'!$E$10+1,1))</f>
        <v>255.05550867459038</v>
      </c>
      <c r="AO65" s="59">
        <f t="shared" si="36"/>
        <v>119.28597757550295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36.951899351082183</v>
      </c>
      <c r="AV65" s="21">
        <f>EXP(-LN(2)/25)*AV64+(1-EXP(-LN(2)/25))/(LN(2)/25)*Calculateur!AQ65*Calculateur!AS65*VLOOKUP('Données projet'!$B$10,Paramètres!$A$1:$I$89,3,0)*0.475*44/12</f>
        <v>26.410257367545086</v>
      </c>
      <c r="AW65" s="21">
        <f>EXP(-LN(2)/2)*AW64+(1-EXP(-LN(2)/2))/(LN(2)/2)*AQ65*AT65*VLOOKUP('Données projet'!$B$10,Paramètres!$A$1:$I$89,3,0)*0.475*44/12</f>
        <v>2.6142881035054044</v>
      </c>
      <c r="AX65" s="21">
        <f t="shared" si="6"/>
        <v>65.976444822132677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10.314743589743591</v>
      </c>
      <c r="BD65" s="12">
        <f>IF('Données projet'!$A$88&gt;35,BD64+BC65-BL64,IF(A65&lt;'Données projet'!$A$88,$BA$205^A65,IF(A65='Données projet'!$A$88,'Données projet'!$B$88,BD64+BC65-BL64)))</f>
        <v>244.66858974358996</v>
      </c>
      <c r="BE65" s="13">
        <f>BD65*VLOOKUP('Données projet'!$B$11,Paramètres!$A$1:$I$89,3,0)*VLOOKUP('Données projet'!$B$11,Paramètres!$A$1:$I$89,5,0)</f>
        <v>114.50490000000011</v>
      </c>
      <c r="BF65" s="13">
        <f t="shared" si="37"/>
        <v>30.389882066052234</v>
      </c>
      <c r="BG65" s="20">
        <f t="shared" si="7"/>
        <v>252.35841209837443</v>
      </c>
      <c r="BH65" s="59">
        <f t="shared" si="8"/>
        <v>545.69174543170777</v>
      </c>
      <c r="BI65" s="59">
        <f ca="1">AVERAGE(OFFSET($BH$3,0,0,'Données projet'!$E$11+1,1))-AVERAGE(OFFSET($H$3,0,0,'Données projet'!$E$11+1,1))</f>
        <v>181.79645720099597</v>
      </c>
      <c r="BJ65" s="59">
        <f t="shared" si="38"/>
        <v>120.20040029102233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22.205787777790334</v>
      </c>
      <c r="BQ65" s="21">
        <f>EXP(-LN(2)/25)*BQ64+(1-EXP(-LN(2)/25))/(LN(2)/25)*Calculateur!BL65*Calculateur!BN65*VLOOKUP('Données projet'!$B$11,Paramètres!$A$1:$I$89,3,0)*0.475*44/12</f>
        <v>29.156719176768515</v>
      </c>
      <c r="BR65" s="21">
        <f>EXP(-LN(2)/2)*BR64+(1-EXP(-LN(2)/2))/(LN(2)/2)*BL65*BO65*VLOOKUP('Données projet'!$B$11,Paramètres!$A$1:$I$89,3,0)*0.475*44/12</f>
        <v>5.5634155090890527</v>
      </c>
      <c r="BS65" s="22">
        <f t="shared" si="9"/>
        <v>56.925922463647908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9.1830769230769196</v>
      </c>
      <c r="BY65" s="12">
        <f>IF('Données projet'!$A$114&gt;35,BY64+BX65-CG64,IF(A65&lt;'Données projet'!$A$114,$BV$205^A65,IF(A65='Données projet'!$A$114,'Données projet'!$B$114,BY64+BX65-CG64)))</f>
        <v>306.52769230769218</v>
      </c>
      <c r="BZ65" s="13">
        <f>BY65*VLOOKUP('Données projet'!$B$12,Paramètres!$A$1:$I$89,3,0)*VLOOKUP('Données projet'!$B$12,Paramètres!$A$1:$I$89,5,0)</f>
        <v>183.30355999999992</v>
      </c>
      <c r="CA65" s="13">
        <f t="shared" si="39"/>
        <v>46.056387641494027</v>
      </c>
      <c r="CB65" s="20">
        <f t="shared" si="10"/>
        <v>399.46857547560194</v>
      </c>
      <c r="CC65" s="59">
        <f t="shared" si="11"/>
        <v>692.8019088089352</v>
      </c>
      <c r="CD65" s="59">
        <f ca="1">AVERAGE(OFFSET($CC$3,0,0,'Données projet'!$E$12+1,1))-AVERAGE(OFFSET($H$3,0,0,'Données projet'!$E$12+1,1))</f>
        <v>213.18424462765137</v>
      </c>
      <c r="CE65" s="59">
        <f t="shared" si="40"/>
        <v>158.77848520346532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43.948939746411519</v>
      </c>
      <c r="CL65" s="21">
        <f>EXP(-LN(2)/25)*CL64+(1-EXP(-LN(2)/25))/(LN(2)/25)*Calculateur!CG65*Calculateur!CI65*VLOOKUP('Données projet'!$B$12,Paramètres!$A$1:$I$89,3,0)*0.475*44/12</f>
        <v>12.784992006394177</v>
      </c>
      <c r="CM65" s="21">
        <f>EXP(-LN(2)/2)*CM64+(1-EXP(-LN(2)/2))/(LN(2)/2)*CG65*CJ65*VLOOKUP('Données projet'!$B$12,Paramètres!$A$1:$I$89,3,0)*0.475*44/12</f>
        <v>2.5058032320167789</v>
      </c>
      <c r="CN65" s="22">
        <f t="shared" si="12"/>
        <v>59.239734984822476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5.2</v>
      </c>
      <c r="CT65" s="12">
        <f>IF('Données projet'!$A$140&gt;35,CT64+CS65-DB64,IF(A65&lt;'Données projet'!$A$140,$CQ$205^A65,IF(A65='Données projet'!$A$140,'Données projet'!$B$140,CT64+CS65-DB64)))</f>
        <v>290.39999999999986</v>
      </c>
      <c r="CU65" s="17">
        <f>CT65*VLOOKUP('Données projet'!$B$13,Paramètres!$A$1:$I$89,3,0)*VLOOKUP('Données projet'!$B$13,Paramètres!$A$1:$I$89,5,0)</f>
        <v>231.04223999999991</v>
      </c>
      <c r="CV65" s="13">
        <f t="shared" si="41"/>
        <v>56.507978852931409</v>
      </c>
      <c r="CW65" s="20">
        <f t="shared" si="13"/>
        <v>500.81663116885539</v>
      </c>
      <c r="CX65" s="59">
        <f t="shared" si="14"/>
        <v>794.14996450218871</v>
      </c>
      <c r="CY65" s="59">
        <f ca="1">AVERAGE(OFFSET($CX$3,0,0,'Données projet'!$E$13+1,1))-AVERAGE(OFFSET($H$3,0,0,'Données projet'!$E$13+1,1))</f>
        <v>279.49721661620544</v>
      </c>
      <c r="CZ65" s="59">
        <f t="shared" si="42"/>
        <v>275.18739333988754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38.18674627047168</v>
      </c>
      <c r="DG65" s="21">
        <f>EXP(-LN(2)/25)*DG64+(1-EXP(-LN(2)/25))/(LN(2)/25)*Calculateur!DB65*Calculateur!DD65*VLOOKUP('Données projet'!$B$13,Paramètres!$A$1:$I$89,3,0)*0.475*44/12</f>
        <v>11.146746174130485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49.333492444602165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-1.1368683772161603E-13</v>
      </c>
      <c r="O66" s="13">
        <f>N66*VLOOKUP('Données projet'!$B$9,Paramètres!$A$1:$I$89,3,0)*VLOOKUP('Données projet'!$B$9,Paramètres!$A$1:$I$89,5,0)</f>
        <v>-6.3550942286383367E-14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278.5296012747549</v>
      </c>
      <c r="T66" s="59">
        <f t="shared" si="34"/>
        <v>370.55343097937077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193.44719513681397</v>
      </c>
      <c r="AA66" s="21">
        <f>EXP(-LN(2)/25)*AA65+(1-EXP(-LN(2)/25))/(LN(2)/25)*Calculateur!V66*Calculateur!X66*VLOOKUP('Données projet'!$B$9,Paramètres!$A$1:$I$89,3,0)*0.475*44/12</f>
        <v>46.14777747682939</v>
      </c>
      <c r="AB66" s="21">
        <f>EXP(-LN(2)/2)*AB65+(1-EXP(-LN(2)/2))/(LN(2)/2)*V66*Y66*VLOOKUP('Données projet'!$B$9,Paramètres!$A$1:$I$89,3,0)*0.475*44/12</f>
        <v>2.1350815002570296</v>
      </c>
      <c r="AC66" s="22">
        <f t="shared" si="3"/>
        <v>241.73005411390039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16.900000000000006</v>
      </c>
      <c r="AI66" s="13">
        <f>IF('Données projet'!$A$62&gt;35,AI65+AH66-AQ65,IF(A66&lt;'Données projet'!$A$62,$AF$205^A66,IF(A66='Données projet'!$A$62,'Données projet'!$B$62,AI65+AH66-AQ65)))</f>
        <v>354.49999999999966</v>
      </c>
      <c r="AJ66" s="13">
        <f>AI66*VLOOKUP('Données projet'!$B$10,Paramètres!$A$1:$I$89,3,0)*VLOOKUP('Données projet'!$B$10,Paramètres!$A$1:$I$89,5,0)</f>
        <v>170.51449999999986</v>
      </c>
      <c r="AK66" s="13">
        <f t="shared" si="35"/>
        <v>43.20523419612357</v>
      </c>
      <c r="AL66" s="20">
        <f t="shared" si="4"/>
        <v>372.22853705824832</v>
      </c>
      <c r="AM66" s="59">
        <f t="shared" si="5"/>
        <v>665.56187039158158</v>
      </c>
      <c r="AN66" s="59">
        <f ca="1">AVERAGE(OFFSET($AM$3,0,0,'Données projet'!$E$10+1,1))-AVERAGE(OFFSET($H$3,0,0,'Données projet'!$E$10+1,1))</f>
        <v>255.05550867459038</v>
      </c>
      <c r="AO66" s="59">
        <f t="shared" si="36"/>
        <v>119.28597757550295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36.227295143240582</v>
      </c>
      <c r="AV66" s="21">
        <f>EXP(-LN(2)/25)*AV65+(1-EXP(-LN(2)/25))/(LN(2)/25)*Calculateur!AQ66*Calculateur!AS66*VLOOKUP('Données projet'!$B$10,Paramètres!$A$1:$I$89,3,0)*0.475*44/12</f>
        <v>25.688067490974493</v>
      </c>
      <c r="AW66" s="21">
        <f>EXP(-LN(2)/2)*AW65+(1-EXP(-LN(2)/2))/(LN(2)/2)*AQ66*AT66*VLOOKUP('Données projet'!$B$10,Paramètres!$A$1:$I$89,3,0)*0.475*44/12</f>
        <v>1.8485808459639905</v>
      </c>
      <c r="AX66" s="21">
        <f t="shared" si="6"/>
        <v>63.763943480179066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10.314743589743591</v>
      </c>
      <c r="BD66" s="12">
        <f>IF('Données projet'!$A$88&gt;35,BD65+BC66-BL65,IF(A66&lt;'Données projet'!$A$88,$BA$205^A66,IF(A66='Données projet'!$A$88,'Données projet'!$B$88,BD65+BC66-BL65)))</f>
        <v>254.98333333333355</v>
      </c>
      <c r="BE66" s="13">
        <f>BD66*VLOOKUP('Données projet'!$B$11,Paramètres!$A$1:$I$89,3,0)*VLOOKUP('Données projet'!$B$11,Paramètres!$A$1:$I$89,5,0)</f>
        <v>119.33220000000009</v>
      </c>
      <c r="BF66" s="13">
        <f t="shared" si="37"/>
        <v>31.519195359992793</v>
      </c>
      <c r="BG66" s="20">
        <f t="shared" si="7"/>
        <v>262.73284691865422</v>
      </c>
      <c r="BH66" s="59">
        <f t="shared" si="8"/>
        <v>556.06618025198759</v>
      </c>
      <c r="BI66" s="59">
        <f ca="1">AVERAGE(OFFSET($BH$3,0,0,'Données projet'!$E$11+1,1))-AVERAGE(OFFSET($H$3,0,0,'Données projet'!$E$11+1,1))</f>
        <v>181.79645720099597</v>
      </c>
      <c r="BJ66" s="59">
        <f t="shared" si="38"/>
        <v>120.20040029102233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21.770345823661032</v>
      </c>
      <c r="BQ66" s="21">
        <f>EXP(-LN(2)/25)*BQ65+(1-EXP(-LN(2)/25))/(LN(2)/25)*Calculateur!BL66*Calculateur!BN66*VLOOKUP('Données projet'!$B$11,Paramètres!$A$1:$I$89,3,0)*0.475*44/12</f>
        <v>28.359427157594556</v>
      </c>
      <c r="BR66" s="21">
        <f>EXP(-LN(2)/2)*BR65+(1-EXP(-LN(2)/2))/(LN(2)/2)*BL66*BO66*VLOOKUP('Données projet'!$B$11,Paramètres!$A$1:$I$89,3,0)*0.475*44/12</f>
        <v>3.933928833035278</v>
      </c>
      <c r="BS66" s="22">
        <f t="shared" si="9"/>
        <v>54.063701814290866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9.1830769230769196</v>
      </c>
      <c r="BY66" s="12">
        <f>IF('Données projet'!$A$114&gt;35,BY65+BX66-CG65,IF(A66&lt;'Données projet'!$A$114,$BV$205^A66,IF(A66='Données projet'!$A$114,'Données projet'!$B$114,BY65+BX66-CG65)))</f>
        <v>315.71076923076907</v>
      </c>
      <c r="BZ66" s="13">
        <f>BY66*VLOOKUP('Données projet'!$B$12,Paramètres!$A$1:$I$89,3,0)*VLOOKUP('Données projet'!$B$12,Paramètres!$A$1:$I$89,5,0)</f>
        <v>188.79503999999991</v>
      </c>
      <c r="CA66" s="13">
        <f t="shared" si="39"/>
        <v>47.273454743056831</v>
      </c>
      <c r="CB66" s="20">
        <f t="shared" si="10"/>
        <v>411.15262834415716</v>
      </c>
      <c r="CC66" s="59">
        <f t="shared" si="11"/>
        <v>704.48596167749042</v>
      </c>
      <c r="CD66" s="59">
        <f ca="1">AVERAGE(OFFSET($CC$3,0,0,'Données projet'!$E$12+1,1))-AVERAGE(OFFSET($H$3,0,0,'Données projet'!$E$12+1,1))</f>
        <v>213.18424462765137</v>
      </c>
      <c r="CE66" s="59">
        <f t="shared" si="40"/>
        <v>158.77848520346532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43.087127844190739</v>
      </c>
      <c r="CL66" s="21">
        <f>EXP(-LN(2)/25)*CL65+(1-EXP(-LN(2)/25))/(LN(2)/25)*Calculateur!CG66*Calculateur!CI66*VLOOKUP('Données projet'!$B$12,Paramètres!$A$1:$I$89,3,0)*0.475*44/12</f>
        <v>12.435385727645819</v>
      </c>
      <c r="CM66" s="21">
        <f>EXP(-LN(2)/2)*CM65+(1-EXP(-LN(2)/2))/(LN(2)/2)*CG66*CJ66*VLOOKUP('Données projet'!$B$12,Paramètres!$A$1:$I$89,3,0)*0.475*44/12</f>
        <v>1.7718704576782323</v>
      </c>
      <c r="CN66" s="22">
        <f t="shared" si="12"/>
        <v>57.294384029514788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5.2</v>
      </c>
      <c r="CT66" s="12">
        <f>IF('Données projet'!$A$140&gt;35,CT65+CS66-DB65,IF(A66&lt;'Données projet'!$A$140,$CQ$205^A66,IF(A66='Données projet'!$A$140,'Données projet'!$B$140,CT65+CS66-DB65)))</f>
        <v>295.59999999999985</v>
      </c>
      <c r="CU66" s="17">
        <f>CT66*VLOOKUP('Données projet'!$B$13,Paramètres!$A$1:$I$89,3,0)*VLOOKUP('Données projet'!$B$13,Paramètres!$A$1:$I$89,5,0)</f>
        <v>235.17935999999989</v>
      </c>
      <c r="CV66" s="13">
        <f t="shared" si="41"/>
        <v>57.401124668909425</v>
      </c>
      <c r="CW66" s="20">
        <f t="shared" si="13"/>
        <v>509.57767746501708</v>
      </c>
      <c r="CX66" s="59">
        <f t="shared" si="14"/>
        <v>802.91101079835039</v>
      </c>
      <c r="CY66" s="59">
        <f ca="1">AVERAGE(OFFSET($CX$3,0,0,'Données projet'!$E$13+1,1))-AVERAGE(OFFSET($H$3,0,0,'Données projet'!$E$13+1,1))</f>
        <v>279.49721661620544</v>
      </c>
      <c r="CZ66" s="59">
        <f t="shared" si="42"/>
        <v>275.18739333988754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37.4379274677231</v>
      </c>
      <c r="DG66" s="21">
        <f>EXP(-LN(2)/25)*DG65+(1-EXP(-LN(2)/25))/(LN(2)/25)*Calculateur!DB66*Calculateur!DD66*VLOOKUP('Données projet'!$B$13,Paramètres!$A$1:$I$89,3,0)*0.475*44/12</f>
        <v>10.841937813816982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48.279865281540083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-1.1368683772161603E-13</v>
      </c>
      <c r="O67" s="13">
        <f>N67*VLOOKUP('Données projet'!$B$9,Paramètres!$A$1:$I$89,3,0)*VLOOKUP('Données projet'!$B$9,Paramètres!$A$1:$I$89,5,0)</f>
        <v>-6.3550942286383367E-14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278.5296012747549</v>
      </c>
      <c r="T67" s="59">
        <f t="shared" si="34"/>
        <v>370.55343097937077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189.65381363131942</v>
      </c>
      <c r="AA67" s="21">
        <f>EXP(-LN(2)/25)*AA66+(1-EXP(-LN(2)/25))/(LN(2)/25)*Calculateur!V67*Calculateur!X67*VLOOKUP('Données projet'!$B$9,Paramètres!$A$1:$I$89,3,0)*0.475*44/12</f>
        <v>44.885864074919347</v>
      </c>
      <c r="AB67" s="21">
        <f>EXP(-LN(2)/2)*AB66+(1-EXP(-LN(2)/2))/(LN(2)/2)*V67*Y67*VLOOKUP('Données projet'!$B$9,Paramètres!$A$1:$I$89,3,0)*0.475*44/12</f>
        <v>1.509730607217693</v>
      </c>
      <c r="AC67" s="22">
        <f t="shared" si="3"/>
        <v>236.04940831345647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16.900000000000006</v>
      </c>
      <c r="AI67" s="13">
        <f>IF('Données projet'!$A$62&gt;35,AI66+AH67-AQ66,IF(A67&lt;'Données projet'!$A$62,$AF$205^A67,IF(A67='Données projet'!$A$62,'Données projet'!$B$62,AI66+AH67-AQ66)))</f>
        <v>371.39999999999964</v>
      </c>
      <c r="AJ67" s="13">
        <f>AI67*VLOOKUP('Données projet'!$B$10,Paramètres!$A$1:$I$89,3,0)*VLOOKUP('Données projet'!$B$10,Paramètres!$A$1:$I$89,5,0)</f>
        <v>178.64339999999984</v>
      </c>
      <c r="AK67" s="13">
        <f t="shared" si="35"/>
        <v>45.020234899788804</v>
      </c>
      <c r="AL67" s="20">
        <f t="shared" si="4"/>
        <v>389.54749745046519</v>
      </c>
      <c r="AM67" s="59">
        <f t="shared" si="5"/>
        <v>682.8808307837985</v>
      </c>
      <c r="AN67" s="59">
        <f ca="1">AVERAGE(OFFSET($AM$3,0,0,'Données projet'!$E$10+1,1))-AVERAGE(OFFSET($H$3,0,0,'Données projet'!$E$10+1,1))</f>
        <v>255.05550867459038</v>
      </c>
      <c r="AO67" s="59">
        <f t="shared" si="36"/>
        <v>119.28597757550295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35.516899981949827</v>
      </c>
      <c r="AV67" s="21">
        <f>EXP(-LN(2)/25)*AV66+(1-EXP(-LN(2)/25))/(LN(2)/25)*Calculateur!AQ67*Calculateur!AS67*VLOOKUP('Données projet'!$B$10,Paramètres!$A$1:$I$89,3,0)*0.475*44/12</f>
        <v>24.985625934557039</v>
      </c>
      <c r="AW67" s="21">
        <f>EXP(-LN(2)/2)*AW66+(1-EXP(-LN(2)/2))/(LN(2)/2)*AQ67*AT67*VLOOKUP('Données projet'!$B$10,Paramètres!$A$1:$I$89,3,0)*0.475*44/12</f>
        <v>1.3071440517527024</v>
      </c>
      <c r="AX67" s="21">
        <f t="shared" si="6"/>
        <v>61.80966996825957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10.314743589743591</v>
      </c>
      <c r="BD67" s="12">
        <f>IF('Données projet'!$A$88&gt;35,BD66+BC67-BL66,IF(A67&lt;'Données projet'!$A$88,$BA$205^A67,IF(A67='Données projet'!$A$88,'Données projet'!$B$88,BD66+BC67-BL66)))</f>
        <v>265.29807692307713</v>
      </c>
      <c r="BE67" s="13">
        <f>BD67*VLOOKUP('Données projet'!$B$11,Paramètres!$A$1:$I$89,3,0)*VLOOKUP('Données projet'!$B$11,Paramètres!$A$1:$I$89,5,0)</f>
        <v>124.15950000000009</v>
      </c>
      <c r="BF67" s="13">
        <f t="shared" si="37"/>
        <v>32.643202044796318</v>
      </c>
      <c r="BG67" s="20">
        <f t="shared" si="7"/>
        <v>273.09803939468708</v>
      </c>
      <c r="BH67" s="59">
        <f t="shared" si="8"/>
        <v>566.43137272802039</v>
      </c>
      <c r="BI67" s="59">
        <f ca="1">AVERAGE(OFFSET($BH$3,0,0,'Données projet'!$E$11+1,1))-AVERAGE(OFFSET($H$3,0,0,'Données projet'!$E$11+1,1))</f>
        <v>181.79645720099597</v>
      </c>
      <c r="BJ67" s="59">
        <f t="shared" si="38"/>
        <v>120.20040029102233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21.343442620658838</v>
      </c>
      <c r="BQ67" s="21">
        <f>EXP(-LN(2)/25)*BQ66+(1-EXP(-LN(2)/25))/(LN(2)/25)*Calculateur!BL67*Calculateur!BN67*VLOOKUP('Données projet'!$B$11,Paramètres!$A$1:$I$89,3,0)*0.475*44/12</f>
        <v>27.583937130612675</v>
      </c>
      <c r="BR67" s="21">
        <f>EXP(-LN(2)/2)*BR66+(1-EXP(-LN(2)/2))/(LN(2)/2)*BL67*BO67*VLOOKUP('Données projet'!$B$11,Paramètres!$A$1:$I$89,3,0)*0.475*44/12</f>
        <v>2.7817077545445268</v>
      </c>
      <c r="BS67" s="22">
        <f t="shared" si="9"/>
        <v>51.709087505816044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9.1830769230769196</v>
      </c>
      <c r="BY67" s="12">
        <f>IF('Données projet'!$A$114&gt;35,BY66+BX67-CG66,IF(A67&lt;'Données projet'!$A$114,$BV$205^A67,IF(A67='Données projet'!$A$114,'Données projet'!$B$114,BY66+BX67-CG66)))</f>
        <v>324.89384615384597</v>
      </c>
      <c r="BZ67" s="13">
        <f>BY67*VLOOKUP('Données projet'!$B$12,Paramètres!$A$1:$I$89,3,0)*VLOOKUP('Données projet'!$B$12,Paramètres!$A$1:$I$89,5,0)</f>
        <v>194.28651999999991</v>
      </c>
      <c r="CA67" s="13">
        <f t="shared" si="39"/>
        <v>48.486407543748122</v>
      </c>
      <c r="CB67" s="20">
        <f t="shared" si="10"/>
        <v>422.82951547202782</v>
      </c>
      <c r="CC67" s="59">
        <f t="shared" si="11"/>
        <v>716.16284880536114</v>
      </c>
      <c r="CD67" s="59">
        <f ca="1">AVERAGE(OFFSET($CC$3,0,0,'Données projet'!$E$12+1,1))-AVERAGE(OFFSET($H$3,0,0,'Données projet'!$E$12+1,1))</f>
        <v>213.18424462765137</v>
      </c>
      <c r="CE67" s="59">
        <f t="shared" si="40"/>
        <v>158.77848520346532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42.242215547719155</v>
      </c>
      <c r="CL67" s="21">
        <f>EXP(-LN(2)/25)*CL66+(1-EXP(-LN(2)/25))/(LN(2)/25)*Calculateur!CG67*Calculateur!CI67*VLOOKUP('Données projet'!$B$12,Paramètres!$A$1:$I$89,3,0)*0.475*44/12</f>
        <v>12.09533945097483</v>
      </c>
      <c r="CM67" s="21">
        <f>EXP(-LN(2)/2)*CM66+(1-EXP(-LN(2)/2))/(LN(2)/2)*CG67*CJ67*VLOOKUP('Données projet'!$B$12,Paramètres!$A$1:$I$89,3,0)*0.475*44/12</f>
        <v>1.2529016160083897</v>
      </c>
      <c r="CN67" s="22">
        <f t="shared" si="12"/>
        <v>55.590456614702376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5.2</v>
      </c>
      <c r="CT67" s="12">
        <f>IF('Données projet'!$A$140&gt;35,CT66+CS67-DB66,IF(A67&lt;'Données projet'!$A$140,$CQ$205^A67,IF(A67='Données projet'!$A$140,'Données projet'!$B$140,CT66+CS67-DB66)))</f>
        <v>300.79999999999984</v>
      </c>
      <c r="CU67" s="17">
        <f>CT67*VLOOKUP('Données projet'!$B$13,Paramètres!$A$1:$I$89,3,0)*VLOOKUP('Données projet'!$B$13,Paramètres!$A$1:$I$89,5,0)</f>
        <v>239.3164799999999</v>
      </c>
      <c r="CV67" s="13">
        <f t="shared" si="41"/>
        <v>58.292443422481945</v>
      </c>
      <c r="CW67" s="20">
        <f t="shared" si="13"/>
        <v>518.33554162748919</v>
      </c>
      <c r="CX67" s="59">
        <f t="shared" si="14"/>
        <v>811.66887496082245</v>
      </c>
      <c r="CY67" s="59">
        <f ca="1">AVERAGE(OFFSET($CX$3,0,0,'Données projet'!$E$13+1,1))-AVERAGE(OFFSET($H$3,0,0,'Données projet'!$E$13+1,1))</f>
        <v>279.49721661620544</v>
      </c>
      <c r="CZ67" s="59">
        <f t="shared" si="42"/>
        <v>275.18739333988754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36.703792544962049</v>
      </c>
      <c r="DG67" s="21">
        <f>EXP(-LN(2)/25)*DG66+(1-EXP(-LN(2)/25))/(LN(2)/25)*Calculateur!DB67*Calculateur!DD67*VLOOKUP('Données projet'!$B$13,Paramètres!$A$1:$I$89,3,0)*0.475*44/12</f>
        <v>10.545464454145426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47.249256999107473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-1.1368683772161603E-13</v>
      </c>
      <c r="O68" s="13">
        <f>N68*VLOOKUP('Données projet'!$B$9,Paramètres!$A$1:$I$89,3,0)*VLOOKUP('Données projet'!$B$9,Paramètres!$A$1:$I$89,5,0)</f>
        <v>-6.3550942286383367E-14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278.5296012747549</v>
      </c>
      <c r="T68" s="59">
        <f t="shared" si="34"/>
        <v>370.55343097937077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185.93481802341336</v>
      </c>
      <c r="AA68" s="21">
        <f>EXP(-LN(2)/25)*AA67+(1-EXP(-LN(2)/25))/(LN(2)/25)*Calculateur!V68*Calculateur!X68*VLOOKUP('Données projet'!$B$9,Paramètres!$A$1:$I$89,3,0)*0.475*44/12</f>
        <v>43.658457761345673</v>
      </c>
      <c r="AB68" s="21">
        <f>EXP(-LN(2)/2)*AB67+(1-EXP(-LN(2)/2))/(LN(2)/2)*V68*Y68*VLOOKUP('Données projet'!$B$9,Paramètres!$A$1:$I$89,3,0)*0.475*44/12</f>
        <v>1.0675407501285148</v>
      </c>
      <c r="AC68" s="22">
        <f t="shared" ref="AC68:AC131" si="57">SUM(Z68:AB68)</f>
        <v>230.66081653488754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16.900000000000006</v>
      </c>
      <c r="AI68" s="13">
        <f>IF('Données projet'!$A$62&gt;35,AI67+AH68-AQ67,IF(A68&lt;'Données projet'!$A$62,$AF$205^A68,IF(A68='Données projet'!$A$62,'Données projet'!$B$62,AI67+AH68-AQ67)))</f>
        <v>388.29999999999961</v>
      </c>
      <c r="AJ68" s="13">
        <f>AI68*VLOOKUP('Données projet'!$B$10,Paramètres!$A$1:$I$89,3,0)*VLOOKUP('Données projet'!$B$10,Paramètres!$A$1:$I$89,5,0)</f>
        <v>186.7722999999998</v>
      </c>
      <c r="AK68" s="13">
        <f t="shared" si="35"/>
        <v>46.825644176332588</v>
      </c>
      <c r="AL68" s="20">
        <f t="shared" ref="AL68:AL131" si="58">(AJ68+AK68)*0.475*44/12</f>
        <v>406.84975277377885</v>
      </c>
      <c r="AM68" s="59">
        <f t="shared" ref="AM68:AM131" si="59">AL68+(AD68+AE68)*44/12</f>
        <v>700.1830861071121</v>
      </c>
      <c r="AN68" s="59">
        <f ca="1">AVERAGE(OFFSET($AM$3,0,0,'Données projet'!$E$10+1,1))-AVERAGE(OFFSET($H$3,0,0,'Données projet'!$E$10+1,1))</f>
        <v>255.05550867459038</v>
      </c>
      <c r="AO68" s="59">
        <f t="shared" si="36"/>
        <v>119.28597757550295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34.82043523647372</v>
      </c>
      <c r="AV68" s="21">
        <f>EXP(-LN(2)/25)*AV67+(1-EXP(-LN(2)/25))/(LN(2)/25)*Calculateur!AQ68*Calculateur!AS68*VLOOKUP('Données projet'!$B$10,Paramètres!$A$1:$I$89,3,0)*0.475*44/12</f>
        <v>24.302392679439613</v>
      </c>
      <c r="AW68" s="21">
        <f>EXP(-LN(2)/2)*AW67+(1-EXP(-LN(2)/2))/(LN(2)/2)*AQ68*AT68*VLOOKUP('Données projet'!$B$10,Paramètres!$A$1:$I$89,3,0)*0.475*44/12</f>
        <v>0.92429042298199537</v>
      </c>
      <c r="AX68" s="21">
        <f t="shared" ref="AX68:AX131" si="60">SUM(AU68:AW68)</f>
        <v>60.047118338895331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10.314743589743591</v>
      </c>
      <c r="BD68" s="12">
        <f>IF('Données projet'!$A$88&gt;35,BD67+BC68-BL67,IF(A68&lt;'Données projet'!$A$88,$BA$205^A68,IF(A68='Données projet'!$A$88,'Données projet'!$B$88,BD67+BC68-BL67)))</f>
        <v>275.61282051282075</v>
      </c>
      <c r="BE68" s="13">
        <f>BD68*VLOOKUP('Données projet'!$B$11,Paramètres!$A$1:$I$89,3,0)*VLOOKUP('Données projet'!$B$11,Paramètres!$A$1:$I$89,5,0)</f>
        <v>128.98680000000013</v>
      </c>
      <c r="BF68" s="13">
        <f t="shared" si="37"/>
        <v>33.762132053733033</v>
      </c>
      <c r="BG68" s="20">
        <f t="shared" ref="BG68:BG131" si="61">(BE68+BF68)*0.475*44/12</f>
        <v>283.45438999358527</v>
      </c>
      <c r="BH68" s="59">
        <f t="shared" ref="BH68:BH131" si="62">BG68+(AY68+AZ68)*44/12</f>
        <v>576.78772332691858</v>
      </c>
      <c r="BI68" s="59">
        <f ca="1">AVERAGE(OFFSET($BH$3,0,0,'Données projet'!$E$11+1,1))-AVERAGE(OFFSET($H$3,0,0,'Données projet'!$E$11+1,1))</f>
        <v>181.79645720099597</v>
      </c>
      <c r="BJ68" s="59">
        <f t="shared" si="38"/>
        <v>120.20040029102233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20.924910729082274</v>
      </c>
      <c r="BQ68" s="21">
        <f>EXP(-LN(2)/25)*BQ67+(1-EXP(-LN(2)/25))/(LN(2)/25)*Calculateur!BL68*Calculateur!BN68*VLOOKUP('Données projet'!$B$11,Paramètres!$A$1:$I$89,3,0)*0.475*44/12</f>
        <v>26.829652919199862</v>
      </c>
      <c r="BR68" s="21">
        <f>EXP(-LN(2)/2)*BR67+(1-EXP(-LN(2)/2))/(LN(2)/2)*BL68*BO68*VLOOKUP('Données projet'!$B$11,Paramètres!$A$1:$I$89,3,0)*0.475*44/12</f>
        <v>1.9669644165176392</v>
      </c>
      <c r="BS68" s="22">
        <f t="shared" ref="BS68:BS131" si="63">SUM(BP68:BR68)</f>
        <v>49.721528064799777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9.1830769230769196</v>
      </c>
      <c r="BY68" s="12">
        <f>IF('Données projet'!$A$114&gt;35,BY67+BX68-CG67,IF(A68&lt;'Données projet'!$A$114,$BV$205^A68,IF(A68='Données projet'!$A$114,'Données projet'!$B$114,BY67+BX68-CG67)))</f>
        <v>334.07692307692287</v>
      </c>
      <c r="BZ68" s="13">
        <f>BY68*VLOOKUP('Données projet'!$B$12,Paramètres!$A$1:$I$89,3,0)*VLOOKUP('Données projet'!$B$12,Paramètres!$A$1:$I$89,5,0)</f>
        <v>199.77799999999991</v>
      </c>
      <c r="CA68" s="13">
        <f t="shared" si="39"/>
        <v>49.695375691492799</v>
      </c>
      <c r="CB68" s="20">
        <f t="shared" ref="CB68:CB131" si="64">(BZ68+CA68)*0.475*44/12</f>
        <v>434.49946266268313</v>
      </c>
      <c r="CC68" s="59">
        <f t="shared" ref="CC68:CC131" si="65">CB68+(BT68+BU68)*44/12</f>
        <v>727.83279599601644</v>
      </c>
      <c r="CD68" s="59">
        <f ca="1">AVERAGE(OFFSET($CC$3,0,0,'Données projet'!$E$12+1,1))-AVERAGE(OFFSET($H$3,0,0,'Données projet'!$E$12+1,1))</f>
        <v>213.18424462765137</v>
      </c>
      <c r="CE68" s="59">
        <f t="shared" si="40"/>
        <v>158.77848520346532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41.413871466035765</v>
      </c>
      <c r="CL68" s="21">
        <f>EXP(-LN(2)/25)*CL67+(1-EXP(-LN(2)/25))/(LN(2)/25)*Calculateur!CG68*Calculateur!CI68*VLOOKUP('Données projet'!$B$12,Paramètres!$A$1:$I$89,3,0)*0.475*44/12</f>
        <v>11.764591757621666</v>
      </c>
      <c r="CM68" s="21">
        <f>EXP(-LN(2)/2)*CM67+(1-EXP(-LN(2)/2))/(LN(2)/2)*CG68*CJ68*VLOOKUP('Données projet'!$B$12,Paramètres!$A$1:$I$89,3,0)*0.475*44/12</f>
        <v>0.88593522883911624</v>
      </c>
      <c r="CN68" s="22">
        <f t="shared" ref="CN68:CN131" si="66">SUM(CK68:CM68)</f>
        <v>54.064398452496548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306</v>
      </c>
      <c r="CR68" s="12">
        <f>VLOOKUP(A68,'Données projet'!$A$139:$I$159,9,0)</f>
        <v>5.2</v>
      </c>
      <c r="CS68" s="12">
        <f t="array" ref="CS68">INDEX(CR:CR,MIN(IF(ISNUMBER(CR68:CR264),ROW(CR68:CR264),"")))</f>
        <v>5.2</v>
      </c>
      <c r="CT68" s="12">
        <f>IF('Données projet'!$A$140&gt;35,CT67+CS68-DB67,IF(A68&lt;'Données projet'!$A$140,$CQ$205^A68,IF(A68='Données projet'!$A$140,'Données projet'!$B$140,CT67+CS68-DB67)))</f>
        <v>305.99999999999983</v>
      </c>
      <c r="CU68" s="17">
        <f>CT68*VLOOKUP('Données projet'!$B$13,Paramètres!$A$1:$I$89,3,0)*VLOOKUP('Données projet'!$B$13,Paramètres!$A$1:$I$89,5,0)</f>
        <v>243.45359999999988</v>
      </c>
      <c r="CV68" s="13">
        <f t="shared" si="41"/>
        <v>59.181970343065267</v>
      </c>
      <c r="CW68" s="20">
        <f t="shared" ref="CW68:CW131" si="67">(CU68+CV68)*0.475*44/12</f>
        <v>527.09028501417163</v>
      </c>
      <c r="CX68" s="59">
        <f t="shared" ref="CX68:CX131" si="68">CW68+(CO68+CP68)*44/12</f>
        <v>820.423618347505</v>
      </c>
      <c r="CY68" s="59">
        <f ca="1">AVERAGE(OFFSET($CX$3,0,0,'Données projet'!$E$13+1,1))-AVERAGE(OFFSET($H$3,0,0,'Données projet'!$E$13+1,1))</f>
        <v>279.49721661620544</v>
      </c>
      <c r="CZ68" s="59">
        <f t="shared" si="42"/>
        <v>275.18739333988754</v>
      </c>
      <c r="DA68" s="15">
        <f>IF(ISNA(VLOOKUP(A68,'Données projet'!$A$139:$I$159,3,0)),0,VLOOKUP(A68,'Données projet'!$A$139:$I$159,3,0))</f>
        <v>11</v>
      </c>
      <c r="DB68" s="15">
        <f>IF(ISNA(VLOOKUP(A68,'Données projet'!$A$139:$I$159,4,0)),0,VLOOKUP(A68,'Données projet'!$A$139:$I$159,4,0))</f>
        <v>13</v>
      </c>
      <c r="DC68" s="16">
        <f>IF(ISNA(VLOOKUP(A68,'Données projet'!$A$139:$I$159,5,0)),0%,VLOOKUP(A68,'Données projet'!$A$139:$I$159,5,0)*VLOOKUP('Données projet'!$B$13,Paramètres!$A$1:$I$89,7,0))</f>
        <v>0.48760000000000003</v>
      </c>
      <c r="DD68" s="16">
        <f>IF(ISNA(VLOOKUP(A68,'Données projet'!$A$139:$I$159,6,0)),0%,VLOOKUP(A68,'Données projet'!$A$139:$I$159,6,0)*VLOOKUP('Données projet'!$B$13,Paramètres!$A$1:$I$89,7,0))</f>
        <v>4.24E-2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41.559105708861182</v>
      </c>
      <c r="DG68" s="21">
        <f>EXP(-LN(2)/25)*DG67+(1-EXP(-LN(2)/25))/(LN(2)/25)*Calculateur!DB68*Calculateur!DD68*VLOOKUP('Données projet'!$B$13,Paramètres!$A$1:$I$89,3,0)*0.475*44/12</f>
        <v>10.739976525739944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52.29908223460113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-1.1368683772161603E-13</v>
      </c>
      <c r="O69" s="13">
        <f>N69*VLOOKUP('Données projet'!$B$9,Paramètres!$A$1:$I$89,3,0)*VLOOKUP('Données projet'!$B$9,Paramètres!$A$1:$I$89,5,0)</f>
        <v>-6.3550942286383367E-14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278.5296012747549</v>
      </c>
      <c r="T69" s="59">
        <f t="shared" ref="T69:T132" si="88">$T$3</f>
        <v>370.55343097937077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182.288749651015</v>
      </c>
      <c r="AA69" s="21">
        <f>EXP(-LN(2)/25)*AA68+(1-EXP(-LN(2)/25))/(LN(2)/25)*Calculateur!V69*Calculateur!X69*VLOOKUP('Données projet'!$B$9,Paramètres!$A$1:$I$89,3,0)*0.475*44/12</f>
        <v>42.464614937963162</v>
      </c>
      <c r="AB69" s="21">
        <f>EXP(-LN(2)/2)*AB68+(1-EXP(-LN(2)/2))/(LN(2)/2)*V69*Y69*VLOOKUP('Données projet'!$B$9,Paramètres!$A$1:$I$89,3,0)*0.475*44/12</f>
        <v>0.75486530360884652</v>
      </c>
      <c r="AC69" s="22">
        <f t="shared" si="57"/>
        <v>225.50822989258702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16.900000000000006</v>
      </c>
      <c r="AI69" s="13">
        <f>IF('Données projet'!$A$62&gt;35,AI68+AH69-AQ68,IF(A69&lt;'Données projet'!$A$62,$AF$205^A69,IF(A69='Données projet'!$A$62,'Données projet'!$B$62,AI68+AH69-AQ68)))</f>
        <v>405.19999999999959</v>
      </c>
      <c r="AJ69" s="13">
        <f>AI69*VLOOKUP('Données projet'!$B$10,Paramètres!$A$1:$I$89,3,0)*VLOOKUP('Données projet'!$B$10,Paramètres!$A$1:$I$89,5,0)</f>
        <v>194.90119999999979</v>
      </c>
      <c r="AK69" s="13">
        <f t="shared" ref="AK69:AK132" si="89">EXP(-1.0587+0.8836*LN(AJ69)+0.284)</f>
        <v>48.621927186167277</v>
      </c>
      <c r="AL69" s="20">
        <f t="shared" si="58"/>
        <v>424.13611318257432</v>
      </c>
      <c r="AM69" s="59">
        <f t="shared" si="59"/>
        <v>717.46944651590763</v>
      </c>
      <c r="AN69" s="59">
        <f ca="1">AVERAGE(OFFSET($AM$3,0,0,'Données projet'!$E$10+1,1))-AVERAGE(OFFSET($H$3,0,0,'Données projet'!$E$10+1,1))</f>
        <v>255.05550867459038</v>
      </c>
      <c r="AO69" s="59">
        <f t="shared" ref="AO69:AO132" si="90">$AO$3</f>
        <v>119.28597757550295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34.13762773985485</v>
      </c>
      <c r="AV69" s="21">
        <f>EXP(-LN(2)/25)*AV68+(1-EXP(-LN(2)/25))/(LN(2)/25)*Calculateur!AQ69*Calculateur!AS69*VLOOKUP('Données projet'!$B$10,Paramètres!$A$1:$I$89,3,0)*0.475*44/12</f>
        <v>23.637842473613048</v>
      </c>
      <c r="AW69" s="21">
        <f>EXP(-LN(2)/2)*AW68+(1-EXP(-LN(2)/2))/(LN(2)/2)*AQ69*AT69*VLOOKUP('Données projet'!$B$10,Paramètres!$A$1:$I$89,3,0)*0.475*44/12</f>
        <v>0.65357202587635133</v>
      </c>
      <c r="AX69" s="21">
        <f t="shared" si="60"/>
        <v>58.429042239344248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10.314743589743591</v>
      </c>
      <c r="BD69" s="12">
        <f>IF('Données projet'!$A$88&gt;35,BD68+BC69-BL68,IF(A69&lt;'Données projet'!$A$88,$BA$205^A69,IF(A69='Données projet'!$A$88,'Données projet'!$B$88,BD68+BC69-BL68)))</f>
        <v>285.92756410256436</v>
      </c>
      <c r="BE69" s="13">
        <f>BD69*VLOOKUP('Données projet'!$B$11,Paramètres!$A$1:$I$89,3,0)*VLOOKUP('Données projet'!$B$11,Paramètres!$A$1:$I$89,5,0)</f>
        <v>133.81410000000011</v>
      </c>
      <c r="BF69" s="13">
        <f t="shared" ref="BF69:BF132" si="91">EXP(-1.0587+0.8836*LN(BE69)+0.284)</f>
        <v>34.876197134679366</v>
      </c>
      <c r="BG69" s="20">
        <f t="shared" si="61"/>
        <v>293.80226750956672</v>
      </c>
      <c r="BH69" s="59">
        <f t="shared" si="62"/>
        <v>587.13560084289998</v>
      </c>
      <c r="BI69" s="59">
        <f ca="1">AVERAGE(OFFSET($BH$3,0,0,'Données projet'!$E$11+1,1))-AVERAGE(OFFSET($H$3,0,0,'Données projet'!$E$11+1,1))</f>
        <v>181.79645720099597</v>
      </c>
      <c r="BJ69" s="59">
        <f t="shared" ref="BJ69:BJ132" si="92">$BJ$3</f>
        <v>120.20040029102233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20.51458599262028</v>
      </c>
      <c r="BQ69" s="21">
        <f>EXP(-LN(2)/25)*BQ68+(1-EXP(-LN(2)/25))/(LN(2)/25)*Calculateur!BL69*Calculateur!BN69*VLOOKUP('Données projet'!$B$11,Paramètres!$A$1:$I$89,3,0)*0.475*44/12</f>
        <v>26.095994649214216</v>
      </c>
      <c r="BR69" s="21">
        <f>EXP(-LN(2)/2)*BR68+(1-EXP(-LN(2)/2))/(LN(2)/2)*BL69*BO69*VLOOKUP('Données projet'!$B$11,Paramètres!$A$1:$I$89,3,0)*0.475*44/12</f>
        <v>1.3908538772722636</v>
      </c>
      <c r="BS69" s="22">
        <f t="shared" si="63"/>
        <v>48.001434519106759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9.1830769230769196</v>
      </c>
      <c r="BY69" s="12">
        <f>IF('Données projet'!$A$114&gt;35,BY68+BX69-CG68,IF(A69&lt;'Données projet'!$A$114,$BV$205^A69,IF(A69='Données projet'!$A$114,'Données projet'!$B$114,BY68+BX69-CG68)))</f>
        <v>343.25999999999976</v>
      </c>
      <c r="BZ69" s="13">
        <f>BY69*VLOOKUP('Données projet'!$B$12,Paramètres!$A$1:$I$89,3,0)*VLOOKUP('Données projet'!$B$12,Paramètres!$A$1:$I$89,5,0)</f>
        <v>205.26947999999987</v>
      </c>
      <c r="CA69" s="13">
        <f t="shared" ref="CA69:CA132" si="93">EXP(-1.0587+0.8836*LN(BZ69)+0.284)</f>
        <v>50.900481301079942</v>
      </c>
      <c r="CB69" s="20">
        <f t="shared" si="64"/>
        <v>446.16268259938062</v>
      </c>
      <c r="CC69" s="59">
        <f t="shared" si="65"/>
        <v>739.49601593271393</v>
      </c>
      <c r="CD69" s="59">
        <f ca="1">AVERAGE(OFFSET($CC$3,0,0,'Données projet'!$E$12+1,1))-AVERAGE(OFFSET($H$3,0,0,'Données projet'!$E$12+1,1))</f>
        <v>213.18424462765137</v>
      </c>
      <c r="CE69" s="59">
        <f t="shared" ref="CE69:CE132" si="94">$CE$3</f>
        <v>158.77848520346532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40.601770706554184</v>
      </c>
      <c r="CL69" s="21">
        <f>EXP(-LN(2)/25)*CL68+(1-EXP(-LN(2)/25))/(LN(2)/25)*Calculateur!CG69*Calculateur!CI69*VLOOKUP('Données projet'!$B$12,Paramètres!$A$1:$I$89,3,0)*0.475*44/12</f>
        <v>11.442888377336509</v>
      </c>
      <c r="CM69" s="21">
        <f>EXP(-LN(2)/2)*CM68+(1-EXP(-LN(2)/2))/(LN(2)/2)*CG69*CJ69*VLOOKUP('Données projet'!$B$12,Paramètres!$A$1:$I$89,3,0)*0.475*44/12</f>
        <v>0.62645080800419495</v>
      </c>
      <c r="CN69" s="22">
        <f t="shared" si="66"/>
        <v>52.671109891894886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4.5999999999999996</v>
      </c>
      <c r="CT69" s="12">
        <f>IF('Données projet'!$A$140&gt;35,CT68+CS69-DB68,IF(A69&lt;'Données projet'!$A$140,$CQ$205^A69,IF(A69='Données projet'!$A$140,'Données projet'!$B$140,CT68+CS69-DB68)))</f>
        <v>297.59999999999985</v>
      </c>
      <c r="CU69" s="17">
        <f>CT69*VLOOKUP('Données projet'!$B$13,Paramètres!$A$1:$I$89,3,0)*VLOOKUP('Données projet'!$B$13,Paramètres!$A$1:$I$89,5,0)</f>
        <v>236.7705599999999</v>
      </c>
      <c r="CV69" s="13">
        <f t="shared" ref="CV69:CV132" si="95">EXP(-1.0587+0.8836*LN(CU69)+0.284)</f>
        <v>57.744153841586879</v>
      </c>
      <c r="CW69" s="20">
        <f t="shared" si="67"/>
        <v>512.9464599407637</v>
      </c>
      <c r="CX69" s="59">
        <f t="shared" si="68"/>
        <v>806.27979327409707</v>
      </c>
      <c r="CY69" s="59">
        <f ca="1">AVERAGE(OFFSET($CX$3,0,0,'Données projet'!$E$13+1,1))-AVERAGE(OFFSET($H$3,0,0,'Données projet'!$E$13+1,1))</f>
        <v>279.49721661620544</v>
      </c>
      <c r="CZ69" s="59">
        <f t="shared" ref="CZ69:CZ132" si="96">$CZ$3</f>
        <v>275.18739333988754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40.744156994461932</v>
      </c>
      <c r="DG69" s="21">
        <f>EXP(-LN(2)/25)*DG68+(1-EXP(-LN(2)/25))/(LN(2)/25)*Calculateur!DB69*Calculateur!DD69*VLOOKUP('Données projet'!$B$13,Paramètres!$A$1:$I$89,3,0)*0.475*44/12</f>
        <v>10.446291302852767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51.190448297314703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-1.1368683772161603E-13</v>
      </c>
      <c r="O70" s="13">
        <f>N70*VLOOKUP('Données projet'!$B$9,Paramètres!$A$1:$I$89,3,0)*VLOOKUP('Données projet'!$B$9,Paramètres!$A$1:$I$89,5,0)</f>
        <v>-6.3550942286383367E-14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278.5296012747549</v>
      </c>
      <c r="T70" s="59">
        <f t="shared" si="88"/>
        <v>370.55343097937077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178.71417845551724</v>
      </c>
      <c r="AA70" s="21">
        <f>EXP(-LN(2)/25)*AA69+(1-EXP(-LN(2)/25))/(LN(2)/25)*Calculateur!V70*Calculateur!X70*VLOOKUP('Données projet'!$B$9,Paramètres!$A$1:$I$89,3,0)*0.475*44/12</f>
        <v>41.303417809367517</v>
      </c>
      <c r="AB70" s="21">
        <f>EXP(-LN(2)/2)*AB69+(1-EXP(-LN(2)/2))/(LN(2)/2)*V70*Y70*VLOOKUP('Données projet'!$B$9,Paramètres!$A$1:$I$89,3,0)*0.475*44/12</f>
        <v>0.5337703750642574</v>
      </c>
      <c r="AC70" s="22">
        <f t="shared" si="57"/>
        <v>220.55136663994901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422.1</v>
      </c>
      <c r="AG70" s="12">
        <f>VLOOKUP(A70,'Données projet'!$A$61:$I$81,9,0)</f>
        <v>16.900000000000006</v>
      </c>
      <c r="AH70" s="12">
        <f t="array" ref="AH70">INDEX(AG:AG,MIN(IF(ISNUMBER(AG70:AG266),ROW(AG70:AG266),"")))</f>
        <v>16.900000000000006</v>
      </c>
      <c r="AI70" s="13">
        <f>IF('Données projet'!$A$62&gt;35,AI69+AH70-AQ69,IF(A70&lt;'Données projet'!$A$62,$AF$205^A70,IF(A70='Données projet'!$A$62,'Données projet'!$B$62,AI69+AH70-AQ69)))</f>
        <v>422.09999999999957</v>
      </c>
      <c r="AJ70" s="13">
        <f>AI70*VLOOKUP('Données projet'!$B$10,Paramètres!$A$1:$I$89,3,0)*VLOOKUP('Données projet'!$B$10,Paramètres!$A$1:$I$89,5,0)</f>
        <v>203.03009999999981</v>
      </c>
      <c r="AK70" s="13">
        <f t="shared" si="89"/>
        <v>50.409508092857372</v>
      </c>
      <c r="AL70" s="20">
        <f t="shared" si="58"/>
        <v>441.4073174283929</v>
      </c>
      <c r="AM70" s="59">
        <f t="shared" si="59"/>
        <v>734.74065076172622</v>
      </c>
      <c r="AN70" s="59">
        <f ca="1">AVERAGE(OFFSET($AM$3,0,0,'Données projet'!$E$10+1,1))-AVERAGE(OFFSET($H$3,0,0,'Données projet'!$E$10+1,1))</f>
        <v>255.05550867459038</v>
      </c>
      <c r="AO70" s="59">
        <f t="shared" si="90"/>
        <v>119.28597757550295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92.1</v>
      </c>
      <c r="AR70" s="16">
        <f>IF(ISNA(VLOOKUP(A70,'Données projet'!$A$61:$I$81,5,0)),0%,VLOOKUP(A70,'Données projet'!$A$61:$I$81,5,0)*VLOOKUP('Données projet'!$B$10,Paramètres!$A$1:$I$89,7,0))</f>
        <v>0.38500000000000001</v>
      </c>
      <c r="AS70" s="16">
        <f>IF(ISNA(VLOOKUP(A70,'Données projet'!$A$61:$I$81,6,0)),0%,VLOOKUP(A70,'Données projet'!$A$61:$I$81,6,0)*VLOOKUP('Données projet'!$B$10,Paramètres!$A$1:$I$89,7,0))</f>
        <v>9.3500000000000014E-2</v>
      </c>
      <c r="AT70" s="16">
        <f>IF(ISNA(VLOOKUP(A70,'Données projet'!$A$61:$I$81,7,0)),0%,VLOOKUP(A70,'Données projet'!$A$61:$I$81,7,0))</f>
        <v>0.13</v>
      </c>
      <c r="AU70" s="21">
        <f>EXP(-LN(2)/35)*AU69+(1-EXP(-LN(2)/35))/(LN(2)/35)*AQ70*AR70*VLOOKUP('Données projet'!$B$10,Paramètres!$A$1:$I$89,3,0)*0.475*44/12</f>
        <v>56.093480824253831</v>
      </c>
      <c r="AV70" s="21">
        <f>EXP(-LN(2)/25)*AV69+(1-EXP(-LN(2)/25))/(LN(2)/25)*Calculateur!AQ70*Calculateur!AS70*VLOOKUP('Données projet'!$B$10,Paramètres!$A$1:$I$89,3,0)*0.475*44/12</f>
        <v>28.464538372319193</v>
      </c>
      <c r="AW70" s="21">
        <f>EXP(-LN(2)/2)*AW69+(1-EXP(-LN(2)/2))/(LN(2)/2)*AQ70*AT70*VLOOKUP('Données projet'!$B$10,Paramètres!$A$1:$I$89,3,0)*0.475*44/12</f>
        <v>6.9826857319657805</v>
      </c>
      <c r="AX70" s="21">
        <f t="shared" si="60"/>
        <v>91.540704928538815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10.314743589743591</v>
      </c>
      <c r="BD70" s="12">
        <f>IF('Données projet'!$A$88&gt;35,BD69+BC70-BL69,IF(A70&lt;'Données projet'!$A$88,$BA$205^A70,IF(A70='Données projet'!$A$88,'Données projet'!$B$88,BD69+BC70-BL69)))</f>
        <v>296.24230769230797</v>
      </c>
      <c r="BE70" s="13">
        <f>BD70*VLOOKUP('Données projet'!$B$11,Paramètres!$A$1:$I$89,3,0)*VLOOKUP('Données projet'!$B$11,Paramètres!$A$1:$I$89,5,0)</f>
        <v>138.64140000000015</v>
      </c>
      <c r="BF70" s="13">
        <f t="shared" si="91"/>
        <v>35.985592892108897</v>
      </c>
      <c r="BG70" s="20">
        <f t="shared" si="61"/>
        <v>304.14201262042326</v>
      </c>
      <c r="BH70" s="59">
        <f t="shared" si="62"/>
        <v>597.47534595375657</v>
      </c>
      <c r="BI70" s="59">
        <f ca="1">AVERAGE(OFFSET($BH$3,0,0,'Données projet'!$E$11+1,1))-AVERAGE(OFFSET($H$3,0,0,'Données projet'!$E$11+1,1))</f>
        <v>181.79645720099597</v>
      </c>
      <c r="BJ70" s="59">
        <f t="shared" si="92"/>
        <v>120.20040029102233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20.112307473966929</v>
      </c>
      <c r="BQ70" s="21">
        <f>EXP(-LN(2)/25)*BQ69+(1-EXP(-LN(2)/25))/(LN(2)/25)*Calculateur!BL70*Calculateur!BN70*VLOOKUP('Données projet'!$B$11,Paramètres!$A$1:$I$89,3,0)*0.475*44/12</f>
        <v>25.382398303202738</v>
      </c>
      <c r="BR70" s="21">
        <f>EXP(-LN(2)/2)*BR69+(1-EXP(-LN(2)/2))/(LN(2)/2)*BL70*BO70*VLOOKUP('Données projet'!$B$11,Paramètres!$A$1:$I$89,3,0)*0.475*44/12</f>
        <v>0.98348220825881982</v>
      </c>
      <c r="BS70" s="22">
        <f t="shared" si="63"/>
        <v>46.478187985428491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9.1830769230769196</v>
      </c>
      <c r="BY70" s="12">
        <f>IF('Données projet'!$A$114&gt;35,BY69+BX70-CG69,IF(A70&lt;'Données projet'!$A$114,$BV$205^A70,IF(A70='Données projet'!$A$114,'Données projet'!$B$114,BY69+BX70-CG69)))</f>
        <v>352.44307692307666</v>
      </c>
      <c r="BZ70" s="13">
        <f>BY70*VLOOKUP('Données projet'!$B$12,Paramètres!$A$1:$I$89,3,0)*VLOOKUP('Données projet'!$B$12,Paramètres!$A$1:$I$89,5,0)</f>
        <v>210.76095999999987</v>
      </c>
      <c r="CA70" s="13">
        <f t="shared" si="93"/>
        <v>52.101839581538208</v>
      </c>
      <c r="CB70" s="20">
        <f t="shared" si="64"/>
        <v>457.81937593784545</v>
      </c>
      <c r="CC70" s="59">
        <f t="shared" si="65"/>
        <v>751.15270927117876</v>
      </c>
      <c r="CD70" s="59">
        <f ca="1">AVERAGE(OFFSET($CC$3,0,0,'Données projet'!$E$12+1,1))-AVERAGE(OFFSET($H$3,0,0,'Données projet'!$E$12+1,1))</f>
        <v>213.18424462765137</v>
      </c>
      <c r="CE70" s="59">
        <f t="shared" si="94"/>
        <v>158.77848520346532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39.805594747633485</v>
      </c>
      <c r="CL70" s="21">
        <f>EXP(-LN(2)/25)*CL69+(1-EXP(-LN(2)/25))/(LN(2)/25)*Calculateur!CG70*Calculateur!CI70*VLOOKUP('Données projet'!$B$12,Paramètres!$A$1:$I$89,3,0)*0.475*44/12</f>
        <v>11.129981992902895</v>
      </c>
      <c r="CM70" s="21">
        <f>EXP(-LN(2)/2)*CM69+(1-EXP(-LN(2)/2))/(LN(2)/2)*CG70*CJ70*VLOOKUP('Données projet'!$B$12,Paramètres!$A$1:$I$89,3,0)*0.475*44/12</f>
        <v>0.44296761441955818</v>
      </c>
      <c r="CN70" s="22">
        <f t="shared" si="66"/>
        <v>51.378544354955935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4.5999999999999996</v>
      </c>
      <c r="CT70" s="12">
        <f>IF('Données projet'!$A$140&gt;35,CT69+CS70-DB69,IF(A70&lt;'Données projet'!$A$140,$CQ$205^A70,IF(A70='Données projet'!$A$140,'Données projet'!$B$140,CT69+CS70-DB69)))</f>
        <v>302.19999999999987</v>
      </c>
      <c r="CU70" s="17">
        <f>CT70*VLOOKUP('Données projet'!$B$13,Paramètres!$A$1:$I$89,3,0)*VLOOKUP('Données projet'!$B$13,Paramètres!$A$1:$I$89,5,0)</f>
        <v>240.43031999999991</v>
      </c>
      <c r="CV70" s="13">
        <f t="shared" si="95"/>
        <v>58.532106271380506</v>
      </c>
      <c r="CW70" s="20">
        <f t="shared" si="67"/>
        <v>520.69289242265415</v>
      </c>
      <c r="CX70" s="59">
        <f t="shared" si="68"/>
        <v>814.02622575598753</v>
      </c>
      <c r="CY70" s="59">
        <f ca="1">AVERAGE(OFFSET($CX$3,0,0,'Données projet'!$E$13+1,1))-AVERAGE(OFFSET($H$3,0,0,'Données projet'!$E$13+1,1))</f>
        <v>279.49721661620544</v>
      </c>
      <c r="CZ70" s="59">
        <f t="shared" si="96"/>
        <v>275.18739333988754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39.945188927282423</v>
      </c>
      <c r="DG70" s="21">
        <f>EXP(-LN(2)/25)*DG69+(1-EXP(-LN(2)/25))/(LN(2)/25)*Calculateur!DB70*Calculateur!DD70*VLOOKUP('Données projet'!$B$13,Paramètres!$A$1:$I$89,3,0)*0.475*44/12</f>
        <v>10.160636917829674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50.105825845112093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-1.1368683772161603E-13</v>
      </c>
      <c r="O71" s="13">
        <f>N71*VLOOKUP('Données projet'!$B$9,Paramètres!$A$1:$I$89,3,0)*VLOOKUP('Données projet'!$B$9,Paramètres!$A$1:$I$89,5,0)</f>
        <v>-6.3550942286383367E-14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278.5296012747549</v>
      </c>
      <c r="T71" s="59">
        <f t="shared" si="88"/>
        <v>370.55343097937077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175.20970242089007</v>
      </c>
      <c r="AA71" s="21">
        <f>EXP(-LN(2)/25)*AA70+(1-EXP(-LN(2)/25))/(LN(2)/25)*Calculateur!V71*Calculateur!X71*VLOOKUP('Données projet'!$B$9,Paramètres!$A$1:$I$89,3,0)*0.475*44/12</f>
        <v>40.173973677318017</v>
      </c>
      <c r="AB71" s="21">
        <f>EXP(-LN(2)/2)*AB70+(1-EXP(-LN(2)/2))/(LN(2)/2)*V71*Y71*VLOOKUP('Données projet'!$B$9,Paramètres!$A$1:$I$89,3,0)*0.475*44/12</f>
        <v>0.37743265180442326</v>
      </c>
      <c r="AC71" s="22">
        <f t="shared" si="57"/>
        <v>215.76110875001248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15.575000000000003</v>
      </c>
      <c r="AI71" s="13">
        <f>IF('Données projet'!$A$62&gt;35,AI70+AH71-AQ70,IF(A71&lt;'Données projet'!$A$62,$AF$205^A71,IF(A71='Données projet'!$A$62,'Données projet'!$B$62,AI70+AH71-AQ70)))</f>
        <v>345.57499999999959</v>
      </c>
      <c r="AJ71" s="13">
        <f>AI71*VLOOKUP('Données projet'!$B$10,Paramètres!$A$1:$I$89,3,0)*VLOOKUP('Données projet'!$B$10,Paramètres!$A$1:$I$89,5,0)</f>
        <v>166.2215749999998</v>
      </c>
      <c r="AK71" s="13">
        <f t="shared" si="89"/>
        <v>42.242678255252144</v>
      </c>
      <c r="AL71" s="20">
        <f t="shared" si="58"/>
        <v>363.07524108623051</v>
      </c>
      <c r="AM71" s="59">
        <f t="shared" si="59"/>
        <v>656.40857441956382</v>
      </c>
      <c r="AN71" s="59">
        <f ca="1">AVERAGE(OFFSET($AM$3,0,0,'Données projet'!$E$10+1,1))-AVERAGE(OFFSET($H$3,0,0,'Données projet'!$E$10+1,1))</f>
        <v>255.05550867459038</v>
      </c>
      <c r="AO71" s="59">
        <f t="shared" si="90"/>
        <v>119.28597757550295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54.993521878935198</v>
      </c>
      <c r="AV71" s="21">
        <f>EXP(-LN(2)/25)*AV70+(1-EXP(-LN(2)/25))/(LN(2)/25)*Calculateur!AQ71*Calculateur!AS71*VLOOKUP('Données projet'!$B$10,Paramètres!$A$1:$I$89,3,0)*0.475*44/12</f>
        <v>27.686174073643109</v>
      </c>
      <c r="AW71" s="21">
        <f>EXP(-LN(2)/2)*AW70+(1-EXP(-LN(2)/2))/(LN(2)/2)*AQ71*AT71*VLOOKUP('Données projet'!$B$10,Paramètres!$A$1:$I$89,3,0)*0.475*44/12</f>
        <v>4.9375044319675547</v>
      </c>
      <c r="AX71" s="21">
        <f t="shared" si="60"/>
        <v>87.617200384545853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10.314743589743591</v>
      </c>
      <c r="BD71" s="12">
        <f>IF('Données projet'!$A$88&gt;35,BD70+BC71-BL70,IF(A71&lt;'Données projet'!$A$88,$BA$205^A71,IF(A71='Données projet'!$A$88,'Données projet'!$B$88,BD70+BC71-BL70)))</f>
        <v>306.55705128205159</v>
      </c>
      <c r="BE71" s="13">
        <f>BD71*VLOOKUP('Données projet'!$B$11,Paramètres!$A$1:$I$89,3,0)*VLOOKUP('Données projet'!$B$11,Paramètres!$A$1:$I$89,5,0)</f>
        <v>143.46870000000015</v>
      </c>
      <c r="BF71" s="13">
        <f t="shared" si="91"/>
        <v>37.090500536695636</v>
      </c>
      <c r="BG71" s="20">
        <f t="shared" si="61"/>
        <v>314.47394093474514</v>
      </c>
      <c r="BH71" s="59">
        <f t="shared" si="62"/>
        <v>607.80727426807846</v>
      </c>
      <c r="BI71" s="59">
        <f ca="1">AVERAGE(OFFSET($BH$3,0,0,'Données projet'!$E$11+1,1))-AVERAGE(OFFSET($H$3,0,0,'Données projet'!$E$11+1,1))</f>
        <v>181.79645720099597</v>
      </c>
      <c r="BJ71" s="59">
        <f t="shared" si="92"/>
        <v>120.20040029102233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19.717917391698702</v>
      </c>
      <c r="BQ71" s="21">
        <f>EXP(-LN(2)/25)*BQ70+(1-EXP(-LN(2)/25))/(LN(2)/25)*Calculateur!BL71*Calculateur!BN71*VLOOKUP('Données projet'!$B$11,Paramètres!$A$1:$I$89,3,0)*0.475*44/12</f>
        <v>24.688315286799345</v>
      </c>
      <c r="BR71" s="21">
        <f>EXP(-LN(2)/2)*BR70+(1-EXP(-LN(2)/2))/(LN(2)/2)*BL71*BO71*VLOOKUP('Données projet'!$B$11,Paramètres!$A$1:$I$89,3,0)*0.475*44/12</f>
        <v>0.69542693863613192</v>
      </c>
      <c r="BS71" s="22">
        <f t="shared" si="63"/>
        <v>45.101659617134175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9.1830769230769196</v>
      </c>
      <c r="BY71" s="12">
        <f>IF('Données projet'!$A$114&gt;35,BY70+BX71-CG70,IF(A71&lt;'Données projet'!$A$114,$BV$205^A71,IF(A71='Données projet'!$A$114,'Données projet'!$B$114,BY70+BX71-CG70)))</f>
        <v>361.62615384615356</v>
      </c>
      <c r="BZ71" s="13">
        <f>BY71*VLOOKUP('Données projet'!$B$12,Paramètres!$A$1:$I$89,3,0)*VLOOKUP('Données projet'!$B$12,Paramètres!$A$1:$I$89,5,0)</f>
        <v>216.25243999999984</v>
      </c>
      <c r="CA71" s="13">
        <f t="shared" si="93"/>
        <v>53.299559396285737</v>
      </c>
      <c r="CB71" s="20">
        <f t="shared" si="64"/>
        <v>469.46973228186403</v>
      </c>
      <c r="CC71" s="59">
        <f t="shared" si="65"/>
        <v>762.80306561519728</v>
      </c>
      <c r="CD71" s="59">
        <f ca="1">AVERAGE(OFFSET($CC$3,0,0,'Données projet'!$E$12+1,1))-AVERAGE(OFFSET($H$3,0,0,'Données projet'!$E$12+1,1))</f>
        <v>213.18424462765137</v>
      </c>
      <c r="CE71" s="59">
        <f t="shared" si="94"/>
        <v>158.77848520346532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39.025031313647837</v>
      </c>
      <c r="CL71" s="21">
        <f>EXP(-LN(2)/25)*CL70+(1-EXP(-LN(2)/25))/(LN(2)/25)*Calculateur!CG71*Calculateur!CI71*VLOOKUP('Données projet'!$B$12,Paramètres!$A$1:$I$89,3,0)*0.475*44/12</f>
        <v>10.82563205000665</v>
      </c>
      <c r="CM71" s="21">
        <f>EXP(-LN(2)/2)*CM70+(1-EXP(-LN(2)/2))/(LN(2)/2)*CG71*CJ71*VLOOKUP('Données projet'!$B$12,Paramètres!$A$1:$I$89,3,0)*0.475*44/12</f>
        <v>0.31322540400209747</v>
      </c>
      <c r="CN71" s="22">
        <f t="shared" si="66"/>
        <v>50.163888767656587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4.5999999999999996</v>
      </c>
      <c r="CT71" s="12">
        <f>IF('Données projet'!$A$140&gt;35,CT70+CS71-DB70,IF(A71&lt;'Données projet'!$A$140,$CQ$205^A71,IF(A71='Données projet'!$A$140,'Données projet'!$B$140,CT70+CS71-DB70)))</f>
        <v>306.7999999999999</v>
      </c>
      <c r="CU71" s="17">
        <f>CT71*VLOOKUP('Données projet'!$B$13,Paramètres!$A$1:$I$89,3,0)*VLOOKUP('Données projet'!$B$13,Paramètres!$A$1:$I$89,5,0)</f>
        <v>244.09007999999994</v>
      </c>
      <c r="CV71" s="13">
        <f t="shared" si="95"/>
        <v>59.318663780863893</v>
      </c>
      <c r="CW71" s="20">
        <f t="shared" si="67"/>
        <v>528.43689541833794</v>
      </c>
      <c r="CX71" s="59">
        <f t="shared" si="68"/>
        <v>821.77022875167131</v>
      </c>
      <c r="CY71" s="59">
        <f ca="1">AVERAGE(OFFSET($CX$3,0,0,'Données projet'!$E$13+1,1))-AVERAGE(OFFSET($H$3,0,0,'Données projet'!$E$13+1,1))</f>
        <v>279.49721661620544</v>
      </c>
      <c r="CZ71" s="59">
        <f t="shared" si="96"/>
        <v>275.18739333988754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39.1618881365779</v>
      </c>
      <c r="DG71" s="21">
        <f>EXP(-LN(2)/25)*DG70+(1-EXP(-LN(2)/25))/(LN(2)/25)*Calculateur!DB71*Calculateur!DD71*VLOOKUP('Données projet'!$B$13,Paramètres!$A$1:$I$89,3,0)*0.475*44/12</f>
        <v>9.8827937669869481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49.04468190356485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-1.1368683772161603E-13</v>
      </c>
      <c r="O72" s="13">
        <f>N72*VLOOKUP('Données projet'!$B$9,Paramètres!$A$1:$I$89,3,0)*VLOOKUP('Données projet'!$B$9,Paramètres!$A$1:$I$89,5,0)</f>
        <v>-6.3550942286383367E-14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278.5296012747549</v>
      </c>
      <c r="T72" s="59">
        <f t="shared" si="88"/>
        <v>370.55343097937077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171.77394702378263</v>
      </c>
      <c r="AA72" s="21">
        <f>EXP(-LN(2)/25)*AA71+(1-EXP(-LN(2)/25))/(LN(2)/25)*Calculateur!V72*Calculateur!X72*VLOOKUP('Données projet'!$B$9,Paramètres!$A$1:$I$89,3,0)*0.475*44/12</f>
        <v>39.075414254454301</v>
      </c>
      <c r="AB72" s="21">
        <f>EXP(-LN(2)/2)*AB71+(1-EXP(-LN(2)/2))/(LN(2)/2)*V72*Y72*VLOOKUP('Données projet'!$B$9,Paramètres!$A$1:$I$89,3,0)*0.475*44/12</f>
        <v>0.2668851875321287</v>
      </c>
      <c r="AC72" s="22">
        <f t="shared" si="57"/>
        <v>211.11624646576905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15.575000000000003</v>
      </c>
      <c r="AI72" s="13">
        <f>IF('Données projet'!$A$62&gt;35,AI71+AH72-AQ71,IF(A72&lt;'Données projet'!$A$62,$AF$205^A72,IF(A72='Données projet'!$A$62,'Données projet'!$B$62,AI71+AH72-AQ71)))</f>
        <v>361.14999999999958</v>
      </c>
      <c r="AJ72" s="13">
        <f>AI72*VLOOKUP('Données projet'!$B$10,Paramètres!$A$1:$I$89,3,0)*VLOOKUP('Données projet'!$B$10,Paramètres!$A$1:$I$89,5,0)</f>
        <v>173.71314999999981</v>
      </c>
      <c r="AK72" s="13">
        <f t="shared" si="89"/>
        <v>43.920596995308742</v>
      </c>
      <c r="AL72" s="20">
        <f t="shared" si="58"/>
        <v>379.04544268349576</v>
      </c>
      <c r="AM72" s="59">
        <f t="shared" si="59"/>
        <v>672.37877601682908</v>
      </c>
      <c r="AN72" s="59">
        <f ca="1">AVERAGE(OFFSET($AM$3,0,0,'Données projet'!$E$10+1,1))-AVERAGE(OFFSET($H$3,0,0,'Données projet'!$E$10+1,1))</f>
        <v>255.05550867459038</v>
      </c>
      <c r="AO72" s="59">
        <f t="shared" si="90"/>
        <v>119.28597757550295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53.915132457625553</v>
      </c>
      <c r="AV72" s="21">
        <f>EXP(-LN(2)/25)*AV71+(1-EXP(-LN(2)/25))/(LN(2)/25)*Calculateur!AQ72*Calculateur!AS72*VLOOKUP('Données projet'!$B$10,Paramètres!$A$1:$I$89,3,0)*0.475*44/12</f>
        <v>26.929094187646722</v>
      </c>
      <c r="AW72" s="21">
        <f>EXP(-LN(2)/2)*AW71+(1-EXP(-LN(2)/2))/(LN(2)/2)*AQ72*AT72*VLOOKUP('Données projet'!$B$10,Paramètres!$A$1:$I$89,3,0)*0.475*44/12</f>
        <v>3.4913428659828907</v>
      </c>
      <c r="AX72" s="21">
        <f t="shared" si="60"/>
        <v>84.335569511255159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10.314743589743591</v>
      </c>
      <c r="BD72" s="12">
        <f>IF('Données projet'!$A$88&gt;35,BD71+BC72-BL71,IF(A72&lt;'Données projet'!$A$88,$BA$205^A72,IF(A72='Données projet'!$A$88,'Données projet'!$B$88,BD71+BC72-BL71)))</f>
        <v>316.8717948717952</v>
      </c>
      <c r="BE72" s="13">
        <f>BD72*VLOOKUP('Données projet'!$B$11,Paramètres!$A$1:$I$89,3,0)*VLOOKUP('Données projet'!$B$11,Paramètres!$A$1:$I$89,5,0)</f>
        <v>148.29600000000016</v>
      </c>
      <c r="BF72" s="13">
        <f t="shared" si="91"/>
        <v>38.191088392826394</v>
      </c>
      <c r="BG72" s="20">
        <f t="shared" si="61"/>
        <v>324.79834561750624</v>
      </c>
      <c r="BH72" s="59">
        <f t="shared" si="62"/>
        <v>618.13167895083961</v>
      </c>
      <c r="BI72" s="59">
        <f ca="1">AVERAGE(OFFSET($BH$3,0,0,'Données projet'!$E$11+1,1))-AVERAGE(OFFSET($H$3,0,0,'Données projet'!$E$11+1,1))</f>
        <v>181.79645720099597</v>
      </c>
      <c r="BJ72" s="59">
        <f t="shared" si="92"/>
        <v>120.20040029102233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19.331261058389558</v>
      </c>
      <c r="BQ72" s="21">
        <f>EXP(-LN(2)/25)*BQ71+(1-EXP(-LN(2)/25))/(LN(2)/25)*Calculateur!BL72*Calculateur!BN72*VLOOKUP('Données projet'!$B$11,Paramètres!$A$1:$I$89,3,0)*0.475*44/12</f>
        <v>24.013212006979742</v>
      </c>
      <c r="BR72" s="21">
        <f>EXP(-LN(2)/2)*BR71+(1-EXP(-LN(2)/2))/(LN(2)/2)*BL72*BO72*VLOOKUP('Données projet'!$B$11,Paramètres!$A$1:$I$89,3,0)*0.475*44/12</f>
        <v>0.49174110412940997</v>
      </c>
      <c r="BS72" s="22">
        <f t="shared" si="63"/>
        <v>43.83621416949871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9.1830769230769196</v>
      </c>
      <c r="BY72" s="12">
        <f>IF('Données projet'!$A$114&gt;35,BY71+BX72-CG71,IF(A72&lt;'Données projet'!$A$114,$BV$205^A72,IF(A72='Données projet'!$A$114,'Données projet'!$B$114,BY71+BX72-CG71)))</f>
        <v>370.80923076923045</v>
      </c>
      <c r="BZ72" s="13">
        <f>BY72*VLOOKUP('Données projet'!$B$12,Paramètres!$A$1:$I$89,3,0)*VLOOKUP('Données projet'!$B$12,Paramètres!$A$1:$I$89,5,0)</f>
        <v>221.74391999999983</v>
      </c>
      <c r="CA72" s="13">
        <f t="shared" si="93"/>
        <v>54.493743764780973</v>
      </c>
      <c r="CB72" s="20">
        <f t="shared" si="64"/>
        <v>481.11393105699318</v>
      </c>
      <c r="CC72" s="59">
        <f t="shared" si="65"/>
        <v>774.4472643903265</v>
      </c>
      <c r="CD72" s="59">
        <f ca="1">AVERAGE(OFFSET($CC$3,0,0,'Données projet'!$E$12+1,1))-AVERAGE(OFFSET($H$3,0,0,'Données projet'!$E$12+1,1))</f>
        <v>213.18424462765137</v>
      </c>
      <c r="CE72" s="59">
        <f t="shared" si="94"/>
        <v>158.77848520346532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38.259774252505963</v>
      </c>
      <c r="CL72" s="21">
        <f>EXP(-LN(2)/25)*CL71+(1-EXP(-LN(2)/25))/(LN(2)/25)*Calculateur!CG72*Calculateur!CI72*VLOOKUP('Données projet'!$B$12,Paramètres!$A$1:$I$89,3,0)*0.475*44/12</f>
        <v>10.52960457230397</v>
      </c>
      <c r="CM72" s="21">
        <f>EXP(-LN(2)/2)*CM71+(1-EXP(-LN(2)/2))/(LN(2)/2)*CG72*CJ72*VLOOKUP('Données projet'!$B$12,Paramètres!$A$1:$I$89,3,0)*0.475*44/12</f>
        <v>0.22148380720977909</v>
      </c>
      <c r="CN72" s="22">
        <f t="shared" si="66"/>
        <v>49.010862632019709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4.5999999999999996</v>
      </c>
      <c r="CT72" s="12">
        <f>IF('Données projet'!$A$140&gt;35,CT71+CS72-DB71,IF(A72&lt;'Données projet'!$A$140,$CQ$205^A72,IF(A72='Données projet'!$A$140,'Données projet'!$B$140,CT71+CS72-DB71)))</f>
        <v>311.39999999999992</v>
      </c>
      <c r="CU72" s="17">
        <f>CT72*VLOOKUP('Données projet'!$B$13,Paramètres!$A$1:$I$89,3,0)*VLOOKUP('Données projet'!$B$13,Paramètres!$A$1:$I$89,5,0)</f>
        <v>247.74983999999995</v>
      </c>
      <c r="CV72" s="13">
        <f t="shared" si="95"/>
        <v>60.103849700617872</v>
      </c>
      <c r="CW72" s="20">
        <f t="shared" si="67"/>
        <v>536.17850956190932</v>
      </c>
      <c r="CX72" s="59">
        <f t="shared" si="68"/>
        <v>829.51184289524258</v>
      </c>
      <c r="CY72" s="59">
        <f ca="1">AVERAGE(OFFSET($CX$3,0,0,'Données projet'!$E$13+1,1))-AVERAGE(OFFSET($H$3,0,0,'Données projet'!$E$13+1,1))</f>
        <v>279.49721661620544</v>
      </c>
      <c r="CZ72" s="59">
        <f t="shared" si="96"/>
        <v>275.18739333988754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38.393947396612788</v>
      </c>
      <c r="DG72" s="21">
        <f>EXP(-LN(2)/25)*DG71+(1-EXP(-LN(2)/25))/(LN(2)/25)*Calculateur!DB72*Calculateur!DD72*VLOOKUP('Données projet'!$B$13,Paramètres!$A$1:$I$89,3,0)*0.475*44/12</f>
        <v>9.6125482517151539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48.006495648327942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-1.1368683772161603E-13</v>
      </c>
      <c r="O73" s="13">
        <f>N73*VLOOKUP('Données projet'!$B$9,Paramètres!$A$1:$I$89,3,0)*VLOOKUP('Données projet'!$B$9,Paramètres!$A$1:$I$89,5,0)</f>
        <v>-6.3550942286383367E-14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278.5296012747549</v>
      </c>
      <c r="T73" s="59">
        <f t="shared" si="88"/>
        <v>370.55343097937077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168.40556469440858</v>
      </c>
      <c r="AA73" s="21">
        <f>EXP(-LN(2)/25)*AA72+(1-EXP(-LN(2)/25))/(LN(2)/25)*Calculateur!V73*Calculateur!X73*VLOOKUP('Données projet'!$B$9,Paramètres!$A$1:$I$89,3,0)*0.475*44/12</f>
        <v>38.006894996779522</v>
      </c>
      <c r="AB73" s="21">
        <f>EXP(-LN(2)/2)*AB72+(1-EXP(-LN(2)/2))/(LN(2)/2)*V73*Y73*VLOOKUP('Données projet'!$B$9,Paramètres!$A$1:$I$89,3,0)*0.475*44/12</f>
        <v>0.18871632590221163</v>
      </c>
      <c r="AC73" s="22">
        <f t="shared" si="57"/>
        <v>206.60117601709032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15.575000000000003</v>
      </c>
      <c r="AI73" s="13">
        <f>IF('Données projet'!$A$62&gt;35,AI72+AH73-AQ72,IF(A73&lt;'Données projet'!$A$62,$AF$205^A73,IF(A73='Données projet'!$A$62,'Données projet'!$B$62,AI72+AH73-AQ72)))</f>
        <v>376.72499999999957</v>
      </c>
      <c r="AJ73" s="13">
        <f>AI73*VLOOKUP('Données projet'!$B$10,Paramètres!$A$1:$I$89,3,0)*VLOOKUP('Données projet'!$B$10,Paramètres!$A$1:$I$89,5,0)</f>
        <v>181.2047249999998</v>
      </c>
      <c r="AK73" s="13">
        <f t="shared" si="89"/>
        <v>45.590111137663563</v>
      </c>
      <c r="AL73" s="20">
        <f t="shared" si="58"/>
        <v>395.00100627309695</v>
      </c>
      <c r="AM73" s="59">
        <f t="shared" si="59"/>
        <v>688.33433960643026</v>
      </c>
      <c r="AN73" s="59">
        <f ca="1">AVERAGE(OFFSET($AM$3,0,0,'Données projet'!$E$10+1,1))-AVERAGE(OFFSET($H$3,0,0,'Données projet'!$E$10+1,1))</f>
        <v>255.05550867459038</v>
      </c>
      <c r="AO73" s="59">
        <f t="shared" si="90"/>
        <v>119.28597757550295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52.857889595115196</v>
      </c>
      <c r="AV73" s="21">
        <f>EXP(-LN(2)/25)*AV72+(1-EXP(-LN(2)/25))/(LN(2)/25)*Calculateur!AQ73*Calculateur!AS73*VLOOKUP('Données projet'!$B$10,Paramètres!$A$1:$I$89,3,0)*0.475*44/12</f>
        <v>26.192716690946007</v>
      </c>
      <c r="AW73" s="21">
        <f>EXP(-LN(2)/2)*AW72+(1-EXP(-LN(2)/2))/(LN(2)/2)*AQ73*AT73*VLOOKUP('Données projet'!$B$10,Paramètres!$A$1:$I$89,3,0)*0.475*44/12</f>
        <v>2.4687522159837778</v>
      </c>
      <c r="AX73" s="21">
        <f t="shared" si="60"/>
        <v>81.51935850204498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10.314743589743591</v>
      </c>
      <c r="BD73" s="12">
        <f>IF('Données projet'!$A$88&gt;35,BD72+BC73-BL72,IF(A73&lt;'Données projet'!$A$88,$BA$205^A73,IF(A73='Données projet'!$A$88,'Données projet'!$B$88,BD72+BC73-BL72)))</f>
        <v>327.18653846153882</v>
      </c>
      <c r="BE73" s="13">
        <f>BD73*VLOOKUP('Données projet'!$B$11,Paramètres!$A$1:$I$89,3,0)*VLOOKUP('Données projet'!$B$11,Paramètres!$A$1:$I$89,5,0)</f>
        <v>153.12330000000017</v>
      </c>
      <c r="BF73" s="13">
        <f t="shared" si="91"/>
        <v>39.287513204310343</v>
      </c>
      <c r="BG73" s="20">
        <f t="shared" si="61"/>
        <v>335.11549966417408</v>
      </c>
      <c r="BH73" s="59">
        <f t="shared" si="62"/>
        <v>628.44883299750745</v>
      </c>
      <c r="BI73" s="59">
        <f ca="1">AVERAGE(OFFSET($BH$3,0,0,'Données projet'!$E$11+1,1))-AVERAGE(OFFSET($H$3,0,0,'Données projet'!$E$11+1,1))</f>
        <v>181.79645720099597</v>
      </c>
      <c r="BJ73" s="59">
        <f t="shared" si="92"/>
        <v>120.20040029102233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18.952186819939527</v>
      </c>
      <c r="BQ73" s="21">
        <f>EXP(-LN(2)/25)*BQ72+(1-EXP(-LN(2)/25))/(LN(2)/25)*Calculateur!BL73*Calculateur!BN73*VLOOKUP('Données projet'!$B$11,Paramètres!$A$1:$I$89,3,0)*0.475*44/12</f>
        <v>23.356569461848945</v>
      </c>
      <c r="BR73" s="21">
        <f>EXP(-LN(2)/2)*BR72+(1-EXP(-LN(2)/2))/(LN(2)/2)*BL73*BO73*VLOOKUP('Données projet'!$B$11,Paramètres!$A$1:$I$89,3,0)*0.475*44/12</f>
        <v>0.34771346931806602</v>
      </c>
      <c r="BS73" s="22">
        <f t="shared" si="63"/>
        <v>42.656469751106542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379.99230769230769</v>
      </c>
      <c r="BW73" s="12">
        <f>VLOOKUP(A73,'Données projet'!$A$113:$I$133,9,0)</f>
        <v>9.1830769230769196</v>
      </c>
      <c r="BX73" s="12">
        <f t="array" ref="BX73">INDEX(BW:BW,MIN(IF(ISNUMBER(BW73:BW269),ROW(BW73:BW269),"")))</f>
        <v>9.1830769230769196</v>
      </c>
      <c r="BY73" s="12">
        <f>IF('Données projet'!$A$114&gt;35,BY72+BX73-CG72,IF(A73&lt;'Données projet'!$A$114,$BV$205^A73,IF(A73='Données projet'!$A$114,'Données projet'!$B$114,BY72+BX73-CG72)))</f>
        <v>379.99230769230735</v>
      </c>
      <c r="BZ73" s="13">
        <f>BY73*VLOOKUP('Données projet'!$B$12,Paramètres!$A$1:$I$89,3,0)*VLOOKUP('Données projet'!$B$12,Paramètres!$A$1:$I$89,5,0)</f>
        <v>227.2353999999998</v>
      </c>
      <c r="CA73" s="13">
        <f t="shared" si="93"/>
        <v>55.684490313081348</v>
      </c>
      <c r="CB73" s="20">
        <f t="shared" si="64"/>
        <v>492.75214229528297</v>
      </c>
      <c r="CC73" s="59">
        <f t="shared" si="65"/>
        <v>786.08547562861622</v>
      </c>
      <c r="CD73" s="59">
        <f ca="1">AVERAGE(OFFSET($CC$3,0,0,'Données projet'!$E$12+1,1))-AVERAGE(OFFSET($H$3,0,0,'Données projet'!$E$12+1,1))</f>
        <v>213.18424462765137</v>
      </c>
      <c r="CE73" s="59">
        <f t="shared" si="94"/>
        <v>158.77848520346532</v>
      </c>
      <c r="CF73" s="15">
        <f>IF(ISNA(VLOOKUP(A73,'Données projet'!$A$113:$I$133,3,0)),0,VLOOKUP(A73,'Données projet'!$A$113:$I$133,3,0))</f>
        <v>7</v>
      </c>
      <c r="CG73" s="15">
        <f>IF(ISNA(VLOOKUP(A73,'Données projet'!$A$113:$I$133,4,0)),0,VLOOKUP(A73,'Données projet'!$A$113:$I$133,4,0))</f>
        <v>52.669230769230765</v>
      </c>
      <c r="CH73" s="16">
        <f>IF(ISNA(VLOOKUP(A73,'Données projet'!$A$113:$I$133,5,0)),0%,VLOOKUP(A73,'Données projet'!$A$113:$I$133,5,0)*VLOOKUP('Données projet'!$B$12,Paramètres!$A$1:$I$89,7,0))</f>
        <v>0.315</v>
      </c>
      <c r="CI73" s="16">
        <f>IF(ISNA(VLOOKUP(A73,'Données projet'!$A$113:$I$133,6,0)),0%,VLOOKUP(A73,'Données projet'!$A$113:$I$133,6,0)*VLOOKUP('Données projet'!$B$12,Paramètres!$A$1:$I$89,7,0))</f>
        <v>7.5600000000000001E-2</v>
      </c>
      <c r="CJ73" s="16">
        <f>IF(ISNA(VLOOKUP(A73,'Données projet'!$A$113:$I$133,7,0)),0%,VLOOKUP(A73,'Données projet'!$A$113:$I$133,7,0))</f>
        <v>0.13200000000000001</v>
      </c>
      <c r="CK73" s="21">
        <f>EXP(-LN(2)/35)*CK72+(1-EXP(-LN(2)/35))/(LN(2)/35)*CG73*CH73*VLOOKUP('Données projet'!$B$12,Paramètres!$A$1:$I$89,3,0)*0.475*44/12</f>
        <v>50.670771327018038</v>
      </c>
      <c r="CL73" s="21">
        <f>EXP(-LN(2)/25)*CL72+(1-EXP(-LN(2)/25))/(LN(2)/25)*Calculateur!CG73*Calculateur!CI73*VLOOKUP('Données projet'!$B$12,Paramètres!$A$1:$I$89,3,0)*0.475*44/12</f>
        <v>13.38793447680801</v>
      </c>
      <c r="CM73" s="21">
        <f>EXP(-LN(2)/2)*CM72+(1-EXP(-LN(2)/2))/(LN(2)/2)*CG73*CJ73*VLOOKUP('Données projet'!$B$12,Paramètres!$A$1:$I$89,3,0)*0.475*44/12</f>
        <v>4.8638666673956541</v>
      </c>
      <c r="CN73" s="22">
        <f t="shared" si="66"/>
        <v>68.922572471221699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316</v>
      </c>
      <c r="CR73" s="12">
        <f>VLOOKUP(A73,'Données projet'!$A$139:$I$159,9,0)</f>
        <v>4.5999999999999996</v>
      </c>
      <c r="CS73" s="12">
        <f t="array" ref="CS73">INDEX(CR:CR,MIN(IF(ISNUMBER(CR73:CR269),ROW(CR73:CR269),"")))</f>
        <v>4.5999999999999996</v>
      </c>
      <c r="CT73" s="12">
        <f>IF('Données projet'!$A$140&gt;35,CT72+CS73-DB72,IF(A73&lt;'Données projet'!$A$140,$CQ$205^A73,IF(A73='Données projet'!$A$140,'Données projet'!$B$140,CT72+CS73-DB72)))</f>
        <v>315.99999999999994</v>
      </c>
      <c r="CU73" s="17">
        <f>CT73*VLOOKUP('Données projet'!$B$13,Paramètres!$A$1:$I$89,3,0)*VLOOKUP('Données projet'!$B$13,Paramètres!$A$1:$I$89,5,0)</f>
        <v>251.40959999999995</v>
      </c>
      <c r="CV73" s="13">
        <f t="shared" si="95"/>
        <v>60.887686632376123</v>
      </c>
      <c r="CW73" s="20">
        <f t="shared" si="67"/>
        <v>543.917774218055</v>
      </c>
      <c r="CX73" s="59">
        <f t="shared" si="68"/>
        <v>837.25110755138826</v>
      </c>
      <c r="CY73" s="59">
        <f ca="1">AVERAGE(OFFSET($CX$3,0,0,'Données projet'!$E$13+1,1))-AVERAGE(OFFSET($H$3,0,0,'Données projet'!$E$13+1,1))</f>
        <v>279.49721661620544</v>
      </c>
      <c r="CZ73" s="59">
        <f t="shared" si="96"/>
        <v>275.18739333988754</v>
      </c>
      <c r="DA73" s="15">
        <f>IF(ISNA(VLOOKUP(A73,'Données projet'!$A$139:$I$159,3,0)),0,VLOOKUP(A73,'Données projet'!$A$139:$I$159,3,0))</f>
        <v>12</v>
      </c>
      <c r="DB73" s="15">
        <f>IF(ISNA(VLOOKUP(A73,'Données projet'!$A$139:$I$159,4,0)),0,VLOOKUP(A73,'Données projet'!$A$139:$I$159,4,0))</f>
        <v>13</v>
      </c>
      <c r="DC73" s="16">
        <f>IF(ISNA(VLOOKUP(A73,'Données projet'!$A$139:$I$159,5,0)),0%,VLOOKUP(A73,'Données projet'!$A$139:$I$159,5,0)*VLOOKUP('Données projet'!$B$13,Paramètres!$A$1:$I$89,7,0))</f>
        <v>0.48760000000000003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43.216117654763707</v>
      </c>
      <c r="DG73" s="21">
        <f>EXP(-LN(2)/25)*DG72+(1-EXP(-LN(2)/25))/(LN(2)/25)*Calculateur!DB73*Calculateur!DD73*VLOOKUP('Données projet'!$B$13,Paramètres!$A$1:$I$89,3,0)*0.475*44/12</f>
        <v>9.3496926142700598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52.565810269033769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-1.1368683772161603E-13</v>
      </c>
      <c r="O74" s="13">
        <f>N74*VLOOKUP('Données projet'!$B$9,Paramètres!$A$1:$I$89,3,0)*VLOOKUP('Données projet'!$B$9,Paramètres!$A$1:$I$89,5,0)</f>
        <v>-6.3550942286383367E-14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278.5296012747549</v>
      </c>
      <c r="T74" s="59">
        <f t="shared" si="88"/>
        <v>370.55343097937077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165.10323428800319</v>
      </c>
      <c r="AA74" s="21">
        <f>EXP(-LN(2)/25)*AA73+(1-EXP(-LN(2)/25))/(LN(2)/25)*Calculateur!V74*Calculateur!X74*VLOOKUP('Données projet'!$B$9,Paramètres!$A$1:$I$89,3,0)*0.475*44/12</f>
        <v>36.967594454396846</v>
      </c>
      <c r="AB74" s="21">
        <f>EXP(-LN(2)/2)*AB73+(1-EXP(-LN(2)/2))/(LN(2)/2)*V74*Y74*VLOOKUP('Données projet'!$B$9,Paramètres!$A$1:$I$89,3,0)*0.475*44/12</f>
        <v>0.13344259376606435</v>
      </c>
      <c r="AC74" s="22">
        <f t="shared" si="57"/>
        <v>202.2042713361661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15.575000000000003</v>
      </c>
      <c r="AI74" s="13">
        <f>IF('Données projet'!$A$62&gt;35,AI73+AH74-AQ73,IF(A74&lt;'Données projet'!$A$62,$AF$205^A74,IF(A74='Données projet'!$A$62,'Données projet'!$B$62,AI73+AH74-AQ73)))</f>
        <v>392.29999999999956</v>
      </c>
      <c r="AJ74" s="13">
        <f>AI74*VLOOKUP('Données projet'!$B$10,Paramètres!$A$1:$I$89,3,0)*VLOOKUP('Données projet'!$B$10,Paramètres!$A$1:$I$89,5,0)</f>
        <v>188.69629999999981</v>
      </c>
      <c r="AK74" s="13">
        <f t="shared" si="89"/>
        <v>47.251607893747135</v>
      </c>
      <c r="AL74" s="20">
        <f t="shared" si="58"/>
        <v>410.94260624827592</v>
      </c>
      <c r="AM74" s="59">
        <f t="shared" si="59"/>
        <v>704.27593958160924</v>
      </c>
      <c r="AN74" s="59">
        <f ca="1">AVERAGE(OFFSET($AM$3,0,0,'Données projet'!$E$10+1,1))-AVERAGE(OFFSET($H$3,0,0,'Données projet'!$E$10+1,1))</f>
        <v>255.05550867459038</v>
      </c>
      <c r="AO74" s="59">
        <f t="shared" si="90"/>
        <v>119.28597757550295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51.821378620284193</v>
      </c>
      <c r="AV74" s="21">
        <f>EXP(-LN(2)/25)*AV73+(1-EXP(-LN(2)/25))/(LN(2)/25)*Calculateur!AQ74*Calculateur!AS74*VLOOKUP('Données projet'!$B$10,Paramètres!$A$1:$I$89,3,0)*0.475*44/12</f>
        <v>25.476475475616983</v>
      </c>
      <c r="AW74" s="21">
        <f>EXP(-LN(2)/2)*AW73+(1-EXP(-LN(2)/2))/(LN(2)/2)*AQ74*AT74*VLOOKUP('Données projet'!$B$10,Paramètres!$A$1:$I$89,3,0)*0.475*44/12</f>
        <v>1.7456714329914456</v>
      </c>
      <c r="AX74" s="21">
        <f t="shared" si="60"/>
        <v>79.043525528892616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10.314743589743591</v>
      </c>
      <c r="BD74" s="12">
        <f>IF('Données projet'!$A$88&gt;35,BD73+BC74-BL73,IF(A74&lt;'Données projet'!$A$88,$BA$205^A74,IF(A74='Données projet'!$A$88,'Données projet'!$B$88,BD73+BC74-BL73)))</f>
        <v>337.50128205128243</v>
      </c>
      <c r="BE74" s="13">
        <f>BD74*VLOOKUP('Données projet'!$B$11,Paramètres!$A$1:$I$89,3,0)*VLOOKUP('Données projet'!$B$11,Paramètres!$A$1:$I$89,5,0)</f>
        <v>157.95060000000018</v>
      </c>
      <c r="BF74" s="13">
        <f t="shared" si="91"/>
        <v>40.379921270810129</v>
      </c>
      <c r="BG74" s="20">
        <f t="shared" si="61"/>
        <v>345.42565787999462</v>
      </c>
      <c r="BH74" s="59">
        <f t="shared" si="62"/>
        <v>638.75899121332793</v>
      </c>
      <c r="BI74" s="59">
        <f ca="1">AVERAGE(OFFSET($BH$3,0,0,'Données projet'!$E$11+1,1))-AVERAGE(OFFSET($H$3,0,0,'Données projet'!$E$11+1,1))</f>
        <v>181.79645720099597</v>
      </c>
      <c r="BJ74" s="59">
        <f t="shared" si="92"/>
        <v>120.20040029102233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18.580545996093047</v>
      </c>
      <c r="BQ74" s="21">
        <f>EXP(-LN(2)/25)*BQ73+(1-EXP(-LN(2)/25))/(LN(2)/25)*Calculateur!BL74*Calculateur!BN74*VLOOKUP('Données projet'!$B$11,Paramètres!$A$1:$I$89,3,0)*0.475*44/12</f>
        <v>22.71788284164608</v>
      </c>
      <c r="BR74" s="21">
        <f>EXP(-LN(2)/2)*BR73+(1-EXP(-LN(2)/2))/(LN(2)/2)*BL74*BO74*VLOOKUP('Données projet'!$B$11,Paramètres!$A$1:$I$89,3,0)*0.475*44/12</f>
        <v>0.24587055206470504</v>
      </c>
      <c r="BS74" s="22">
        <f t="shared" si="63"/>
        <v>41.544299389803825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7.5584615384615343</v>
      </c>
      <c r="BY74" s="12">
        <f>IF('Données projet'!$A$114&gt;35,BY73+BX74-CG73,IF(A74&lt;'Données projet'!$A$114,$BV$205^A74,IF(A74='Données projet'!$A$114,'Données projet'!$B$114,BY73+BX74-CG73)))</f>
        <v>334.88153846153813</v>
      </c>
      <c r="BZ74" s="13">
        <f>BY74*VLOOKUP('Données projet'!$B$12,Paramètres!$A$1:$I$89,3,0)*VLOOKUP('Données projet'!$B$12,Paramètres!$A$1:$I$89,5,0)</f>
        <v>200.25915999999984</v>
      </c>
      <c r="CA74" s="13">
        <f t="shared" si="93"/>
        <v>49.80111895612729</v>
      </c>
      <c r="CB74" s="20">
        <f t="shared" si="64"/>
        <v>435.52165251525474</v>
      </c>
      <c r="CC74" s="59">
        <f t="shared" si="65"/>
        <v>728.85498584858806</v>
      </c>
      <c r="CD74" s="59">
        <f ca="1">AVERAGE(OFFSET($CC$3,0,0,'Données projet'!$E$12+1,1))-AVERAGE(OFFSET($H$3,0,0,'Données projet'!$E$12+1,1))</f>
        <v>213.18424462765137</v>
      </c>
      <c r="CE74" s="59">
        <f t="shared" si="94"/>
        <v>158.77848520346532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49.677148407413995</v>
      </c>
      <c r="CL74" s="21">
        <f>EXP(-LN(2)/25)*CL73+(1-EXP(-LN(2)/25))/(LN(2)/25)*Calculateur!CG74*Calculateur!CI74*VLOOKUP('Données projet'!$B$12,Paramètres!$A$1:$I$89,3,0)*0.475*44/12</f>
        <v>13.021840704498819</v>
      </c>
      <c r="CM74" s="21">
        <f>EXP(-LN(2)/2)*CM73+(1-EXP(-LN(2)/2))/(LN(2)/2)*CG74*CJ74*VLOOKUP('Données projet'!$B$12,Paramètres!$A$1:$I$89,3,0)*0.475*44/12</f>
        <v>3.4392731033026811</v>
      </c>
      <c r="CN74" s="22">
        <f t="shared" si="66"/>
        <v>66.138262215215491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4.2</v>
      </c>
      <c r="CT74" s="12">
        <f>IF('Données projet'!$A$140&gt;35,CT73+CS74-DB73,IF(A74&lt;'Données projet'!$A$140,$CQ$205^A74,IF(A74='Données projet'!$A$140,'Données projet'!$B$140,CT73+CS74-DB73)))</f>
        <v>307.19999999999993</v>
      </c>
      <c r="CU74" s="17">
        <f>CT74*VLOOKUP('Données projet'!$B$13,Paramètres!$A$1:$I$89,3,0)*VLOOKUP('Données projet'!$B$13,Paramètres!$A$1:$I$89,5,0)</f>
        <v>244.40831999999995</v>
      </c>
      <c r="CV74" s="13">
        <f t="shared" si="95"/>
        <v>59.38699493610541</v>
      </c>
      <c r="CW74" s="20">
        <f t="shared" si="67"/>
        <v>529.11017351371675</v>
      </c>
      <c r="CX74" s="59">
        <f t="shared" si="68"/>
        <v>822.44350684705</v>
      </c>
      <c r="CY74" s="59">
        <f ca="1">AVERAGE(OFFSET($CX$3,0,0,'Données projet'!$E$13+1,1))-AVERAGE(OFFSET($H$3,0,0,'Données projet'!$E$13+1,1))</f>
        <v>279.49721661620544</v>
      </c>
      <c r="CZ74" s="59">
        <f t="shared" si="96"/>
        <v>275.18739333988754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42.368675946782801</v>
      </c>
      <c r="DG74" s="21">
        <f>EXP(-LN(2)/25)*DG73+(1-EXP(-LN(2)/25))/(LN(2)/25)*Calculateur!DB74*Calculateur!DD74*VLOOKUP('Données projet'!$B$13,Paramètres!$A$1:$I$89,3,0)*0.475*44/12</f>
        <v>9.0940247780538801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51.462700724836679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-1.1368683772161603E-13</v>
      </c>
      <c r="O75" s="13">
        <f>N75*VLOOKUP('Données projet'!$B$9,Paramètres!$A$1:$I$89,3,0)*VLOOKUP('Données projet'!$B$9,Paramètres!$A$1:$I$89,5,0)</f>
        <v>-6.3550942286383367E-14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278.5296012747549</v>
      </c>
      <c r="T75" s="59">
        <f t="shared" si="88"/>
        <v>370.55343097937077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161.86566056664478</v>
      </c>
      <c r="AA75" s="21">
        <f>EXP(-LN(2)/25)*AA74+(1-EXP(-LN(2)/25))/(LN(2)/25)*Calculateur!V75*Calculateur!X75*VLOOKUP('Données projet'!$B$9,Paramètres!$A$1:$I$89,3,0)*0.475*44/12</f>
        <v>35.956713640000061</v>
      </c>
      <c r="AB75" s="21">
        <f>EXP(-LN(2)/2)*AB74+(1-EXP(-LN(2)/2))/(LN(2)/2)*V75*Y75*VLOOKUP('Données projet'!$B$9,Paramètres!$A$1:$I$89,3,0)*0.475*44/12</f>
        <v>9.4358162951105815E-2</v>
      </c>
      <c r="AC75" s="22">
        <f t="shared" si="57"/>
        <v>197.91673236959593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15.575000000000003</v>
      </c>
      <c r="AI75" s="13">
        <f>IF('Données projet'!$A$62&gt;35,AI74+AH75-AQ74,IF(A75&lt;'Données projet'!$A$62,$AF$205^A75,IF(A75='Données projet'!$A$62,'Données projet'!$B$62,AI74+AH75-AQ74)))</f>
        <v>407.87499999999955</v>
      </c>
      <c r="AJ75" s="13">
        <f>AI75*VLOOKUP('Données projet'!$B$10,Paramètres!$A$1:$I$89,3,0)*VLOOKUP('Données projet'!$B$10,Paramètres!$A$1:$I$89,5,0)</f>
        <v>196.18787499999976</v>
      </c>
      <c r="AK75" s="13">
        <f t="shared" si="89"/>
        <v>48.905441988560661</v>
      </c>
      <c r="AL75" s="20">
        <f t="shared" si="58"/>
        <v>426.87086042174269</v>
      </c>
      <c r="AM75" s="59">
        <f t="shared" si="59"/>
        <v>720.20419375507595</v>
      </c>
      <c r="AN75" s="59">
        <f ca="1">AVERAGE(OFFSET($AM$3,0,0,'Données projet'!$E$10+1,1))-AVERAGE(OFFSET($H$3,0,0,'Données projet'!$E$10+1,1))</f>
        <v>255.05550867459038</v>
      </c>
      <c r="AO75" s="59">
        <f t="shared" si="90"/>
        <v>119.28597757550295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50.805192993460352</v>
      </c>
      <c r="AV75" s="21">
        <f>EXP(-LN(2)/25)*AV74+(1-EXP(-LN(2)/25))/(LN(2)/25)*Calculateur!AQ75*Calculateur!AS75*VLOOKUP('Données projet'!$B$10,Paramètres!$A$1:$I$89,3,0)*0.475*44/12</f>
        <v>24.779819913986618</v>
      </c>
      <c r="AW75" s="21">
        <f>EXP(-LN(2)/2)*AW74+(1-EXP(-LN(2)/2))/(LN(2)/2)*AQ75*AT75*VLOOKUP('Données projet'!$B$10,Paramètres!$A$1:$I$89,3,0)*0.475*44/12</f>
        <v>1.2343761079918891</v>
      </c>
      <c r="AX75" s="21">
        <f t="shared" si="60"/>
        <v>76.819389015438858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10.314743589743591</v>
      </c>
      <c r="BD75" s="12">
        <f>IF('Données projet'!$A$88&gt;35,BD74+BC75-BL74,IF(A75&lt;'Données projet'!$A$88,$BA$205^A75,IF(A75='Données projet'!$A$88,'Données projet'!$B$88,BD74+BC75-BL74)))</f>
        <v>347.81602564102604</v>
      </c>
      <c r="BE75" s="13">
        <f>BD75*VLOOKUP('Données projet'!$B$11,Paramètres!$A$1:$I$89,3,0)*VLOOKUP('Données projet'!$B$11,Paramètres!$A$1:$I$89,5,0)</f>
        <v>162.77790000000019</v>
      </c>
      <c r="BF75" s="13">
        <f t="shared" si="91"/>
        <v>41.468449441443113</v>
      </c>
      <c r="BG75" s="20">
        <f t="shared" si="61"/>
        <v>355.72905861051368</v>
      </c>
      <c r="BH75" s="59">
        <f t="shared" si="62"/>
        <v>649.06239194384693</v>
      </c>
      <c r="BI75" s="59">
        <f ca="1">AVERAGE(OFFSET($BH$3,0,0,'Données projet'!$E$11+1,1))-AVERAGE(OFFSET($H$3,0,0,'Données projet'!$E$11+1,1))</f>
        <v>181.79645720099597</v>
      </c>
      <c r="BJ75" s="59">
        <f t="shared" si="92"/>
        <v>120.20040029102233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18.216192822123677</v>
      </c>
      <c r="BQ75" s="21">
        <f>EXP(-LN(2)/25)*BQ74+(1-EXP(-LN(2)/25))/(LN(2)/25)*Calculateur!BL75*Calculateur!BN75*VLOOKUP('Données projet'!$B$11,Paramètres!$A$1:$I$89,3,0)*0.475*44/12</f>
        <v>22.096661140659734</v>
      </c>
      <c r="BR75" s="21">
        <f>EXP(-LN(2)/2)*BR74+(1-EXP(-LN(2)/2))/(LN(2)/2)*BL75*BO75*VLOOKUP('Données projet'!$B$11,Paramètres!$A$1:$I$89,3,0)*0.475*44/12</f>
        <v>0.17385673465903304</v>
      </c>
      <c r="BS75" s="22">
        <f t="shared" si="63"/>
        <v>40.48671069744244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7.5584615384615343</v>
      </c>
      <c r="BY75" s="12">
        <f>IF('Données projet'!$A$114&gt;35,BY74+BX75-CG74,IF(A75&lt;'Données projet'!$A$114,$BV$205^A75,IF(A75='Données projet'!$A$114,'Données projet'!$B$114,BY74+BX75-CG74)))</f>
        <v>342.43999999999966</v>
      </c>
      <c r="BZ75" s="13">
        <f>BY75*VLOOKUP('Données projet'!$B$12,Paramètres!$A$1:$I$89,3,0)*VLOOKUP('Données projet'!$B$12,Paramètres!$A$1:$I$89,5,0)</f>
        <v>204.77911999999984</v>
      </c>
      <c r="CA75" s="13">
        <f t="shared" si="93"/>
        <v>50.79302579334589</v>
      </c>
      <c r="CB75" s="20">
        <f t="shared" si="64"/>
        <v>445.12148725674382</v>
      </c>
      <c r="CC75" s="59">
        <f t="shared" si="65"/>
        <v>738.45482059007713</v>
      </c>
      <c r="CD75" s="59">
        <f ca="1">AVERAGE(OFFSET($CC$3,0,0,'Données projet'!$E$12+1,1))-AVERAGE(OFFSET($H$3,0,0,'Données projet'!$E$12+1,1))</f>
        <v>213.18424462765137</v>
      </c>
      <c r="CE75" s="59">
        <f t="shared" si="94"/>
        <v>158.77848520346532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48.703009827213251</v>
      </c>
      <c r="CL75" s="21">
        <f>EXP(-LN(2)/25)*CL74+(1-EXP(-LN(2)/25))/(LN(2)/25)*Calculateur!CG75*Calculateur!CI75*VLOOKUP('Données projet'!$B$12,Paramètres!$A$1:$I$89,3,0)*0.475*44/12</f>
        <v>12.665757785645459</v>
      </c>
      <c r="CM75" s="21">
        <f>EXP(-LN(2)/2)*CM74+(1-EXP(-LN(2)/2))/(LN(2)/2)*CG75*CJ75*VLOOKUP('Données projet'!$B$12,Paramètres!$A$1:$I$89,3,0)*0.475*44/12</f>
        <v>2.4319333336978275</v>
      </c>
      <c r="CN75" s="22">
        <f t="shared" si="66"/>
        <v>63.800700946556539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4.2</v>
      </c>
      <c r="CT75" s="12">
        <f>IF('Données projet'!$A$140&gt;35,CT74+CS75-DB74,IF(A75&lt;'Données projet'!$A$140,$CQ$205^A75,IF(A75='Données projet'!$A$140,'Données projet'!$B$140,CT74+CS75-DB74)))</f>
        <v>311.39999999999992</v>
      </c>
      <c r="CU75" s="17">
        <f>CT75*VLOOKUP('Données projet'!$B$13,Paramètres!$A$1:$I$89,3,0)*VLOOKUP('Données projet'!$B$13,Paramètres!$A$1:$I$89,5,0)</f>
        <v>247.74983999999995</v>
      </c>
      <c r="CV75" s="13">
        <f t="shared" si="95"/>
        <v>60.103849700617872</v>
      </c>
      <c r="CW75" s="20">
        <f t="shared" si="67"/>
        <v>536.17850956190932</v>
      </c>
      <c r="CX75" s="59">
        <f t="shared" si="68"/>
        <v>829.51184289524258</v>
      </c>
      <c r="CY75" s="59">
        <f ca="1">AVERAGE(OFFSET($CX$3,0,0,'Données projet'!$E$13+1,1))-AVERAGE(OFFSET($H$3,0,0,'Données projet'!$E$13+1,1))</f>
        <v>279.49721661620544</v>
      </c>
      <c r="CZ75" s="59">
        <f t="shared" si="96"/>
        <v>275.18739333988754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41.537852053807001</v>
      </c>
      <c r="DG75" s="21">
        <f>EXP(-LN(2)/25)*DG74+(1-EXP(-LN(2)/25))/(LN(2)/25)*Calculateur!DB75*Calculateur!DD75*VLOOKUP('Données projet'!$B$13,Paramètres!$A$1:$I$89,3,0)*0.475*44/12</f>
        <v>8.8453481922640176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50.38320024607102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-1.1368683772161603E-13</v>
      </c>
      <c r="O76" s="13">
        <f>N76*VLOOKUP('Données projet'!$B$9,Paramètres!$A$1:$I$89,3,0)*VLOOKUP('Données projet'!$B$9,Paramètres!$A$1:$I$89,5,0)</f>
        <v>-6.3550942286383367E-14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278.5296012747549</v>
      </c>
      <c r="T76" s="59">
        <f t="shared" si="88"/>
        <v>370.55343097937077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158.69157369123721</v>
      </c>
      <c r="AA76" s="21">
        <f>EXP(-LN(2)/25)*AA75+(1-EXP(-LN(2)/25))/(LN(2)/25)*Calculateur!V76*Calculateur!X76*VLOOKUP('Données projet'!$B$9,Paramètres!$A$1:$I$89,3,0)*0.475*44/12</f>
        <v>34.973475414632865</v>
      </c>
      <c r="AB76" s="21">
        <f>EXP(-LN(2)/2)*AB75+(1-EXP(-LN(2)/2))/(LN(2)/2)*V76*Y76*VLOOKUP('Données projet'!$B$9,Paramètres!$A$1:$I$89,3,0)*0.475*44/12</f>
        <v>6.6721296883032175E-2</v>
      </c>
      <c r="AC76" s="22">
        <f t="shared" si="57"/>
        <v>193.73177040275311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15.575000000000003</v>
      </c>
      <c r="AI76" s="13">
        <f>IF('Données projet'!$A$62&gt;35,AI75+AH76-AQ75,IF(A76&lt;'Données projet'!$A$62,$AF$205^A76,IF(A76='Données projet'!$A$62,'Données projet'!$B$62,AI75+AH76-AQ75)))</f>
        <v>423.44999999999953</v>
      </c>
      <c r="AJ76" s="13">
        <f>AI76*VLOOKUP('Données projet'!$B$10,Paramètres!$A$1:$I$89,3,0)*VLOOKUP('Données projet'!$B$10,Paramètres!$A$1:$I$89,5,0)</f>
        <v>203.6794499999998</v>
      </c>
      <c r="AK76" s="13">
        <f t="shared" si="89"/>
        <v>50.551939521913276</v>
      </c>
      <c r="AL76" s="20">
        <f t="shared" si="58"/>
        <v>442.78633675066527</v>
      </c>
      <c r="AM76" s="59">
        <f t="shared" si="59"/>
        <v>736.11967008399859</v>
      </c>
      <c r="AN76" s="59">
        <f ca="1">AVERAGE(OFFSET($AM$3,0,0,'Données projet'!$E$10+1,1))-AVERAGE(OFFSET($H$3,0,0,'Données projet'!$E$10+1,1))</f>
        <v>255.05550867459038</v>
      </c>
      <c r="AO76" s="59">
        <f t="shared" si="90"/>
        <v>119.28597757550295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49.8089341469665</v>
      </c>
      <c r="AV76" s="21">
        <f>EXP(-LN(2)/25)*AV75+(1-EXP(-LN(2)/25))/(LN(2)/25)*Calculateur!AQ76*Calculateur!AS76*VLOOKUP('Données projet'!$B$10,Paramètres!$A$1:$I$89,3,0)*0.475*44/12</f>
        <v>24.102214435324559</v>
      </c>
      <c r="AW76" s="21">
        <f>EXP(-LN(2)/2)*AW75+(1-EXP(-LN(2)/2))/(LN(2)/2)*AQ76*AT76*VLOOKUP('Données projet'!$B$10,Paramètres!$A$1:$I$89,3,0)*0.475*44/12</f>
        <v>0.872835716495723</v>
      </c>
      <c r="AX76" s="21">
        <f t="shared" si="60"/>
        <v>74.783984298786791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>
        <f>VLOOKUP(A76,'Données projet'!$A$87:$I$107,2,0)</f>
        <v>358.13076923076926</v>
      </c>
      <c r="BB76" s="12">
        <f>VLOOKUP(A76,'Données projet'!$A$87:$I$107,9,0)</f>
        <v>10.314743589743591</v>
      </c>
      <c r="BC76" s="12">
        <f t="array" ref="BC76">INDEX(BB:BB,MIN(IF(ISNUMBER(BB76:BB272),ROW(BB76:BB272),"")))</f>
        <v>10.314743589743591</v>
      </c>
      <c r="BD76" s="12">
        <f>IF('Données projet'!$A$88&gt;35,BD75+BC76-BL75,IF(A76&lt;'Données projet'!$A$88,$BA$205^A76,IF(A76='Données projet'!$A$88,'Données projet'!$B$88,BD75+BC76-BL75)))</f>
        <v>358.13076923076966</v>
      </c>
      <c r="BE76" s="13">
        <f>BD76*VLOOKUP('Données projet'!$B$11,Paramètres!$A$1:$I$89,3,0)*VLOOKUP('Données projet'!$B$11,Paramètres!$A$1:$I$89,5,0)</f>
        <v>167.6052000000002</v>
      </c>
      <c r="BF76" s="13">
        <f t="shared" si="91"/>
        <v>42.553225987206773</v>
      </c>
      <c r="BG76" s="20">
        <f t="shared" si="61"/>
        <v>366.02592526105212</v>
      </c>
      <c r="BH76" s="59">
        <f t="shared" si="62"/>
        <v>659.35925859438544</v>
      </c>
      <c r="BI76" s="59">
        <f ca="1">AVERAGE(OFFSET($BH$3,0,0,'Données projet'!$E$11+1,1))-AVERAGE(OFFSET($H$3,0,0,'Données projet'!$E$11+1,1))</f>
        <v>181.79645720099597</v>
      </c>
      <c r="BJ76" s="59">
        <f t="shared" si="92"/>
        <v>120.20040029102233</v>
      </c>
      <c r="BK76" s="15">
        <f>IF(ISNA(VLOOKUP(A76,'Données projet'!$A$87:$I$107,3,0)),0,VLOOKUP(A76,'Données projet'!$A$87:$I$107,3,0))</f>
        <v>3</v>
      </c>
      <c r="BL76" s="15">
        <f>IF(ISNA(VLOOKUP(A76,'Données projet'!$A$87:$I$107,4,0)),0,VLOOKUP(A76,'Données projet'!$A$87:$I$107,4,0))</f>
        <v>93.584615384615375</v>
      </c>
      <c r="BM76" s="16">
        <f>IF(ISNA(VLOOKUP(A76,'Données projet'!$A$87:$I$107,5,0)),0%,VLOOKUP(A76,'Données projet'!$A$87:$I$107,5,0)*VLOOKUP('Données projet'!$B$11,Paramètres!$A$1:$I$89,7,0))</f>
        <v>0.38500000000000001</v>
      </c>
      <c r="BN76" s="16">
        <f>IF(ISNA(VLOOKUP(A76,'Données projet'!$A$87:$I$107,6,0)),0%,VLOOKUP(A76,'Données projet'!$A$87:$I$107,6,0)*VLOOKUP('Données projet'!$B$11,Paramètres!$A$1:$I$89,7,0))</f>
        <v>9.240000000000001E-2</v>
      </c>
      <c r="BO76" s="16">
        <f>IF(ISNA(VLOOKUP(A76,'Données projet'!$A$87:$I$107,7,0)),0%,VLOOKUP(A76,'Données projet'!$A$87:$I$107,7,0))</f>
        <v>0.13200000000000001</v>
      </c>
      <c r="BP76" s="21">
        <f>EXP(-LN(2)/35)*BP75+(1-EXP(-LN(2)/35))/(LN(2)/35)*BL76*BM76*VLOOKUP('Données projet'!$B$11,Paramètres!$A$1:$I$89,3,0)*0.475*44/12</f>
        <v>40.227615058182487</v>
      </c>
      <c r="BQ76" s="21">
        <f>EXP(-LN(2)/25)*BQ75+(1-EXP(-LN(2)/25))/(LN(2)/25)*Calculateur!BL76*Calculateur!BN76*VLOOKUP('Données projet'!$B$11,Paramètres!$A$1:$I$89,3,0)*0.475*44/12</f>
        <v>26.839760422428181</v>
      </c>
      <c r="BR76" s="21">
        <f>EXP(-LN(2)/2)*BR75+(1-EXP(-LN(2)/2))/(LN(2)/2)*BL76*BO76*VLOOKUP('Données projet'!$B$11,Paramètres!$A$1:$I$89,3,0)*0.475*44/12</f>
        <v>6.6686908362195103</v>
      </c>
      <c r="BS76" s="22">
        <f t="shared" si="63"/>
        <v>73.736066316830176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7.5584615384615343</v>
      </c>
      <c r="BY76" s="12">
        <f>IF('Données projet'!$A$114&gt;35,BY75+BX76-CG75,IF(A76&lt;'Données projet'!$A$114,$BV$205^A76,IF(A76='Données projet'!$A$114,'Données projet'!$B$114,BY75+BX76-CG75)))</f>
        <v>349.99846153846119</v>
      </c>
      <c r="BZ76" s="13">
        <f>BY76*VLOOKUP('Données projet'!$B$12,Paramètres!$A$1:$I$89,3,0)*VLOOKUP('Données projet'!$B$12,Paramètres!$A$1:$I$89,5,0)</f>
        <v>209.2990799999998</v>
      </c>
      <c r="CA76" s="13">
        <f t="shared" si="93"/>
        <v>51.782387252616175</v>
      </c>
      <c r="CB76" s="20">
        <f t="shared" si="64"/>
        <v>454.71688879830617</v>
      </c>
      <c r="CC76" s="59">
        <f t="shared" si="65"/>
        <v>748.05022213163943</v>
      </c>
      <c r="CD76" s="59">
        <f ca="1">AVERAGE(OFFSET($CC$3,0,0,'Données projet'!$E$12+1,1))-AVERAGE(OFFSET($H$3,0,0,'Données projet'!$E$12+1,1))</f>
        <v>213.18424462765137</v>
      </c>
      <c r="CE76" s="59">
        <f t="shared" si="94"/>
        <v>158.77848520346532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47.747973510404378</v>
      </c>
      <c r="CL76" s="21">
        <f>EXP(-LN(2)/25)*CL75+(1-EXP(-LN(2)/25))/(LN(2)/25)*Calculateur!CG76*Calculateur!CI76*VLOOKUP('Données projet'!$B$12,Paramètres!$A$1:$I$89,3,0)*0.475*44/12</f>
        <v>12.319411972933731</v>
      </c>
      <c r="CM76" s="21">
        <f>EXP(-LN(2)/2)*CM75+(1-EXP(-LN(2)/2))/(LN(2)/2)*CG76*CJ76*VLOOKUP('Données projet'!$B$12,Paramètres!$A$1:$I$89,3,0)*0.475*44/12</f>
        <v>1.719636551651341</v>
      </c>
      <c r="CN76" s="22">
        <f t="shared" si="66"/>
        <v>61.787022034989448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4.2</v>
      </c>
      <c r="CT76" s="12">
        <f>IF('Données projet'!$A$140&gt;35,CT75+CS76-DB75,IF(A76&lt;'Données projet'!$A$140,$CQ$205^A76,IF(A76='Données projet'!$A$140,'Données projet'!$B$140,CT75+CS76-DB75)))</f>
        <v>315.59999999999991</v>
      </c>
      <c r="CU76" s="17">
        <f>CT76*VLOOKUP('Données projet'!$B$13,Paramètres!$A$1:$I$89,3,0)*VLOOKUP('Données projet'!$B$13,Paramètres!$A$1:$I$89,5,0)</f>
        <v>251.09135999999995</v>
      </c>
      <c r="CV76" s="13">
        <f t="shared" si="95"/>
        <v>60.81957989149403</v>
      </c>
      <c r="CW76" s="20">
        <f t="shared" si="67"/>
        <v>543.24488697768527</v>
      </c>
      <c r="CX76" s="59">
        <f t="shared" si="68"/>
        <v>836.57822031101864</v>
      </c>
      <c r="CY76" s="59">
        <f ca="1">AVERAGE(OFFSET($CX$3,0,0,'Données projet'!$E$13+1,1))-AVERAGE(OFFSET($H$3,0,0,'Données projet'!$E$13+1,1))</f>
        <v>279.49721661620544</v>
      </c>
      <c r="CZ76" s="59">
        <f t="shared" si="96"/>
        <v>275.18739333988754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40.723320110619916</v>
      </c>
      <c r="DG76" s="21">
        <f>EXP(-LN(2)/25)*DG75+(1-EXP(-LN(2)/25))/(LN(2)/25)*Calculateur!DB76*Calculateur!DD76*VLOOKUP('Données projet'!$B$13,Paramètres!$A$1:$I$89,3,0)*0.475*44/12</f>
        <v>8.6034716807899123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49.326791791409832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-1.1368683772161603E-13</v>
      </c>
      <c r="O77" s="13">
        <f>N77*VLOOKUP('Données projet'!$B$9,Paramètres!$A$1:$I$89,3,0)*VLOOKUP('Données projet'!$B$9,Paramètres!$A$1:$I$89,5,0)</f>
        <v>-6.3550942286383367E-14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278.5296012747549</v>
      </c>
      <c r="T77" s="59">
        <f t="shared" si="88"/>
        <v>370.55343097937077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155.57972872345456</v>
      </c>
      <c r="AA77" s="21">
        <f>EXP(-LN(2)/25)*AA76+(1-EXP(-LN(2)/25))/(LN(2)/25)*Calculateur!V77*Calculateur!X77*VLOOKUP('Données projet'!$B$9,Paramètres!$A$1:$I$89,3,0)*0.475*44/12</f>
        <v>34.017123890244591</v>
      </c>
      <c r="AB77" s="21">
        <f>EXP(-LN(2)/2)*AB76+(1-EXP(-LN(2)/2))/(LN(2)/2)*V77*Y77*VLOOKUP('Données projet'!$B$9,Paramètres!$A$1:$I$89,3,0)*0.475*44/12</f>
        <v>4.7179081475552907E-2</v>
      </c>
      <c r="AC77" s="22">
        <f t="shared" si="57"/>
        <v>189.6440316951747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15.575000000000003</v>
      </c>
      <c r="AI77" s="13">
        <f>IF('Données projet'!$A$62&gt;35,AI76+AH77-AQ76,IF(A77&lt;'Données projet'!$A$62,$AF$205^A77,IF(A77='Données projet'!$A$62,'Données projet'!$B$62,AI76+AH77-AQ76)))</f>
        <v>439.02499999999952</v>
      </c>
      <c r="AJ77" s="13">
        <f>AI77*VLOOKUP('Données projet'!$B$10,Paramètres!$A$1:$I$89,3,0)*VLOOKUP('Données projet'!$B$10,Paramètres!$A$1:$I$89,5,0)</f>
        <v>211.17102499999976</v>
      </c>
      <c r="AK77" s="13">
        <f t="shared" si="89"/>
        <v>52.191401245607061</v>
      </c>
      <c r="AL77" s="20">
        <f t="shared" si="58"/>
        <v>458.68955904443175</v>
      </c>
      <c r="AM77" s="59">
        <f t="shared" si="59"/>
        <v>752.02289237776506</v>
      </c>
      <c r="AN77" s="59">
        <f ca="1">AVERAGE(OFFSET($AM$3,0,0,'Données projet'!$E$10+1,1))-AVERAGE(OFFSET($H$3,0,0,'Données projet'!$E$10+1,1))</f>
        <v>255.05550867459038</v>
      </c>
      <c r="AO77" s="59">
        <f t="shared" si="90"/>
        <v>119.28597757550295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48.832211328794493</v>
      </c>
      <c r="AV77" s="21">
        <f>EXP(-LN(2)/25)*AV76+(1-EXP(-LN(2)/25))/(LN(2)/25)*Calculateur!AQ77*Calculateur!AS77*VLOOKUP('Données projet'!$B$10,Paramètres!$A$1:$I$89,3,0)*0.475*44/12</f>
        <v>23.443138114110237</v>
      </c>
      <c r="AW77" s="21">
        <f>EXP(-LN(2)/2)*AW76+(1-EXP(-LN(2)/2))/(LN(2)/2)*AQ77*AT77*VLOOKUP('Données projet'!$B$10,Paramètres!$A$1:$I$89,3,0)*0.475*44/12</f>
        <v>0.61718805399594467</v>
      </c>
      <c r="AX77" s="21">
        <f t="shared" si="60"/>
        <v>72.892537496900673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9.5237179487179446</v>
      </c>
      <c r="BD77" s="12">
        <f>IF('Données projet'!$A$88&gt;35,BD76+BC77-BL76,IF(A77&lt;'Données projet'!$A$88,$BA$205^A77,IF(A77='Données projet'!$A$88,'Données projet'!$B$88,BD76+BC77-BL76)))</f>
        <v>274.06987179487226</v>
      </c>
      <c r="BE77" s="13">
        <f>BD77*VLOOKUP('Données projet'!$B$11,Paramètres!$A$1:$I$89,3,0)*VLOOKUP('Données projet'!$B$11,Paramètres!$A$1:$I$89,5,0)</f>
        <v>128.26470000000023</v>
      </c>
      <c r="BF77" s="13">
        <f t="shared" si="91"/>
        <v>33.595069382484709</v>
      </c>
      <c r="BG77" s="20">
        <f t="shared" si="61"/>
        <v>281.90576500782794</v>
      </c>
      <c r="BH77" s="59">
        <f t="shared" si="62"/>
        <v>575.23909834116125</v>
      </c>
      <c r="BI77" s="59">
        <f ca="1">AVERAGE(OFFSET($BH$3,0,0,'Données projet'!$E$11+1,1))-AVERAGE(OFFSET($H$3,0,0,'Données projet'!$E$11+1,1))</f>
        <v>181.79645720099597</v>
      </c>
      <c r="BJ77" s="59">
        <f t="shared" si="92"/>
        <v>120.20040029102233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39.438776063313945</v>
      </c>
      <c r="BQ77" s="21">
        <f>EXP(-LN(2)/25)*BQ76+(1-EXP(-LN(2)/25))/(LN(2)/25)*Calculateur!BL77*Calculateur!BN77*VLOOKUP('Données projet'!$B$11,Paramètres!$A$1:$I$89,3,0)*0.475*44/12</f>
        <v>26.105825762235224</v>
      </c>
      <c r="BR77" s="21">
        <f>EXP(-LN(2)/2)*BR76+(1-EXP(-LN(2)/2))/(LN(2)/2)*BL77*BO77*VLOOKUP('Données projet'!$B$11,Paramètres!$A$1:$I$89,3,0)*0.475*44/12</f>
        <v>4.7154765119274042</v>
      </c>
      <c r="BS77" s="22">
        <f t="shared" si="63"/>
        <v>70.260078337476571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7.5584615384615343</v>
      </c>
      <c r="BY77" s="12">
        <f>IF('Données projet'!$A$114&gt;35,BY76+BX77-CG76,IF(A77&lt;'Données projet'!$A$114,$BV$205^A77,IF(A77='Données projet'!$A$114,'Données projet'!$B$114,BY76+BX77-CG76)))</f>
        <v>357.55692307692271</v>
      </c>
      <c r="BZ77" s="13">
        <f>BY77*VLOOKUP('Données projet'!$B$12,Paramètres!$A$1:$I$89,3,0)*VLOOKUP('Données projet'!$B$12,Paramètres!$A$1:$I$89,5,0)</f>
        <v>213.8190399999998</v>
      </c>
      <c r="CA77" s="13">
        <f t="shared" si="93"/>
        <v>52.769264634128973</v>
      </c>
      <c r="CB77" s="20">
        <f t="shared" si="64"/>
        <v>464.30796390444101</v>
      </c>
      <c r="CC77" s="59">
        <f t="shared" si="65"/>
        <v>757.64129723777432</v>
      </c>
      <c r="CD77" s="59">
        <f ca="1">AVERAGE(OFFSET($CC$3,0,0,'Données projet'!$E$12+1,1))-AVERAGE(OFFSET($H$3,0,0,'Données projet'!$E$12+1,1))</f>
        <v>213.18424462765137</v>
      </c>
      <c r="CE77" s="59">
        <f t="shared" si="94"/>
        <v>158.77848520346532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46.811664873253491</v>
      </c>
      <c r="CL77" s="21">
        <f>EXP(-LN(2)/25)*CL76+(1-EXP(-LN(2)/25))/(LN(2)/25)*Calculateur!CG77*Calculateur!CI77*VLOOKUP('Données projet'!$B$12,Paramètres!$A$1:$I$89,3,0)*0.475*44/12</f>
        <v>11.982537004684138</v>
      </c>
      <c r="CM77" s="21">
        <f>EXP(-LN(2)/2)*CM76+(1-EXP(-LN(2)/2))/(LN(2)/2)*CG77*CJ77*VLOOKUP('Données projet'!$B$12,Paramètres!$A$1:$I$89,3,0)*0.475*44/12</f>
        <v>1.215966666848914</v>
      </c>
      <c r="CN77" s="22">
        <f t="shared" si="66"/>
        <v>60.010168544786545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4.2</v>
      </c>
      <c r="CT77" s="12">
        <f>IF('Données projet'!$A$140&gt;35,CT76+CS77-DB76,IF(A77&lt;'Données projet'!$A$140,$CQ$205^A77,IF(A77='Données projet'!$A$140,'Données projet'!$B$140,CT76+CS77-DB76)))</f>
        <v>319.7999999999999</v>
      </c>
      <c r="CU77" s="17">
        <f>CT77*VLOOKUP('Données projet'!$B$13,Paramètres!$A$1:$I$89,3,0)*VLOOKUP('Données projet'!$B$13,Paramètres!$A$1:$I$89,5,0)</f>
        <v>254.43287999999995</v>
      </c>
      <c r="CV77" s="13">
        <f t="shared" si="95"/>
        <v>61.534202204620392</v>
      </c>
      <c r="CW77" s="20">
        <f t="shared" si="67"/>
        <v>550.30933483971376</v>
      </c>
      <c r="CX77" s="59">
        <f t="shared" si="68"/>
        <v>843.64266817304701</v>
      </c>
      <c r="CY77" s="59">
        <f ca="1">AVERAGE(OFFSET($CX$3,0,0,'Données projet'!$E$13+1,1))-AVERAGE(OFFSET($H$3,0,0,'Données projet'!$E$13+1,1))</f>
        <v>279.49721661620544</v>
      </c>
      <c r="CZ77" s="59">
        <f t="shared" si="96"/>
        <v>275.18739333988754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39.924760642023301</v>
      </c>
      <c r="DG77" s="21">
        <f>EXP(-LN(2)/25)*DG76+(1-EXP(-LN(2)/25))/(LN(2)/25)*Calculateur!DB77*Calculateur!DD77*VLOOKUP('Données projet'!$B$13,Paramètres!$A$1:$I$89,3,0)*0.475*44/12</f>
        <v>8.3682092952417992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48.292969937265099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-1.1368683772161603E-13</v>
      </c>
      <c r="O78" s="13">
        <f>N78*VLOOKUP('Données projet'!$B$9,Paramètres!$A$1:$I$89,3,0)*VLOOKUP('Données projet'!$B$9,Paramètres!$A$1:$I$89,5,0)</f>
        <v>-6.3550942286383367E-14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278.5296012747549</v>
      </c>
      <c r="T78" s="59">
        <f t="shared" si="88"/>
        <v>370.55343097937077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152.52890513745211</v>
      </c>
      <c r="AA78" s="21">
        <f>EXP(-LN(2)/25)*AA77+(1-EXP(-LN(2)/25))/(LN(2)/25)*Calculateur!V78*Calculateur!X78*VLOOKUP('Données projet'!$B$9,Paramètres!$A$1:$I$89,3,0)*0.475*44/12</f>
        <v>33.086923848583055</v>
      </c>
      <c r="AB78" s="21">
        <f>EXP(-LN(2)/2)*AB77+(1-EXP(-LN(2)/2))/(LN(2)/2)*V78*Y78*VLOOKUP('Données projet'!$B$9,Paramètres!$A$1:$I$89,3,0)*0.475*44/12</f>
        <v>3.3360648441516087E-2</v>
      </c>
      <c r="AC78" s="22">
        <f t="shared" si="57"/>
        <v>185.6491896344767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454.6</v>
      </c>
      <c r="AG78" s="12">
        <f>VLOOKUP(A78,'Données projet'!$A$61:$I$81,9,0)</f>
        <v>15.575000000000003</v>
      </c>
      <c r="AH78" s="12">
        <f t="array" ref="AH78">INDEX(AG:AG,MIN(IF(ISNUMBER(AG78:AG274),ROW(AG78:AG274),"")))</f>
        <v>15.575000000000003</v>
      </c>
      <c r="AI78" s="13">
        <f>IF('Données projet'!$A$62&gt;35,AI77+AH78-AQ77,IF(A78&lt;'Données projet'!$A$62,$AF$205^A78,IF(A78='Données projet'!$A$62,'Données projet'!$B$62,AI77+AH78-AQ77)))</f>
        <v>454.59999999999951</v>
      </c>
      <c r="AJ78" s="13">
        <f>AI78*VLOOKUP('Données projet'!$B$10,Paramètres!$A$1:$I$89,3,0)*VLOOKUP('Données projet'!$B$10,Paramètres!$A$1:$I$89,5,0)</f>
        <v>218.66259999999977</v>
      </c>
      <c r="AK78" s="13">
        <f t="shared" si="89"/>
        <v>53.824105362503921</v>
      </c>
      <c r="AL78" s="20">
        <f t="shared" si="58"/>
        <v>474.58101183969393</v>
      </c>
      <c r="AM78" s="59">
        <f t="shared" si="59"/>
        <v>767.91434517302719</v>
      </c>
      <c r="AN78" s="59">
        <f ca="1">AVERAGE(OFFSET($AM$3,0,0,'Données projet'!$E$10+1,1))-AVERAGE(OFFSET($H$3,0,0,'Données projet'!$E$10+1,1))</f>
        <v>255.05550867459038</v>
      </c>
      <c r="AO78" s="59">
        <f t="shared" si="90"/>
        <v>119.28597757550295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86.9</v>
      </c>
      <c r="AR78" s="16">
        <f>IF(ISNA(VLOOKUP(A78,'Données projet'!$A$61:$I$81,5,0)),0%,VLOOKUP(A78,'Données projet'!$A$61:$I$81,5,0)*VLOOKUP('Données projet'!$B$10,Paramètres!$A$1:$I$89,7,0))</f>
        <v>0.38500000000000001</v>
      </c>
      <c r="AS78" s="16">
        <f>IF(ISNA(VLOOKUP(A78,'Données projet'!$A$61:$I$81,6,0)),0%,VLOOKUP(A78,'Données projet'!$A$61:$I$81,6,0)*VLOOKUP('Données projet'!$B$10,Paramètres!$A$1:$I$89,7,0))</f>
        <v>9.3500000000000014E-2</v>
      </c>
      <c r="AT78" s="16">
        <f>IF(ISNA(VLOOKUP(A78,'Données projet'!$A$61:$I$81,7,0)),0%,VLOOKUP(A78,'Données projet'!$A$61:$I$81,7,0))</f>
        <v>0.13</v>
      </c>
      <c r="AU78" s="21">
        <f>EXP(-LN(2)/35)*AU77+(1-EXP(-LN(2)/35))/(LN(2)/35)*AQ78*AR78*VLOOKUP('Données projet'!$B$10,Paramètres!$A$1:$I$89,3,0)*0.475*44/12</f>
        <v>69.222481430686386</v>
      </c>
      <c r="AV78" s="21">
        <f>EXP(-LN(2)/25)*AV77+(1-EXP(-LN(2)/25))/(LN(2)/25)*Calculateur!AQ78*Calculateur!AS78*VLOOKUP('Données projet'!$B$10,Paramètres!$A$1:$I$89,3,0)*0.475*44/12</f>
        <v>27.966146438414498</v>
      </c>
      <c r="AW78" s="21">
        <f>EXP(-LN(2)/2)*AW77+(1-EXP(-LN(2)/2))/(LN(2)/2)*AQ78*AT78*VLOOKUP('Données projet'!$B$10,Paramètres!$A$1:$I$89,3,0)*0.475*44/12</f>
        <v>6.5888062537881327</v>
      </c>
      <c r="AX78" s="21">
        <f t="shared" si="60"/>
        <v>103.77743412288902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9.5237179487179446</v>
      </c>
      <c r="BD78" s="12">
        <f>IF('Données projet'!$A$88&gt;35,BD77+BC78-BL77,IF(A78&lt;'Données projet'!$A$88,$BA$205^A78,IF(A78='Données projet'!$A$88,'Données projet'!$B$88,BD77+BC78-BL77)))</f>
        <v>283.5935897435902</v>
      </c>
      <c r="BE78" s="13">
        <f>BD78*VLOOKUP('Données projet'!$B$11,Paramètres!$A$1:$I$89,3,0)*VLOOKUP('Données projet'!$B$11,Paramètres!$A$1:$I$89,5,0)</f>
        <v>132.7218000000002</v>
      </c>
      <c r="BF78" s="13">
        <f t="shared" si="91"/>
        <v>34.624526937018011</v>
      </c>
      <c r="BG78" s="20">
        <f t="shared" si="61"/>
        <v>291.46151941530667</v>
      </c>
      <c r="BH78" s="59">
        <f t="shared" si="62"/>
        <v>584.79485274863998</v>
      </c>
      <c r="BI78" s="59">
        <f ca="1">AVERAGE(OFFSET($BH$3,0,0,'Données projet'!$E$11+1,1))-AVERAGE(OFFSET($H$3,0,0,'Données projet'!$E$11+1,1))</f>
        <v>181.79645720099597</v>
      </c>
      <c r="BJ78" s="59">
        <f t="shared" si="92"/>
        <v>120.20040029102233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38.665405719990495</v>
      </c>
      <c r="BQ78" s="21">
        <f>EXP(-LN(2)/25)*BQ77+(1-EXP(-LN(2)/25))/(LN(2)/25)*Calculateur!BL78*Calculateur!BN78*VLOOKUP('Données projet'!$B$11,Paramètres!$A$1:$I$89,3,0)*0.475*44/12</f>
        <v>25.39196058392119</v>
      </c>
      <c r="BR78" s="21">
        <f>EXP(-LN(2)/2)*BR77+(1-EXP(-LN(2)/2))/(LN(2)/2)*BL78*BO78*VLOOKUP('Données projet'!$B$11,Paramètres!$A$1:$I$89,3,0)*0.475*44/12</f>
        <v>3.3343454181097556</v>
      </c>
      <c r="BS78" s="22">
        <f t="shared" si="63"/>
        <v>67.391711722021455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7.5584615384615343</v>
      </c>
      <c r="BY78" s="12">
        <f>IF('Données projet'!$A$114&gt;35,BY77+BX78-CG77,IF(A78&lt;'Données projet'!$A$114,$BV$205^A78,IF(A78='Données projet'!$A$114,'Données projet'!$B$114,BY77+BX78-CG77)))</f>
        <v>365.11538461538424</v>
      </c>
      <c r="BZ78" s="13">
        <f>BY78*VLOOKUP('Données projet'!$B$12,Paramètres!$A$1:$I$89,3,0)*VLOOKUP('Données projet'!$B$12,Paramètres!$A$1:$I$89,5,0)</f>
        <v>218.3389999999998</v>
      </c>
      <c r="CA78" s="13">
        <f t="shared" si="93"/>
        <v>53.753716498326504</v>
      </c>
      <c r="CB78" s="20">
        <f t="shared" si="64"/>
        <v>473.89481456791827</v>
      </c>
      <c r="CC78" s="59">
        <f t="shared" si="65"/>
        <v>767.22814790125153</v>
      </c>
      <c r="CD78" s="59">
        <f ca="1">AVERAGE(OFFSET($CC$3,0,0,'Données projet'!$E$12+1,1))-AVERAGE(OFFSET($H$3,0,0,'Données projet'!$E$12+1,1))</f>
        <v>213.18424462765137</v>
      </c>
      <c r="CE78" s="59">
        <f t="shared" si="94"/>
        <v>158.77848520346532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45.893716677385257</v>
      </c>
      <c r="CL78" s="21">
        <f>EXP(-LN(2)/25)*CL77+(1-EXP(-LN(2)/25))/(LN(2)/25)*Calculateur!CG78*Calculateur!CI78*VLOOKUP('Données projet'!$B$12,Paramètres!$A$1:$I$89,3,0)*0.475*44/12</f>
        <v>11.654873900156815</v>
      </c>
      <c r="CM78" s="21">
        <f>EXP(-LN(2)/2)*CM77+(1-EXP(-LN(2)/2))/(LN(2)/2)*CG78*CJ78*VLOOKUP('Données projet'!$B$12,Paramètres!$A$1:$I$89,3,0)*0.475*44/12</f>
        <v>0.85981827582567061</v>
      </c>
      <c r="CN78" s="22">
        <f t="shared" si="66"/>
        <v>58.408408853367746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324</v>
      </c>
      <c r="CR78" s="12">
        <f>VLOOKUP(A78,'Données projet'!$A$139:$I$159,9,0)</f>
        <v>4.2</v>
      </c>
      <c r="CS78" s="12">
        <f t="array" ref="CS78">INDEX(CR:CR,MIN(IF(ISNUMBER(CR78:CR274),ROW(CR78:CR274),"")))</f>
        <v>4.2</v>
      </c>
      <c r="CT78" s="12">
        <f>IF('Données projet'!$A$140&gt;35,CT77+CS78-DB77,IF(A78&lt;'Données projet'!$A$140,$CQ$205^A78,IF(A78='Données projet'!$A$140,'Données projet'!$B$140,CT77+CS78-DB77)))</f>
        <v>323.99999999999989</v>
      </c>
      <c r="CU78" s="17">
        <f>CT78*VLOOKUP('Données projet'!$B$13,Paramètres!$A$1:$I$89,3,0)*VLOOKUP('Données projet'!$B$13,Paramètres!$A$1:$I$89,5,0)</f>
        <v>257.77439999999996</v>
      </c>
      <c r="CV78" s="13">
        <f t="shared" si="95"/>
        <v>62.247732872134293</v>
      </c>
      <c r="CW78" s="20">
        <f t="shared" si="67"/>
        <v>557.37188141896718</v>
      </c>
      <c r="CX78" s="59">
        <f t="shared" si="68"/>
        <v>850.70521475230044</v>
      </c>
      <c r="CY78" s="59">
        <f ca="1">AVERAGE(OFFSET($CX$3,0,0,'Données projet'!$E$13+1,1))-AVERAGE(OFFSET($H$3,0,0,'Données projet'!$E$13+1,1))</f>
        <v>279.49721661620544</v>
      </c>
      <c r="CZ78" s="59">
        <f t="shared" si="96"/>
        <v>275.18739333988754</v>
      </c>
      <c r="DA78" s="15">
        <f>IF(ISNA(VLOOKUP(A78,'Données projet'!$A$139:$I$159,3,0)),0,VLOOKUP(A78,'Données projet'!$A$139:$I$159,3,0))</f>
        <v>13</v>
      </c>
      <c r="DB78" s="15">
        <f>IF(ISNA(VLOOKUP(A78,'Données projet'!$A$139:$I$159,4,0)),0,VLOOKUP(A78,'Données projet'!$A$139:$I$159,4,0))</f>
        <v>12</v>
      </c>
      <c r="DC78" s="16">
        <f>IF(ISNA(VLOOKUP(A78,'Données projet'!$A$139:$I$159,5,0)),0%,VLOOKUP(A78,'Données projet'!$A$139:$I$159,5,0)*VLOOKUP('Données projet'!$B$13,Paramètres!$A$1:$I$89,7,0))</f>
        <v>0.48760000000000003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44.288062420858459</v>
      </c>
      <c r="DG78" s="21">
        <f>EXP(-LN(2)/25)*DG77+(1-EXP(-LN(2)/25))/(LN(2)/25)*Calculateur!DB78*Calculateur!DD78*VLOOKUP('Données projet'!$B$13,Paramètres!$A$1:$I$89,3,0)*0.475*44/12</f>
        <v>8.1393801719984111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52.42744259285687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-1.1368683772161603E-13</v>
      </c>
      <c r="O79" s="13">
        <f>N79*VLOOKUP('Données projet'!$B$9,Paramètres!$A$1:$I$89,3,0)*VLOOKUP('Données projet'!$B$9,Paramètres!$A$1:$I$89,5,0)</f>
        <v>-6.3550942286383367E-14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278.5296012747549</v>
      </c>
      <c r="T79" s="59">
        <f t="shared" si="88"/>
        <v>370.55343097937077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149.53790634115254</v>
      </c>
      <c r="AA79" s="21">
        <f>EXP(-LN(2)/25)*AA78+(1-EXP(-LN(2)/25))/(LN(2)/25)*Calculateur!V79*Calculateur!X79*VLOOKUP('Données projet'!$B$9,Paramètres!$A$1:$I$89,3,0)*0.475*44/12</f>
        <v>32.182160175977849</v>
      </c>
      <c r="AB79" s="21">
        <f>EXP(-LN(2)/2)*AB78+(1-EXP(-LN(2)/2))/(LN(2)/2)*V79*Y79*VLOOKUP('Données projet'!$B$9,Paramètres!$A$1:$I$89,3,0)*0.475*44/12</f>
        <v>2.3589540737776454E-2</v>
      </c>
      <c r="AC79" s="22">
        <f t="shared" si="57"/>
        <v>181.74365605786818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14.187499999999993</v>
      </c>
      <c r="AI79" s="13">
        <f>IF('Données projet'!$A$62&gt;35,AI78+AH79-AQ78,IF(A79&lt;'Données projet'!$A$62,$AF$205^A79,IF(A79='Données projet'!$A$62,'Données projet'!$B$62,AI78+AH79-AQ78)))</f>
        <v>381.88749999999948</v>
      </c>
      <c r="AJ79" s="13">
        <f>AI79*VLOOKUP('Données projet'!$B$10,Paramètres!$A$1:$I$89,3,0)*VLOOKUP('Données projet'!$B$10,Paramètres!$A$1:$I$89,5,0)</f>
        <v>183.68788749999973</v>
      </c>
      <c r="AK79" s="13">
        <f t="shared" si="89"/>
        <v>46.141702206928201</v>
      </c>
      <c r="AL79" s="20">
        <f t="shared" si="58"/>
        <v>400.28653540623282</v>
      </c>
      <c r="AM79" s="59">
        <f t="shared" si="59"/>
        <v>693.61986873956607</v>
      </c>
      <c r="AN79" s="59">
        <f ca="1">AVERAGE(OFFSET($AM$3,0,0,'Données projet'!$E$10+1,1))-AVERAGE(OFFSET($H$3,0,0,'Données projet'!$E$10+1,1))</f>
        <v>255.05550867459038</v>
      </c>
      <c r="AO79" s="59">
        <f t="shared" si="90"/>
        <v>119.28597757550295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67.865070791375274</v>
      </c>
      <c r="AV79" s="21">
        <f>EXP(-LN(2)/25)*AV78+(1-EXP(-LN(2)/25))/(LN(2)/25)*Calculateur!AQ79*Calculateur!AS79*VLOOKUP('Données projet'!$B$10,Paramètres!$A$1:$I$89,3,0)*0.475*44/12</f>
        <v>27.201410693380328</v>
      </c>
      <c r="AW79" s="21">
        <f>EXP(-LN(2)/2)*AW78+(1-EXP(-LN(2)/2))/(LN(2)/2)*AQ79*AT79*VLOOKUP('Données projet'!$B$10,Paramètres!$A$1:$I$89,3,0)*0.475*44/12</f>
        <v>4.658989581977921</v>
      </c>
      <c r="AX79" s="21">
        <f t="shared" si="60"/>
        <v>99.725471066733519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9.5237179487179446</v>
      </c>
      <c r="BD79" s="12">
        <f>IF('Données projet'!$A$88&gt;35,BD78+BC79-BL78,IF(A79&lt;'Données projet'!$A$88,$BA$205^A79,IF(A79='Données projet'!$A$88,'Données projet'!$B$88,BD78+BC79-BL78)))</f>
        <v>293.11730769230815</v>
      </c>
      <c r="BE79" s="13">
        <f>BD79*VLOOKUP('Données projet'!$B$11,Paramètres!$A$1:$I$89,3,0)*VLOOKUP('Données projet'!$B$11,Paramètres!$A$1:$I$89,5,0)</f>
        <v>137.17890000000023</v>
      </c>
      <c r="BF79" s="13">
        <f t="shared" si="91"/>
        <v>35.649967423044139</v>
      </c>
      <c r="BG79" s="20">
        <f t="shared" si="61"/>
        <v>301.0102774284689</v>
      </c>
      <c r="BH79" s="59">
        <f t="shared" si="62"/>
        <v>594.34361076180221</v>
      </c>
      <c r="BI79" s="59">
        <f ca="1">AVERAGE(OFFSET($BH$3,0,0,'Données projet'!$E$11+1,1))-AVERAGE(OFFSET($H$3,0,0,'Données projet'!$E$11+1,1))</f>
        <v>181.79645720099597</v>
      </c>
      <c r="BJ79" s="59">
        <f t="shared" si="92"/>
        <v>120.20040029102233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37.907200697390287</v>
      </c>
      <c r="BQ79" s="21">
        <f>EXP(-LN(2)/25)*BQ78+(1-EXP(-LN(2)/25))/(LN(2)/25)*Calculateur!BL79*Calculateur!BN79*VLOOKUP('Données projet'!$B$11,Paramètres!$A$1:$I$89,3,0)*0.475*44/12</f>
        <v>24.697616086448694</v>
      </c>
      <c r="BR79" s="21">
        <f>EXP(-LN(2)/2)*BR78+(1-EXP(-LN(2)/2))/(LN(2)/2)*BL79*BO79*VLOOKUP('Données projet'!$B$11,Paramètres!$A$1:$I$89,3,0)*0.475*44/12</f>
        <v>2.3577382559637026</v>
      </c>
      <c r="BS79" s="22">
        <f t="shared" si="63"/>
        <v>64.96255503980268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7.5584615384615343</v>
      </c>
      <c r="BY79" s="12">
        <f>IF('Données projet'!$A$114&gt;35,BY78+BX79-CG78,IF(A79&lt;'Données projet'!$A$114,$BV$205^A79,IF(A79='Données projet'!$A$114,'Données projet'!$B$114,BY78+BX79-CG78)))</f>
        <v>372.67384615384577</v>
      </c>
      <c r="BZ79" s="13">
        <f>BY79*VLOOKUP('Données projet'!$B$12,Paramètres!$A$1:$I$89,3,0)*VLOOKUP('Données projet'!$B$12,Paramètres!$A$1:$I$89,5,0)</f>
        <v>222.8589599999998</v>
      </c>
      <c r="CA79" s="13">
        <f t="shared" si="93"/>
        <v>54.735798842493118</v>
      </c>
      <c r="CB79" s="20">
        <f t="shared" si="64"/>
        <v>483.47753831734173</v>
      </c>
      <c r="CC79" s="59">
        <f t="shared" si="65"/>
        <v>776.81087165067504</v>
      </c>
      <c r="CD79" s="59">
        <f ca="1">AVERAGE(OFFSET($CC$3,0,0,'Données projet'!$E$12+1,1))-AVERAGE(OFFSET($H$3,0,0,'Données projet'!$E$12+1,1))</f>
        <v>213.18424462765137</v>
      </c>
      <c r="CE79" s="59">
        <f t="shared" si="94"/>
        <v>158.77848520346532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44.993768885744885</v>
      </c>
      <c r="CL79" s="21">
        <f>EXP(-LN(2)/25)*CL78+(1-EXP(-LN(2)/25))/(LN(2)/25)*Calculateur!CG79*Calculateur!CI79*VLOOKUP('Données projet'!$B$12,Paramètres!$A$1:$I$89,3,0)*0.475*44/12</f>
        <v>11.336170760453847</v>
      </c>
      <c r="CM79" s="21">
        <f>EXP(-LN(2)/2)*CM78+(1-EXP(-LN(2)/2))/(LN(2)/2)*CG79*CJ79*VLOOKUP('Données projet'!$B$12,Paramètres!$A$1:$I$89,3,0)*0.475*44/12</f>
        <v>0.6079833334244571</v>
      </c>
      <c r="CN79" s="22">
        <f t="shared" si="66"/>
        <v>56.937922979623188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3.6</v>
      </c>
      <c r="CT79" s="12">
        <f>IF('Données projet'!$A$140&gt;35,CT78+CS79-DB78,IF(A79&lt;'Données projet'!$A$140,$CQ$205^A79,IF(A79='Données projet'!$A$140,'Données projet'!$B$140,CT78+CS79-DB78)))</f>
        <v>315.59999999999991</v>
      </c>
      <c r="CU79" s="17">
        <f>CT79*VLOOKUP('Données projet'!$B$13,Paramètres!$A$1:$I$89,3,0)*VLOOKUP('Données projet'!$B$13,Paramètres!$A$1:$I$89,5,0)</f>
        <v>251.09135999999995</v>
      </c>
      <c r="CV79" s="13">
        <f t="shared" si="95"/>
        <v>60.81957989149403</v>
      </c>
      <c r="CW79" s="20">
        <f t="shared" si="67"/>
        <v>543.24488697768527</v>
      </c>
      <c r="CX79" s="59">
        <f t="shared" si="68"/>
        <v>836.57822031101864</v>
      </c>
      <c r="CY79" s="59">
        <f ca="1">AVERAGE(OFFSET($CX$3,0,0,'Données projet'!$E$13+1,1))-AVERAGE(OFFSET($H$3,0,0,'Données projet'!$E$13+1,1))</f>
        <v>279.49721661620544</v>
      </c>
      <c r="CZ79" s="59">
        <f t="shared" si="96"/>
        <v>275.18739333988754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43.419600529836181</v>
      </c>
      <c r="DG79" s="21">
        <f>EXP(-LN(2)/25)*DG78+(1-EXP(-LN(2)/25))/(LN(2)/25)*Calculateur!DB79*Calculateur!DD79*VLOOKUP('Données projet'!$B$13,Paramètres!$A$1:$I$89,3,0)*0.475*44/12</f>
        <v>7.9168083931637145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51.336408922999894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-1.1368683772161603E-13</v>
      </c>
      <c r="O80" s="13">
        <f>N80*VLOOKUP('Données projet'!$B$9,Paramètres!$A$1:$I$89,3,0)*VLOOKUP('Données projet'!$B$9,Paramètres!$A$1:$I$89,5,0)</f>
        <v>-6.3550942286383367E-14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278.5296012747549</v>
      </c>
      <c r="T80" s="59">
        <f t="shared" si="88"/>
        <v>370.55343097937077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146.60555920691925</v>
      </c>
      <c r="AA80" s="21">
        <f>EXP(-LN(2)/25)*AA79+(1-EXP(-LN(2)/25))/(LN(2)/25)*Calculateur!V80*Calculateur!X80*VLOOKUP('Données projet'!$B$9,Paramètres!$A$1:$I$89,3,0)*0.475*44/12</f>
        <v>31.302137313579482</v>
      </c>
      <c r="AB80" s="21">
        <f>EXP(-LN(2)/2)*AB79+(1-EXP(-LN(2)/2))/(LN(2)/2)*V80*Y80*VLOOKUP('Données projet'!$B$9,Paramètres!$A$1:$I$89,3,0)*0.475*44/12</f>
        <v>1.6680324220758044E-2</v>
      </c>
      <c r="AC80" s="22">
        <f t="shared" si="57"/>
        <v>177.92437684471952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14.187499999999993</v>
      </c>
      <c r="AI80" s="13">
        <f>IF('Données projet'!$A$62&gt;35,AI79+AH80-AQ79,IF(A80&lt;'Données projet'!$A$62,$AF$205^A80,IF(A80='Données projet'!$A$62,'Données projet'!$B$62,AI79+AH80-AQ79)))</f>
        <v>396.07499999999948</v>
      </c>
      <c r="AJ80" s="13">
        <f>AI80*VLOOKUP('Données projet'!$B$10,Paramètres!$A$1:$I$89,3,0)*VLOOKUP('Données projet'!$B$10,Paramètres!$A$1:$I$89,5,0)</f>
        <v>190.51207499999975</v>
      </c>
      <c r="AK80" s="13">
        <f t="shared" si="89"/>
        <v>47.653147622826459</v>
      </c>
      <c r="AL80" s="20">
        <f t="shared" si="58"/>
        <v>414.80442940142228</v>
      </c>
      <c r="AM80" s="59">
        <f t="shared" si="59"/>
        <v>708.1377627347556</v>
      </c>
      <c r="AN80" s="59">
        <f ca="1">AVERAGE(OFFSET($AM$3,0,0,'Données projet'!$E$10+1,1))-AVERAGE(OFFSET($H$3,0,0,'Données projet'!$E$10+1,1))</f>
        <v>255.05550867459038</v>
      </c>
      <c r="AO80" s="59">
        <f t="shared" si="90"/>
        <v>119.28597757550295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66.534278146762304</v>
      </c>
      <c r="AV80" s="21">
        <f>EXP(-LN(2)/25)*AV79+(1-EXP(-LN(2)/25))/(LN(2)/25)*Calculateur!AQ80*Calculateur!AS80*VLOOKUP('Données projet'!$B$10,Paramètres!$A$1:$I$89,3,0)*0.475*44/12</f>
        <v>26.457586687509824</v>
      </c>
      <c r="AW80" s="21">
        <f>EXP(-LN(2)/2)*AW79+(1-EXP(-LN(2)/2))/(LN(2)/2)*AQ80*AT80*VLOOKUP('Données projet'!$B$10,Paramètres!$A$1:$I$89,3,0)*0.475*44/12</f>
        <v>3.2944031268940663</v>
      </c>
      <c r="AX80" s="21">
        <f t="shared" si="60"/>
        <v>96.286267961166189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9.5237179487179446</v>
      </c>
      <c r="BD80" s="12">
        <f>IF('Données projet'!$A$88&gt;35,BD79+BC80-BL79,IF(A80&lt;'Données projet'!$A$88,$BA$205^A80,IF(A80='Données projet'!$A$88,'Données projet'!$B$88,BD79+BC80-BL79)))</f>
        <v>302.64102564102609</v>
      </c>
      <c r="BE80" s="13">
        <f>BD80*VLOOKUP('Données projet'!$B$11,Paramètres!$A$1:$I$89,3,0)*VLOOKUP('Données projet'!$B$11,Paramètres!$A$1:$I$89,5,0)</f>
        <v>141.63600000000019</v>
      </c>
      <c r="BF80" s="13">
        <f t="shared" si="91"/>
        <v>36.671536328944448</v>
      </c>
      <c r="BG80" s="20">
        <f t="shared" si="61"/>
        <v>310.55229243957859</v>
      </c>
      <c r="BH80" s="59">
        <f t="shared" si="62"/>
        <v>603.88562577291191</v>
      </c>
      <c r="BI80" s="59">
        <f ca="1">AVERAGE(OFFSET($BH$3,0,0,'Données projet'!$E$11+1,1))-AVERAGE(OFFSET($H$3,0,0,'Données projet'!$E$11+1,1))</f>
        <v>181.79645720099597</v>
      </c>
      <c r="BJ80" s="59">
        <f t="shared" si="92"/>
        <v>120.20040029102233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37.163863612823867</v>
      </c>
      <c r="BQ80" s="21">
        <f>EXP(-LN(2)/25)*BQ79+(1-EXP(-LN(2)/25))/(LN(2)/25)*Calculateur!BL80*Calculateur!BN80*VLOOKUP('Données projet'!$B$11,Paramètres!$A$1:$I$89,3,0)*0.475*44/12</f>
        <v>24.022258475773572</v>
      </c>
      <c r="BR80" s="21">
        <f>EXP(-LN(2)/2)*BR79+(1-EXP(-LN(2)/2))/(LN(2)/2)*BL80*BO80*VLOOKUP('Données projet'!$B$11,Paramètres!$A$1:$I$89,3,0)*0.475*44/12</f>
        <v>1.667172709054878</v>
      </c>
      <c r="BS80" s="22">
        <f t="shared" si="63"/>
        <v>62.853294797652325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7.5584615384615343</v>
      </c>
      <c r="BY80" s="12">
        <f>IF('Données projet'!$A$114&gt;35,BY79+BX80-CG79,IF(A80&lt;'Données projet'!$A$114,$BV$205^A80,IF(A80='Données projet'!$A$114,'Données projet'!$B$114,BY79+BX80-CG79)))</f>
        <v>380.2323076923073</v>
      </c>
      <c r="BZ80" s="13">
        <f>BY80*VLOOKUP('Données projet'!$B$12,Paramètres!$A$1:$I$89,3,0)*VLOOKUP('Données projet'!$B$12,Paramètres!$A$1:$I$89,5,0)</f>
        <v>227.37891999999977</v>
      </c>
      <c r="CA80" s="13">
        <f t="shared" si="93"/>
        <v>55.715565262615449</v>
      </c>
      <c r="CB80" s="20">
        <f t="shared" si="64"/>
        <v>493.05622849905473</v>
      </c>
      <c r="CC80" s="59">
        <f t="shared" si="65"/>
        <v>786.38956183238804</v>
      </c>
      <c r="CD80" s="59">
        <f ca="1">AVERAGE(OFFSET($CC$3,0,0,'Données projet'!$E$12+1,1))-AVERAGE(OFFSET($H$3,0,0,'Données projet'!$E$12+1,1))</f>
        <v>213.18424462765137</v>
      </c>
      <c r="CE80" s="59">
        <f t="shared" si="94"/>
        <v>158.77848520346532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44.11146852138463</v>
      </c>
      <c r="CL80" s="21">
        <f>EXP(-LN(2)/25)*CL79+(1-EXP(-LN(2)/25))/(LN(2)/25)*Calculateur!CG80*Calculateur!CI80*VLOOKUP('Données projet'!$B$12,Paramètres!$A$1:$I$89,3,0)*0.475*44/12</f>
        <v>11.026182574865926</v>
      </c>
      <c r="CM80" s="21">
        <f>EXP(-LN(2)/2)*CM79+(1-EXP(-LN(2)/2))/(LN(2)/2)*CG80*CJ80*VLOOKUP('Données projet'!$B$12,Paramètres!$A$1:$I$89,3,0)*0.475*44/12</f>
        <v>0.42990913791283536</v>
      </c>
      <c r="CN80" s="22">
        <f t="shared" si="66"/>
        <v>55.567560234163395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3.6</v>
      </c>
      <c r="CT80" s="12">
        <f>IF('Données projet'!$A$140&gt;35,CT79+CS80-DB79,IF(A80&lt;'Données projet'!$A$140,$CQ$205^A80,IF(A80='Données projet'!$A$140,'Données projet'!$B$140,CT79+CS80-DB79)))</f>
        <v>319.19999999999993</v>
      </c>
      <c r="CU80" s="17">
        <f>CT80*VLOOKUP('Données projet'!$B$13,Paramètres!$A$1:$I$89,3,0)*VLOOKUP('Données projet'!$B$13,Paramètres!$A$1:$I$89,5,0)</f>
        <v>253.95551999999998</v>
      </c>
      <c r="CV80" s="13">
        <f t="shared" si="95"/>
        <v>61.432180511879253</v>
      </c>
      <c r="CW80" s="20">
        <f t="shared" si="67"/>
        <v>549.30024505818972</v>
      </c>
      <c r="CX80" s="59">
        <f t="shared" si="68"/>
        <v>842.63357839152309</v>
      </c>
      <c r="CY80" s="59">
        <f ca="1">AVERAGE(OFFSET($CX$3,0,0,'Données projet'!$E$13+1,1))-AVERAGE(OFFSET($H$3,0,0,'Données projet'!$E$13+1,1))</f>
        <v>279.49721661620544</v>
      </c>
      <c r="CZ80" s="59">
        <f t="shared" si="96"/>
        <v>275.18739333988754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42.568168646787406</v>
      </c>
      <c r="DG80" s="21">
        <f>EXP(-LN(2)/25)*DG79+(1-EXP(-LN(2)/25))/(LN(2)/25)*Calculateur!DB80*Calculateur!DD80*VLOOKUP('Données projet'!$B$13,Paramètres!$A$1:$I$89,3,0)*0.475*44/12</f>
        <v>7.7003228513257937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50.2684914981132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-1.1368683772161603E-13</v>
      </c>
      <c r="O81" s="13">
        <f>N81*VLOOKUP('Données projet'!$B$9,Paramètres!$A$1:$I$89,3,0)*VLOOKUP('Données projet'!$B$9,Paramètres!$A$1:$I$89,5,0)</f>
        <v>-6.3550942286383367E-14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278.5296012747549</v>
      </c>
      <c r="T81" s="59">
        <f t="shared" si="88"/>
        <v>370.55343097937077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143.73071361143315</v>
      </c>
      <c r="AA81" s="21">
        <f>EXP(-LN(2)/25)*AA80+(1-EXP(-LN(2)/25))/(LN(2)/25)*Calculateur!V81*Calculateur!X81*VLOOKUP('Données projet'!$B$9,Paramètres!$A$1:$I$89,3,0)*0.475*44/12</f>
        <v>30.446178722631792</v>
      </c>
      <c r="AB81" s="21">
        <f>EXP(-LN(2)/2)*AB80+(1-EXP(-LN(2)/2))/(LN(2)/2)*V81*Y81*VLOOKUP('Données projet'!$B$9,Paramètres!$A$1:$I$89,3,0)*0.475*44/12</f>
        <v>1.1794770368888227E-2</v>
      </c>
      <c r="AC81" s="22">
        <f t="shared" si="57"/>
        <v>174.18868710443382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14.187499999999993</v>
      </c>
      <c r="AI81" s="13">
        <f>IF('Données projet'!$A$62&gt;35,AI80+AH81-AQ80,IF(A81&lt;'Données projet'!$A$62,$AF$205^A81,IF(A81='Données projet'!$A$62,'Données projet'!$B$62,AI80+AH81-AQ80)))</f>
        <v>410.26249999999948</v>
      </c>
      <c r="AJ81" s="13">
        <f>AI81*VLOOKUP('Données projet'!$B$10,Paramètres!$A$1:$I$89,3,0)*VLOOKUP('Données projet'!$B$10,Paramètres!$A$1:$I$89,5,0)</f>
        <v>197.33626249999975</v>
      </c>
      <c r="AK81" s="13">
        <f t="shared" si="89"/>
        <v>49.15830280284667</v>
      </c>
      <c r="AL81" s="20">
        <f t="shared" si="58"/>
        <v>429.31136790245745</v>
      </c>
      <c r="AM81" s="59">
        <f t="shared" si="59"/>
        <v>722.64470123579076</v>
      </c>
      <c r="AN81" s="59">
        <f ca="1">AVERAGE(OFFSET($AM$3,0,0,'Données projet'!$E$10+1,1))-AVERAGE(OFFSET($H$3,0,0,'Données projet'!$E$10+1,1))</f>
        <v>255.05550867459038</v>
      </c>
      <c r="AO81" s="59">
        <f t="shared" si="90"/>
        <v>119.28597757550295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65.229581534206829</v>
      </c>
      <c r="AV81" s="21">
        <f>EXP(-LN(2)/25)*AV80+(1-EXP(-LN(2)/25))/(LN(2)/25)*Calculateur!AQ81*Calculateur!AS81*VLOOKUP('Données projet'!$B$10,Paramètres!$A$1:$I$89,3,0)*0.475*44/12</f>
        <v>25.734102588195853</v>
      </c>
      <c r="AW81" s="21">
        <f>EXP(-LN(2)/2)*AW80+(1-EXP(-LN(2)/2))/(LN(2)/2)*AQ81*AT81*VLOOKUP('Données projet'!$B$10,Paramètres!$A$1:$I$89,3,0)*0.475*44/12</f>
        <v>2.3294947909889605</v>
      </c>
      <c r="AX81" s="21">
        <f t="shared" si="60"/>
        <v>93.293178913391642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9.5237179487179446</v>
      </c>
      <c r="BD81" s="12">
        <f>IF('Données projet'!$A$88&gt;35,BD80+BC81-BL80,IF(A81&lt;'Données projet'!$A$88,$BA$205^A81,IF(A81='Données projet'!$A$88,'Données projet'!$B$88,BD80+BC81-BL80)))</f>
        <v>312.16474358974403</v>
      </c>
      <c r="BE81" s="13">
        <f>BD81*VLOOKUP('Données projet'!$B$11,Paramètres!$A$1:$I$89,3,0)*VLOOKUP('Données projet'!$B$11,Paramètres!$A$1:$I$89,5,0)</f>
        <v>146.09310000000022</v>
      </c>
      <c r="BF81" s="13">
        <f t="shared" si="91"/>
        <v>37.689369466401502</v>
      </c>
      <c r="BG81" s="20">
        <f t="shared" si="61"/>
        <v>320.08780098731637</v>
      </c>
      <c r="BH81" s="59">
        <f t="shared" si="62"/>
        <v>613.42113432064968</v>
      </c>
      <c r="BI81" s="59">
        <f ca="1">AVERAGE(OFFSET($BH$3,0,0,'Données projet'!$E$11+1,1))-AVERAGE(OFFSET($H$3,0,0,'Données projet'!$E$11+1,1))</f>
        <v>181.79645720099597</v>
      </c>
      <c r="BJ81" s="59">
        <f t="shared" si="92"/>
        <v>120.20040029102233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36.435102915094944</v>
      </c>
      <c r="BQ81" s="21">
        <f>EXP(-LN(2)/25)*BQ80+(1-EXP(-LN(2)/25))/(LN(2)/25)*Calculateur!BL81*Calculateur!BN81*VLOOKUP('Données projet'!$B$11,Paramètres!$A$1:$I$89,3,0)*0.475*44/12</f>
        <v>23.365368554477875</v>
      </c>
      <c r="BR81" s="21">
        <f>EXP(-LN(2)/2)*BR80+(1-EXP(-LN(2)/2))/(LN(2)/2)*BL81*BO81*VLOOKUP('Données projet'!$B$11,Paramètres!$A$1:$I$89,3,0)*0.475*44/12</f>
        <v>1.1788691279818513</v>
      </c>
      <c r="BS81" s="22">
        <f t="shared" si="63"/>
        <v>60.979340597554668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7.5584615384615343</v>
      </c>
      <c r="BY81" s="12">
        <f>IF('Données projet'!$A$114&gt;35,BY80+BX81-CG80,IF(A81&lt;'Données projet'!$A$114,$BV$205^A81,IF(A81='Données projet'!$A$114,'Données projet'!$B$114,BY80+BX81-CG80)))</f>
        <v>387.79076923076883</v>
      </c>
      <c r="BZ81" s="13">
        <f>BY81*VLOOKUP('Données projet'!$B$12,Paramètres!$A$1:$I$89,3,0)*VLOOKUP('Données projet'!$B$12,Paramètres!$A$1:$I$89,5,0)</f>
        <v>231.89887999999976</v>
      </c>
      <c r="CA81" s="13">
        <f t="shared" si="93"/>
        <v>56.693067102008662</v>
      </c>
      <c r="CB81" s="20">
        <f t="shared" si="64"/>
        <v>502.63097453599795</v>
      </c>
      <c r="CC81" s="59">
        <f t="shared" si="65"/>
        <v>795.96430786933126</v>
      </c>
      <c r="CD81" s="59">
        <f ca="1">AVERAGE(OFFSET($CC$3,0,0,'Données projet'!$E$12+1,1))-AVERAGE(OFFSET($H$3,0,0,'Données projet'!$E$12+1,1))</f>
        <v>213.18424462765137</v>
      </c>
      <c r="CE81" s="59">
        <f t="shared" si="94"/>
        <v>158.77848520346532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43.246469529019393</v>
      </c>
      <c r="CL81" s="21">
        <f>EXP(-LN(2)/25)*CL80+(1-EXP(-LN(2)/25))/(LN(2)/25)*Calculateur!CG81*Calculateur!CI81*VLOOKUP('Données projet'!$B$12,Paramètres!$A$1:$I$89,3,0)*0.475*44/12</f>
        <v>10.724671032514475</v>
      </c>
      <c r="CM81" s="21">
        <f>EXP(-LN(2)/2)*CM80+(1-EXP(-LN(2)/2))/(LN(2)/2)*CG81*CJ81*VLOOKUP('Données projet'!$B$12,Paramètres!$A$1:$I$89,3,0)*0.475*44/12</f>
        <v>0.3039916667122286</v>
      </c>
      <c r="CN81" s="22">
        <f t="shared" si="66"/>
        <v>54.2751322282461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3.6</v>
      </c>
      <c r="CT81" s="12">
        <f>IF('Données projet'!$A$140&gt;35,CT80+CS81-DB80,IF(A81&lt;'Données projet'!$A$140,$CQ$205^A81,IF(A81='Données projet'!$A$140,'Données projet'!$B$140,CT80+CS81-DB80)))</f>
        <v>322.79999999999995</v>
      </c>
      <c r="CU81" s="17">
        <f>CT81*VLOOKUP('Données projet'!$B$13,Paramètres!$A$1:$I$89,3,0)*VLOOKUP('Données projet'!$B$13,Paramètres!$A$1:$I$89,5,0)</f>
        <v>256.81968000000001</v>
      </c>
      <c r="CV81" s="13">
        <f t="shared" si="95"/>
        <v>62.043977430851903</v>
      </c>
      <c r="CW81" s="20">
        <f t="shared" si="67"/>
        <v>555.35420335873368</v>
      </c>
      <c r="CX81" s="59">
        <f t="shared" si="68"/>
        <v>848.68753669206694</v>
      </c>
      <c r="CY81" s="59">
        <f ca="1">AVERAGE(OFFSET($CX$3,0,0,'Données projet'!$E$13+1,1))-AVERAGE(OFFSET($H$3,0,0,'Données projet'!$E$13+1,1))</f>
        <v>279.49721661620544</v>
      </c>
      <c r="CZ81" s="59">
        <f t="shared" si="96"/>
        <v>275.18739333988754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41.733432823643042</v>
      </c>
      <c r="DG81" s="21">
        <f>EXP(-LN(2)/25)*DG80+(1-EXP(-LN(2)/25))/(LN(2)/25)*Calculateur!DB81*Calculateur!DD81*VLOOKUP('Données projet'!$B$13,Paramètres!$A$1:$I$89,3,0)*0.475*44/12</f>
        <v>7.4897571180139106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49.223189941656955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-1.1368683772161603E-13</v>
      </c>
      <c r="O82" s="13">
        <f>N82*VLOOKUP('Données projet'!$B$9,Paramètres!$A$1:$I$89,3,0)*VLOOKUP('Données projet'!$B$9,Paramètres!$A$1:$I$89,5,0)</f>
        <v>-6.3550942286383367E-14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278.5296012747549</v>
      </c>
      <c r="T82" s="59">
        <f t="shared" si="88"/>
        <v>370.55343097937077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140.91224198459184</v>
      </c>
      <c r="AA82" s="21">
        <f>EXP(-LN(2)/25)*AA81+(1-EXP(-LN(2)/25))/(LN(2)/25)*Calculateur!V82*Calculateur!X82*VLOOKUP('Données projet'!$B$9,Paramètres!$A$1:$I$89,3,0)*0.475*44/12</f>
        <v>29.613626364366471</v>
      </c>
      <c r="AB82" s="21">
        <f>EXP(-LN(2)/2)*AB81+(1-EXP(-LN(2)/2))/(LN(2)/2)*V82*Y82*VLOOKUP('Données projet'!$B$9,Paramètres!$A$1:$I$89,3,0)*0.475*44/12</f>
        <v>8.3401621103790218E-3</v>
      </c>
      <c r="AC82" s="22">
        <f t="shared" si="57"/>
        <v>170.5342085110687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14.187499999999993</v>
      </c>
      <c r="AI82" s="13">
        <f>IF('Données projet'!$A$62&gt;35,AI81+AH82-AQ81,IF(A82&lt;'Données projet'!$A$62,$AF$205^A82,IF(A82='Données projet'!$A$62,'Données projet'!$B$62,AI81+AH82-AQ81)))</f>
        <v>424.44999999999948</v>
      </c>
      <c r="AJ82" s="13">
        <f>AI82*VLOOKUP('Données projet'!$B$10,Paramètres!$A$1:$I$89,3,0)*VLOOKUP('Données projet'!$B$10,Paramètres!$A$1:$I$89,5,0)</f>
        <v>204.16044999999977</v>
      </c>
      <c r="AK82" s="13">
        <f t="shared" si="89"/>
        <v>50.657410203016987</v>
      </c>
      <c r="AL82" s="20">
        <f t="shared" si="58"/>
        <v>443.80777318692088</v>
      </c>
      <c r="AM82" s="59">
        <f t="shared" si="59"/>
        <v>737.1411065202542</v>
      </c>
      <c r="AN82" s="59">
        <f ca="1">AVERAGE(OFFSET($AM$3,0,0,'Données projet'!$E$10+1,1))-AVERAGE(OFFSET($H$3,0,0,'Données projet'!$E$10+1,1))</f>
        <v>255.05550867459038</v>
      </c>
      <c r="AO82" s="59">
        <f t="shared" si="90"/>
        <v>119.28597757550295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63.950469226437214</v>
      </c>
      <c r="AV82" s="21">
        <f>EXP(-LN(2)/25)*AV81+(1-EXP(-LN(2)/25))/(LN(2)/25)*Calculateur!AQ82*Calculateur!AS82*VLOOKUP('Données projet'!$B$10,Paramètres!$A$1:$I$89,3,0)*0.475*44/12</f>
        <v>25.030402199624</v>
      </c>
      <c r="AW82" s="21">
        <f>EXP(-LN(2)/2)*AW81+(1-EXP(-LN(2)/2))/(LN(2)/2)*AQ82*AT82*VLOOKUP('Données projet'!$B$10,Paramètres!$A$1:$I$89,3,0)*0.475*44/12</f>
        <v>1.6472015634470332</v>
      </c>
      <c r="AX82" s="21">
        <f t="shared" si="60"/>
        <v>90.62807298950824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9.5237179487179446</v>
      </c>
      <c r="BD82" s="12">
        <f>IF('Données projet'!$A$88&gt;35,BD81+BC82-BL81,IF(A82&lt;'Données projet'!$A$88,$BA$205^A82,IF(A82='Données projet'!$A$88,'Données projet'!$B$88,BD81+BC82-BL81)))</f>
        <v>321.68846153846198</v>
      </c>
      <c r="BE82" s="13">
        <f>BD82*VLOOKUP('Données projet'!$B$11,Paramètres!$A$1:$I$89,3,0)*VLOOKUP('Données projet'!$B$11,Paramètres!$A$1:$I$89,5,0)</f>
        <v>150.55020000000022</v>
      </c>
      <c r="BF82" s="13">
        <f t="shared" si="91"/>
        <v>38.703593889379846</v>
      </c>
      <c r="BG82" s="20">
        <f t="shared" si="61"/>
        <v>329.6170243573369</v>
      </c>
      <c r="BH82" s="59">
        <f t="shared" si="62"/>
        <v>622.95035769067022</v>
      </c>
      <c r="BI82" s="59">
        <f ca="1">AVERAGE(OFFSET($BH$3,0,0,'Données projet'!$E$11+1,1))-AVERAGE(OFFSET($H$3,0,0,'Données projet'!$E$11+1,1))</f>
        <v>181.79645720099597</v>
      </c>
      <c r="BJ82" s="59">
        <f t="shared" si="92"/>
        <v>120.20040029102233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35.720632770148349</v>
      </c>
      <c r="BQ82" s="21">
        <f>EXP(-LN(2)/25)*BQ81+(1-EXP(-LN(2)/25))/(LN(2)/25)*Calculateur!BL82*Calculateur!BN82*VLOOKUP('Données projet'!$B$11,Paramètres!$A$1:$I$89,3,0)*0.475*44/12</f>
        <v>22.726441322624346</v>
      </c>
      <c r="BR82" s="21">
        <f>EXP(-LN(2)/2)*BR81+(1-EXP(-LN(2)/2))/(LN(2)/2)*BL82*BO82*VLOOKUP('Données projet'!$B$11,Paramètres!$A$1:$I$89,3,0)*0.475*44/12</f>
        <v>0.83358635452743901</v>
      </c>
      <c r="BS82" s="22">
        <f t="shared" si="63"/>
        <v>59.280660447300136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7.5584615384615343</v>
      </c>
      <c r="BY82" s="12">
        <f>IF('Données projet'!$A$114&gt;35,BY81+BX82-CG81,IF(A82&lt;'Données projet'!$A$114,$BV$205^A82,IF(A82='Données projet'!$A$114,'Données projet'!$B$114,BY81+BX82-CG81)))</f>
        <v>395.34923076923036</v>
      </c>
      <c r="BZ82" s="13">
        <f>BY82*VLOOKUP('Données projet'!$B$12,Paramètres!$A$1:$I$89,3,0)*VLOOKUP('Données projet'!$B$12,Paramètres!$A$1:$I$89,5,0)</f>
        <v>236.41883999999979</v>
      </c>
      <c r="CA82" s="13">
        <f t="shared" si="93"/>
        <v>57.668353588027863</v>
      </c>
      <c r="CB82" s="20">
        <f t="shared" si="64"/>
        <v>512.20186216581476</v>
      </c>
      <c r="CC82" s="59">
        <f t="shared" si="65"/>
        <v>805.53519549914813</v>
      </c>
      <c r="CD82" s="59">
        <f ca="1">AVERAGE(OFFSET($CC$3,0,0,'Données projet'!$E$12+1,1))-AVERAGE(OFFSET($H$3,0,0,'Données projet'!$E$12+1,1))</f>
        <v>213.18424462765137</v>
      </c>
      <c r="CE82" s="59">
        <f t="shared" si="94"/>
        <v>158.77848520346532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42.398432639297148</v>
      </c>
      <c r="CL82" s="21">
        <f>EXP(-LN(2)/25)*CL81+(1-EXP(-LN(2)/25))/(LN(2)/25)*Calculateur!CG82*Calculateur!CI82*VLOOKUP('Données projet'!$B$12,Paramètres!$A$1:$I$89,3,0)*0.475*44/12</f>
        <v>10.431404339144429</v>
      </c>
      <c r="CM82" s="21">
        <f>EXP(-LN(2)/2)*CM81+(1-EXP(-LN(2)/2))/(LN(2)/2)*CG82*CJ82*VLOOKUP('Données projet'!$B$12,Paramètres!$A$1:$I$89,3,0)*0.475*44/12</f>
        <v>0.21495456895641774</v>
      </c>
      <c r="CN82" s="22">
        <f t="shared" si="66"/>
        <v>53.044791547397992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3.6</v>
      </c>
      <c r="CT82" s="12">
        <f>IF('Données projet'!$A$140&gt;35,CT81+CS82-DB81,IF(A82&lt;'Données projet'!$A$140,$CQ$205^A82,IF(A82='Données projet'!$A$140,'Données projet'!$B$140,CT81+CS82-DB81)))</f>
        <v>326.39999999999998</v>
      </c>
      <c r="CU82" s="17">
        <f>CT82*VLOOKUP('Données projet'!$B$13,Paramètres!$A$1:$I$89,3,0)*VLOOKUP('Données projet'!$B$13,Paramètres!$A$1:$I$89,5,0)</f>
        <v>259.68384000000003</v>
      </c>
      <c r="CV82" s="13">
        <f t="shared" si="95"/>
        <v>62.654980648867358</v>
      </c>
      <c r="CW82" s="20">
        <f t="shared" si="67"/>
        <v>561.40677929677736</v>
      </c>
      <c r="CX82" s="59">
        <f t="shared" si="68"/>
        <v>854.74011263011062</v>
      </c>
      <c r="CY82" s="59">
        <f ca="1">AVERAGE(OFFSET($CX$3,0,0,'Données projet'!$E$13+1,1))-AVERAGE(OFFSET($H$3,0,0,'Données projet'!$E$13+1,1))</f>
        <v>279.49721661620544</v>
      </c>
      <c r="CZ82" s="59">
        <f t="shared" si="96"/>
        <v>275.18739333988754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40.915065660851965</v>
      </c>
      <c r="DG82" s="21">
        <f>EXP(-LN(2)/25)*DG81+(1-EXP(-LN(2)/25))/(LN(2)/25)*Calculateur!DB82*Calculateur!DD82*VLOOKUP('Données projet'!$B$13,Paramètres!$A$1:$I$89,3,0)*0.475*44/12</f>
        <v>7.2849493157526117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48.200014976604578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-1.1368683772161603E-13</v>
      </c>
      <c r="O83" s="13">
        <f>N83*VLOOKUP('Données projet'!$B$9,Paramètres!$A$1:$I$89,3,0)*VLOOKUP('Données projet'!$B$9,Paramètres!$A$1:$I$89,5,0)</f>
        <v>-6.3550942286383367E-14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278.5296012747549</v>
      </c>
      <c r="T83" s="59">
        <f t="shared" si="88"/>
        <v>370.55343097937077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138.14903886725494</v>
      </c>
      <c r="AA83" s="21">
        <f>EXP(-LN(2)/25)*AA82+(1-EXP(-LN(2)/25))/(LN(2)/25)*Calculateur!V83*Calculateur!X83*VLOOKUP('Données projet'!$B$9,Paramètres!$A$1:$I$89,3,0)*0.475*44/12</f>
        <v>28.803840194119942</v>
      </c>
      <c r="AB83" s="21">
        <f>EXP(-LN(2)/2)*AB82+(1-EXP(-LN(2)/2))/(LN(2)/2)*V83*Y83*VLOOKUP('Données projet'!$B$9,Paramètres!$A$1:$I$89,3,0)*0.475*44/12</f>
        <v>5.8973851844441134E-3</v>
      </c>
      <c r="AC83" s="22">
        <f t="shared" si="57"/>
        <v>166.95877644655934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14.187499999999993</v>
      </c>
      <c r="AI83" s="13">
        <f>IF('Données projet'!$A$62&gt;35,AI82+AH83-AQ82,IF(A83&lt;'Données projet'!$A$62,$AF$205^A83,IF(A83='Données projet'!$A$62,'Données projet'!$B$62,AI82+AH83-AQ82)))</f>
        <v>438.63749999999948</v>
      </c>
      <c r="AJ83" s="13">
        <f>AI83*VLOOKUP('Données projet'!$B$10,Paramètres!$A$1:$I$89,3,0)*VLOOKUP('Données projet'!$B$10,Paramètres!$A$1:$I$89,5,0)</f>
        <v>210.98463749999974</v>
      </c>
      <c r="AK83" s="13">
        <f t="shared" si="89"/>
        <v>52.150695151174681</v>
      </c>
      <c r="AL83" s="20">
        <f t="shared" si="58"/>
        <v>458.29403770079534</v>
      </c>
      <c r="AM83" s="59">
        <f t="shared" si="59"/>
        <v>751.6273710341286</v>
      </c>
      <c r="AN83" s="59">
        <f ca="1">AVERAGE(OFFSET($AM$3,0,0,'Données projet'!$E$10+1,1))-AVERAGE(OFFSET($H$3,0,0,'Données projet'!$E$10+1,1))</f>
        <v>255.05550867459038</v>
      </c>
      <c r="AO83" s="59">
        <f t="shared" si="90"/>
        <v>119.28597757550295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62.696439530841495</v>
      </c>
      <c r="AV83" s="21">
        <f>EXP(-LN(2)/25)*AV82+(1-EXP(-LN(2)/25))/(LN(2)/25)*Calculateur!AQ83*Calculateur!AS83*VLOOKUP('Données projet'!$B$10,Paramètres!$A$1:$I$89,3,0)*0.475*44/12</f>
        <v>24.345944535183637</v>
      </c>
      <c r="AW83" s="21">
        <f>EXP(-LN(2)/2)*AW82+(1-EXP(-LN(2)/2))/(LN(2)/2)*AQ83*AT83*VLOOKUP('Données projet'!$B$10,Paramètres!$A$1:$I$89,3,0)*0.475*44/12</f>
        <v>1.1647473954944803</v>
      </c>
      <c r="AX83" s="21">
        <f t="shared" si="60"/>
        <v>88.207131461519623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9.5237179487179446</v>
      </c>
      <c r="BD83" s="12">
        <f>IF('Données projet'!$A$88&gt;35,BD82+BC83-BL82,IF(A83&lt;'Données projet'!$A$88,$BA$205^A83,IF(A83='Données projet'!$A$88,'Données projet'!$B$88,BD82+BC83-BL82)))</f>
        <v>331.21217948717992</v>
      </c>
      <c r="BE83" s="13">
        <f>BD83*VLOOKUP('Données projet'!$B$11,Paramètres!$A$1:$I$89,3,0)*VLOOKUP('Données projet'!$B$11,Paramètres!$A$1:$I$89,5,0)</f>
        <v>155.00730000000019</v>
      </c>
      <c r="BF83" s="13">
        <f t="shared" si="91"/>
        <v>39.714328701221518</v>
      </c>
      <c r="BG83" s="20">
        <f t="shared" si="61"/>
        <v>339.14016998796109</v>
      </c>
      <c r="BH83" s="59">
        <f t="shared" si="62"/>
        <v>632.4735033212944</v>
      </c>
      <c r="BI83" s="59">
        <f ca="1">AVERAGE(OFFSET($BH$3,0,0,'Données projet'!$E$11+1,1))-AVERAGE(OFFSET($H$3,0,0,'Données projet'!$E$11+1,1))</f>
        <v>181.79645720099597</v>
      </c>
      <c r="BJ83" s="59">
        <f t="shared" si="92"/>
        <v>120.20040029102233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35.020172948960401</v>
      </c>
      <c r="BQ83" s="21">
        <f>EXP(-LN(2)/25)*BQ82+(1-EXP(-LN(2)/25))/(LN(2)/25)*Calculateur!BL83*Calculateur!BN83*VLOOKUP('Données projet'!$B$11,Paramètres!$A$1:$I$89,3,0)*0.475*44/12</f>
        <v>22.104985589525576</v>
      </c>
      <c r="BR83" s="21">
        <f>EXP(-LN(2)/2)*BR82+(1-EXP(-LN(2)/2))/(LN(2)/2)*BL83*BO83*VLOOKUP('Données projet'!$B$11,Paramètres!$A$1:$I$89,3,0)*0.475*44/12</f>
        <v>0.58943456399092564</v>
      </c>
      <c r="BS83" s="22">
        <f t="shared" si="63"/>
        <v>57.714593102476904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402.90769230769229</v>
      </c>
      <c r="BW83" s="12">
        <f>VLOOKUP(A83,'Données projet'!$A$113:$I$133,9,0)</f>
        <v>7.5584615384615343</v>
      </c>
      <c r="BX83" s="12">
        <f t="array" ref="BX83">INDEX(BW:BW,MIN(IF(ISNUMBER(BW83:BW279),ROW(BW83:BW279),"")))</f>
        <v>7.5584615384615343</v>
      </c>
      <c r="BY83" s="12">
        <f>IF('Données projet'!$A$114&gt;35,BY82+BX83-CG82,IF(A83&lt;'Données projet'!$A$114,$BV$205^A83,IF(A83='Données projet'!$A$114,'Données projet'!$B$114,BY82+BX83-CG82)))</f>
        <v>402.90769230769189</v>
      </c>
      <c r="BZ83" s="13">
        <f>BY83*VLOOKUP('Données projet'!$B$12,Paramètres!$A$1:$I$89,3,0)*VLOOKUP('Données projet'!$B$12,Paramètres!$A$1:$I$89,5,0)</f>
        <v>240.93879999999979</v>
      </c>
      <c r="CA83" s="13">
        <f t="shared" si="93"/>
        <v>58.64147195802866</v>
      </c>
      <c r="CB83" s="20">
        <f t="shared" si="64"/>
        <v>521.76897366023286</v>
      </c>
      <c r="CC83" s="59">
        <f t="shared" si="65"/>
        <v>815.10230699356612</v>
      </c>
      <c r="CD83" s="59">
        <f ca="1">AVERAGE(OFFSET($CC$3,0,0,'Données projet'!$E$12+1,1))-AVERAGE(OFFSET($H$3,0,0,'Données projet'!$E$12+1,1))</f>
        <v>213.18424462765137</v>
      </c>
      <c r="CE83" s="59">
        <f t="shared" si="94"/>
        <v>158.77848520346532</v>
      </c>
      <c r="CF83" s="15">
        <f>IF(ISNA(VLOOKUP(A83,'Données projet'!$A$113:$I$133,3,0)),0,VLOOKUP(A83,'Données projet'!$A$113:$I$133,3,0))</f>
        <v>8</v>
      </c>
      <c r="CG83" s="15">
        <f>IF(ISNA(VLOOKUP(A83,'Données projet'!$A$113:$I$133,4,0)),0,VLOOKUP(A83,'Données projet'!$A$113:$I$133,4,0))</f>
        <v>402.90769230769229</v>
      </c>
      <c r="CH83" s="16">
        <f>IF(ISNA(VLOOKUP(A83,'Données projet'!$A$113:$I$133,5,0)),0%,VLOOKUP(A83,'Données projet'!$A$113:$I$133,5,0)*VLOOKUP('Données projet'!$B$12,Paramètres!$A$1:$I$89,7,0))</f>
        <v>0.315</v>
      </c>
      <c r="CI83" s="16">
        <f>IF(ISNA(VLOOKUP(A83,'Données projet'!$A$113:$I$133,6,0)),0%,VLOOKUP(A83,'Données projet'!$A$113:$I$133,6,0)*VLOOKUP('Données projet'!$B$12,Paramètres!$A$1:$I$89,7,0))</f>
        <v>7.5600000000000001E-2</v>
      </c>
      <c r="CJ83" s="16">
        <f>IF(ISNA(VLOOKUP(A83,'Données projet'!$A$113:$I$133,7,0)),0%,VLOOKUP(A83,'Données projet'!$A$113:$I$133,7,0))</f>
        <v>0.13200000000000001</v>
      </c>
      <c r="CK83" s="21">
        <f>EXP(-LN(2)/35)*CK82+(1-EXP(-LN(2)/35))/(LN(2)/35)*CG83*CH83*VLOOKUP('Données projet'!$B$12,Paramètres!$A$1:$I$89,3,0)*0.475*44/12</f>
        <v>142.24759236085166</v>
      </c>
      <c r="CL83" s="21">
        <f>EXP(-LN(2)/25)*CL82+(1-EXP(-LN(2)/25))/(LN(2)/25)*Calculateur!CG83*Calculateur!CI83*VLOOKUP('Données projet'!$B$12,Paramètres!$A$1:$I$89,3,0)*0.475*44/12</f>
        <v>34.214352887737732</v>
      </c>
      <c r="CM83" s="21">
        <f>EXP(-LN(2)/2)*CM82+(1-EXP(-LN(2)/2))/(LN(2)/2)*CG83*CJ83*VLOOKUP('Données projet'!$B$12,Paramètres!$A$1:$I$89,3,0)*0.475*44/12</f>
        <v>36.161423056875712</v>
      </c>
      <c r="CN83" s="22">
        <f t="shared" si="66"/>
        <v>212.62336830546511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330</v>
      </c>
      <c r="CR83" s="12">
        <f>VLOOKUP(A83,'Données projet'!$A$139:$I$159,9,0)</f>
        <v>3.6</v>
      </c>
      <c r="CS83" s="12">
        <f t="array" ref="CS83">INDEX(CR:CR,MIN(IF(ISNUMBER(CR83:CR279),ROW(CR83:CR279),"")))</f>
        <v>3.6</v>
      </c>
      <c r="CT83" s="12">
        <f>IF('Données projet'!$A$140&gt;35,CT82+CS83-DB82,IF(A83&lt;'Données projet'!$A$140,$CQ$205^A83,IF(A83='Données projet'!$A$140,'Données projet'!$B$140,CT82+CS83-DB82)))</f>
        <v>330</v>
      </c>
      <c r="CU83" s="17">
        <f>CT83*VLOOKUP('Données projet'!$B$13,Paramètres!$A$1:$I$89,3,0)*VLOOKUP('Données projet'!$B$13,Paramètres!$A$1:$I$89,5,0)</f>
        <v>262.548</v>
      </c>
      <c r="CV83" s="13">
        <f t="shared" si="95"/>
        <v>63.265199933079444</v>
      </c>
      <c r="CW83" s="20">
        <f t="shared" si="67"/>
        <v>567.45798988344666</v>
      </c>
      <c r="CX83" s="59">
        <f t="shared" si="68"/>
        <v>860.79132321678003</v>
      </c>
      <c r="CY83" s="59">
        <f ca="1">AVERAGE(OFFSET($CX$3,0,0,'Données projet'!$E$13+1,1))-AVERAGE(OFFSET($H$3,0,0,'Données projet'!$E$13+1,1))</f>
        <v>279.49721661620544</v>
      </c>
      <c r="CZ83" s="59">
        <f t="shared" si="96"/>
        <v>275.18739333988754</v>
      </c>
      <c r="DA83" s="15">
        <f>IF(ISNA(VLOOKUP(A83,'Données projet'!$A$139:$I$159,3,0)),0,VLOOKUP(A83,'Données projet'!$A$139:$I$159,3,0))</f>
        <v>14</v>
      </c>
      <c r="DB83" s="15">
        <f>IF(ISNA(VLOOKUP(A83,'Données projet'!$A$139:$I$159,4,0)),0,VLOOKUP(A83,'Données projet'!$A$139:$I$159,4,0))</f>
        <v>11</v>
      </c>
      <c r="DC83" s="16">
        <f>IF(ISNA(VLOOKUP(A83,'Données projet'!$A$139:$I$159,5,0)),0%,VLOOKUP(A83,'Données projet'!$A$139:$I$159,5,0)*VLOOKUP('Données projet'!$B$13,Paramètres!$A$1:$I$89,7,0))</f>
        <v>0.48230000000000006</v>
      </c>
      <c r="DD83" s="16">
        <f>IF(ISNA(VLOOKUP(A83,'Données projet'!$A$139:$I$159,6,0)),0%,VLOOKUP(A83,'Données projet'!$A$139:$I$159,6,0)*VLOOKUP('Données projet'!$B$13,Paramètres!$A$1:$I$89,7,0))</f>
        <v>4.7699999999999999E-2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44.778822433777506</v>
      </c>
      <c r="DG83" s="21">
        <f>EXP(-LN(2)/25)*DG82+(1-EXP(-LN(2)/25))/(LN(2)/25)*Calculateur!DB83*Calculateur!DD83*VLOOKUP('Données projet'!$B$13,Paramètres!$A$1:$I$89,3,0)*0.475*44/12</f>
        <v>7.5454050399014907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52.324227473678995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-1.1368683772161603E-13</v>
      </c>
      <c r="O84" s="13">
        <f>N84*VLOOKUP('Données projet'!$B$9,Paramètres!$A$1:$I$89,3,0)*VLOOKUP('Données projet'!$B$9,Paramètres!$A$1:$I$89,5,0)</f>
        <v>-6.3550942286383367E-14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278.5296012747549</v>
      </c>
      <c r="T84" s="59">
        <f t="shared" si="88"/>
        <v>370.55343097937077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135.44002047766153</v>
      </c>
      <c r="AA84" s="21">
        <f>EXP(-LN(2)/25)*AA83+(1-EXP(-LN(2)/25))/(LN(2)/25)*Calculateur!V84*Calculateur!X84*VLOOKUP('Données projet'!$B$9,Paramètres!$A$1:$I$89,3,0)*0.475*44/12</f>
        <v>28.01619766928361</v>
      </c>
      <c r="AB84" s="21">
        <f>EXP(-LN(2)/2)*AB83+(1-EXP(-LN(2)/2))/(LN(2)/2)*V84*Y84*VLOOKUP('Données projet'!$B$9,Paramètres!$A$1:$I$89,3,0)*0.475*44/12</f>
        <v>4.1700810551895109E-3</v>
      </c>
      <c r="AC84" s="22">
        <f t="shared" si="57"/>
        <v>163.46038822800031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14.187499999999993</v>
      </c>
      <c r="AI84" s="13">
        <f>IF('Données projet'!$A$62&gt;35,AI83+AH84-AQ83,IF(A84&lt;'Données projet'!$A$62,$AF$205^A84,IF(A84='Données projet'!$A$62,'Données projet'!$B$62,AI83+AH84-AQ83)))</f>
        <v>452.82499999999948</v>
      </c>
      <c r="AJ84" s="13">
        <f>AI84*VLOOKUP('Données projet'!$B$10,Paramètres!$A$1:$I$89,3,0)*VLOOKUP('Données projet'!$B$10,Paramètres!$A$1:$I$89,5,0)</f>
        <v>217.80882499999976</v>
      </c>
      <c r="AK84" s="13">
        <f t="shared" si="89"/>
        <v>53.638367571440284</v>
      </c>
      <c r="AL84" s="20">
        <f t="shared" si="58"/>
        <v>472.77052706192467</v>
      </c>
      <c r="AM84" s="59">
        <f t="shared" si="59"/>
        <v>766.10386039525793</v>
      </c>
      <c r="AN84" s="59">
        <f ca="1">AVERAGE(OFFSET($AM$3,0,0,'Données projet'!$E$10+1,1))-AVERAGE(OFFSET($H$3,0,0,'Données projet'!$E$10+1,1))</f>
        <v>255.05550867459038</v>
      </c>
      <c r="AO84" s="59">
        <f t="shared" si="90"/>
        <v>119.28597757550295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61.467000592693815</v>
      </c>
      <c r="AV84" s="21">
        <f>EXP(-LN(2)/25)*AV83+(1-EXP(-LN(2)/25))/(LN(2)/25)*Calculateur!AQ84*Calculateur!AS84*VLOOKUP('Données projet'!$B$10,Paramètres!$A$1:$I$89,3,0)*0.475*44/12</f>
        <v>23.680203401571461</v>
      </c>
      <c r="AW84" s="21">
        <f>EXP(-LN(2)/2)*AW83+(1-EXP(-LN(2)/2))/(LN(2)/2)*AQ84*AT84*VLOOKUP('Données projet'!$B$10,Paramètres!$A$1:$I$89,3,0)*0.475*44/12</f>
        <v>0.82360078172351658</v>
      </c>
      <c r="AX84" s="21">
        <f t="shared" si="60"/>
        <v>85.970804775988796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9.5237179487179446</v>
      </c>
      <c r="BD84" s="12">
        <f>IF('Données projet'!$A$88&gt;35,BD83+BC84-BL83,IF(A84&lt;'Données projet'!$A$88,$BA$205^A84,IF(A84='Données projet'!$A$88,'Données projet'!$B$88,BD83+BC84-BL83)))</f>
        <v>340.73589743589787</v>
      </c>
      <c r="BE84" s="13">
        <f>BD84*VLOOKUP('Données projet'!$B$11,Paramètres!$A$1:$I$89,3,0)*VLOOKUP('Données projet'!$B$11,Paramètres!$A$1:$I$89,5,0)</f>
        <v>159.46440000000021</v>
      </c>
      <c r="BF84" s="13">
        <f t="shared" si="91"/>
        <v>40.721685766303303</v>
      </c>
      <c r="BG84" s="20">
        <f t="shared" si="61"/>
        <v>348.65743270964526</v>
      </c>
      <c r="BH84" s="59">
        <f t="shared" si="62"/>
        <v>641.99076604297852</v>
      </c>
      <c r="BI84" s="59">
        <f ca="1">AVERAGE(OFFSET($BH$3,0,0,'Données projet'!$E$11+1,1))-AVERAGE(OFFSET($H$3,0,0,'Données projet'!$E$11+1,1))</f>
        <v>181.79645720099597</v>
      </c>
      <c r="BJ84" s="59">
        <f t="shared" si="92"/>
        <v>120.20040029102233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34.33344871762764</v>
      </c>
      <c r="BQ84" s="21">
        <f>EXP(-LN(2)/25)*BQ83+(1-EXP(-LN(2)/25))/(LN(2)/25)*Calculateur!BL84*Calculateur!BN84*VLOOKUP('Données projet'!$B$11,Paramètres!$A$1:$I$89,3,0)*0.475*44/12</f>
        <v>21.50052359612933</v>
      </c>
      <c r="BR84" s="21">
        <f>EXP(-LN(2)/2)*BR83+(1-EXP(-LN(2)/2))/(LN(2)/2)*BL84*BO84*VLOOKUP('Données projet'!$B$11,Paramètres!$A$1:$I$89,3,0)*0.475*44/12</f>
        <v>0.41679317726371951</v>
      </c>
      <c r="BS84" s="22">
        <f t="shared" si="63"/>
        <v>56.250765491020694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-3.979039320256561E-13</v>
      </c>
      <c r="BZ84" s="13">
        <f>BY84*VLOOKUP('Données projet'!$B$12,Paramètres!$A$1:$I$89,3,0)*VLOOKUP('Données projet'!$B$12,Paramètres!$A$1:$I$89,5,0)</f>
        <v>-2.379465513513424E-13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213.18424462765137</v>
      </c>
      <c r="CE84" s="59">
        <f t="shared" si="94"/>
        <v>158.77848520346532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139.45820383711961</v>
      </c>
      <c r="CL84" s="21">
        <f>EXP(-LN(2)/25)*CL83+(1-EXP(-LN(2)/25))/(LN(2)/25)*Calculateur!CG84*Calculateur!CI84*VLOOKUP('Données projet'!$B$12,Paramètres!$A$1:$I$89,3,0)*0.475*44/12</f>
        <v>33.27875960876792</v>
      </c>
      <c r="CM84" s="21">
        <f>EXP(-LN(2)/2)*CM83+(1-EXP(-LN(2)/2))/(LN(2)/2)*CG84*CJ84*VLOOKUP('Données projet'!$B$12,Paramètres!$A$1:$I$89,3,0)*0.475*44/12</f>
        <v>25.56998746087239</v>
      </c>
      <c r="CN84" s="22">
        <f t="shared" si="66"/>
        <v>198.30695090675994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319</v>
      </c>
      <c r="CU84" s="17">
        <f>CT84*VLOOKUP('Données projet'!$B$13,Paramètres!$A$1:$I$89,3,0)*VLOOKUP('Données projet'!$B$13,Paramètres!$A$1:$I$89,5,0)</f>
        <v>253.79640000000001</v>
      </c>
      <c r="CV84" s="13">
        <f t="shared" si="95"/>
        <v>61.39816832228076</v>
      </c>
      <c r="CW84" s="20">
        <f t="shared" si="67"/>
        <v>548.96387316130563</v>
      </c>
      <c r="CX84" s="59">
        <f t="shared" si="68"/>
        <v>842.29720649463889</v>
      </c>
      <c r="CY84" s="59">
        <f ca="1">AVERAGE(OFFSET($CX$3,0,0,'Données projet'!$E$13+1,1))-AVERAGE(OFFSET($H$3,0,0,'Données projet'!$E$13+1,1))</f>
        <v>279.49721661620544</v>
      </c>
      <c r="CZ84" s="59">
        <f t="shared" si="96"/>
        <v>275.18739333988754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43.900737038235938</v>
      </c>
      <c r="DG84" s="21">
        <f>EXP(-LN(2)/25)*DG83+(1-EXP(-LN(2)/25))/(LN(2)/25)*Calculateur!DB84*Calculateur!DD84*VLOOKUP('Données projet'!$B$13,Paramètres!$A$1:$I$89,3,0)*0.475*44/12</f>
        <v>7.3390755422897787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51.239812580525715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-1.1368683772161603E-13</v>
      </c>
      <c r="O85" s="13">
        <f>N85*VLOOKUP('Données projet'!$B$9,Paramètres!$A$1:$I$89,3,0)*VLOOKUP('Données projet'!$B$9,Paramètres!$A$1:$I$89,5,0)</f>
        <v>-6.3550942286383367E-14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278.5296012747549</v>
      </c>
      <c r="T85" s="59">
        <f t="shared" si="88"/>
        <v>370.55343097937077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132.78412428634999</v>
      </c>
      <c r="AA85" s="21">
        <f>EXP(-LN(2)/25)*AA84+(1-EXP(-LN(2)/25))/(LN(2)/25)*Calculateur!V85*Calculateur!X85*VLOOKUP('Données projet'!$B$9,Paramètres!$A$1:$I$89,3,0)*0.475*44/12</f>
        <v>27.250093270709247</v>
      </c>
      <c r="AB85" s="21">
        <f>EXP(-LN(2)/2)*AB84+(1-EXP(-LN(2)/2))/(LN(2)/2)*V85*Y85*VLOOKUP('Données projet'!$B$9,Paramètres!$A$1:$I$89,3,0)*0.475*44/12</f>
        <v>2.9486925922220567E-3</v>
      </c>
      <c r="AC85" s="22">
        <f t="shared" si="57"/>
        <v>160.03716624965145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14.187499999999993</v>
      </c>
      <c r="AI85" s="13">
        <f>IF('Données projet'!$A$62&gt;35,AI84+AH85-AQ84,IF(A85&lt;'Données projet'!$A$62,$AF$205^A85,IF(A85='Données projet'!$A$62,'Données projet'!$B$62,AI84+AH85-AQ84)))</f>
        <v>467.01249999999948</v>
      </c>
      <c r="AJ85" s="13">
        <f>AI85*VLOOKUP('Données projet'!$B$10,Paramètres!$A$1:$I$89,3,0)*VLOOKUP('Données projet'!$B$10,Paramètres!$A$1:$I$89,5,0)</f>
        <v>224.63301249999975</v>
      </c>
      <c r="AK85" s="13">
        <f t="shared" si="89"/>
        <v>55.120623486502048</v>
      </c>
      <c r="AL85" s="20">
        <f t="shared" si="58"/>
        <v>487.2375826764906</v>
      </c>
      <c r="AM85" s="59">
        <f t="shared" si="59"/>
        <v>780.57091600982392</v>
      </c>
      <c r="AN85" s="59">
        <f ca="1">AVERAGE(OFFSET($AM$3,0,0,'Données projet'!$E$10+1,1))-AVERAGE(OFFSET($H$3,0,0,'Données projet'!$E$10+1,1))</f>
        <v>255.05550867459038</v>
      </c>
      <c r="AO85" s="59">
        <f t="shared" si="90"/>
        <v>119.28597757550295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60.261670202239507</v>
      </c>
      <c r="AV85" s="21">
        <f>EXP(-LN(2)/25)*AV84+(1-EXP(-LN(2)/25))/(LN(2)/25)*Calculateur!AQ85*Calculateur!AS85*VLOOKUP('Données projet'!$B$10,Paramètres!$A$1:$I$89,3,0)*0.475*44/12</f>
        <v>23.032666994267714</v>
      </c>
      <c r="AW85" s="21">
        <f>EXP(-LN(2)/2)*AW84+(1-EXP(-LN(2)/2))/(LN(2)/2)*AQ85*AT85*VLOOKUP('Données projet'!$B$10,Paramètres!$A$1:$I$89,3,0)*0.475*44/12</f>
        <v>0.58237369774724013</v>
      </c>
      <c r="AX85" s="21">
        <f t="shared" si="60"/>
        <v>83.876710894254472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9.5237179487179446</v>
      </c>
      <c r="BD85" s="12">
        <f>IF('Données projet'!$A$88&gt;35,BD84+BC85-BL84,IF(A85&lt;'Données projet'!$A$88,$BA$205^A85,IF(A85='Données projet'!$A$88,'Données projet'!$B$88,BD84+BC85-BL84)))</f>
        <v>350.25961538461581</v>
      </c>
      <c r="BE85" s="13">
        <f>BD85*VLOOKUP('Données projet'!$B$11,Paramètres!$A$1:$I$89,3,0)*VLOOKUP('Données projet'!$B$11,Paramètres!$A$1:$I$89,5,0)</f>
        <v>163.92150000000018</v>
      </c>
      <c r="BF85" s="13">
        <f t="shared" si="91"/>
        <v>41.725770339892605</v>
      </c>
      <c r="BG85" s="20">
        <f t="shared" si="61"/>
        <v>358.16899584197989</v>
      </c>
      <c r="BH85" s="59">
        <f t="shared" si="62"/>
        <v>651.50232917531321</v>
      </c>
      <c r="BI85" s="59">
        <f ca="1">AVERAGE(OFFSET($BH$3,0,0,'Données projet'!$E$11+1,1))-AVERAGE(OFFSET($H$3,0,0,'Données projet'!$E$11+1,1))</f>
        <v>181.79645720099597</v>
      </c>
      <c r="BJ85" s="59">
        <f t="shared" si="92"/>
        <v>120.20040029102233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33.660190729610896</v>
      </c>
      <c r="BQ85" s="21">
        <f>EXP(-LN(2)/25)*BQ84+(1-EXP(-LN(2)/25))/(LN(2)/25)*Calculateur!BL85*Calculateur!BN85*VLOOKUP('Données projet'!$B$11,Paramètres!$A$1:$I$89,3,0)*0.475*44/12</f>
        <v>20.912590647729779</v>
      </c>
      <c r="BR85" s="21">
        <f>EXP(-LN(2)/2)*BR84+(1-EXP(-LN(2)/2))/(LN(2)/2)*BL85*BO85*VLOOKUP('Données projet'!$B$11,Paramètres!$A$1:$I$89,3,0)*0.475*44/12</f>
        <v>0.29471728199546282</v>
      </c>
      <c r="BS85" s="22">
        <f t="shared" si="63"/>
        <v>54.867498659336135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-3.979039320256561E-13</v>
      </c>
      <c r="BZ85" s="13">
        <f>BY85*VLOOKUP('Données projet'!$B$12,Paramètres!$A$1:$I$89,3,0)*VLOOKUP('Données projet'!$B$12,Paramètres!$A$1:$I$89,5,0)</f>
        <v>-2.379465513513424E-13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213.18424462765137</v>
      </c>
      <c r="CE85" s="59">
        <f t="shared" si="94"/>
        <v>158.77848520346532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136.72351352097894</v>
      </c>
      <c r="CL85" s="21">
        <f>EXP(-LN(2)/25)*CL84+(1-EXP(-LN(2)/25))/(LN(2)/25)*Calculateur!CG85*Calculateur!CI85*VLOOKUP('Données projet'!$B$12,Paramètres!$A$1:$I$89,3,0)*0.475*44/12</f>
        <v>32.368750177212256</v>
      </c>
      <c r="CM85" s="21">
        <f>EXP(-LN(2)/2)*CM84+(1-EXP(-LN(2)/2))/(LN(2)/2)*CG85*CJ85*VLOOKUP('Données projet'!$B$12,Paramètres!$A$1:$I$89,3,0)*0.475*44/12</f>
        <v>18.08071152843786</v>
      </c>
      <c r="CN85" s="22">
        <f t="shared" si="66"/>
        <v>187.17297522662906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319</v>
      </c>
      <c r="CU85" s="17">
        <f>CT85*VLOOKUP('Données projet'!$B$13,Paramètres!$A$1:$I$89,3,0)*VLOOKUP('Données projet'!$B$13,Paramètres!$A$1:$I$89,5,0)</f>
        <v>253.79640000000001</v>
      </c>
      <c r="CV85" s="13">
        <f t="shared" si="95"/>
        <v>61.39816832228076</v>
      </c>
      <c r="CW85" s="20">
        <f t="shared" si="67"/>
        <v>548.96387316130563</v>
      </c>
      <c r="CX85" s="59">
        <f t="shared" si="68"/>
        <v>842.29720649463889</v>
      </c>
      <c r="CY85" s="59">
        <f ca="1">AVERAGE(OFFSET($CX$3,0,0,'Données projet'!$E$13+1,1))-AVERAGE(OFFSET($H$3,0,0,'Données projet'!$E$13+1,1))</f>
        <v>279.49721661620544</v>
      </c>
      <c r="CZ85" s="59">
        <f t="shared" si="96"/>
        <v>275.18739333988754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43.039870361721732</v>
      </c>
      <c r="DG85" s="21">
        <f>EXP(-LN(2)/25)*DG84+(1-EXP(-LN(2)/25))/(LN(2)/25)*Calculateur!DB85*Calculateur!DD85*VLOOKUP('Données projet'!$B$13,Paramètres!$A$1:$I$89,3,0)*0.475*44/12</f>
        <v>7.138388135640656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50.178258497362386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-1.1368683772161603E-13</v>
      </c>
      <c r="O86" s="13">
        <f>N86*VLOOKUP('Données projet'!$B$9,Paramètres!$A$1:$I$89,3,0)*VLOOKUP('Données projet'!$B$9,Paramètres!$A$1:$I$89,5,0)</f>
        <v>-6.3550942286383367E-14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278.5296012747549</v>
      </c>
      <c r="T86" s="59">
        <f t="shared" si="88"/>
        <v>370.55343097937077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130.18030859941337</v>
      </c>
      <c r="AA86" s="21">
        <f>EXP(-LN(2)/25)*AA85+(1-EXP(-LN(2)/25))/(LN(2)/25)*Calculateur!V86*Calculateur!X86*VLOOKUP('Données projet'!$B$9,Paramètres!$A$1:$I$89,3,0)*0.475*44/12</f>
        <v>26.50493803720158</v>
      </c>
      <c r="AB86" s="21">
        <f>EXP(-LN(2)/2)*AB85+(1-EXP(-LN(2)/2))/(LN(2)/2)*V86*Y86*VLOOKUP('Données projet'!$B$9,Paramètres!$A$1:$I$89,3,0)*0.475*44/12</f>
        <v>2.0850405275947555E-3</v>
      </c>
      <c r="AC86" s="22">
        <f t="shared" si="57"/>
        <v>156.68733167714254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>
        <f>VLOOKUP(A86,'Données projet'!$A$61:$I$81,2,0)</f>
        <v>481.2</v>
      </c>
      <c r="AG86" s="12">
        <f>VLOOKUP(A86,'Données projet'!$A$61:$I$81,9,0)</f>
        <v>14.187499999999993</v>
      </c>
      <c r="AH86" s="12">
        <f t="array" ref="AH86">INDEX(AG:AG,MIN(IF(ISNUMBER(AG86:AG282),ROW(AG86:AG282),"")))</f>
        <v>14.187499999999993</v>
      </c>
      <c r="AI86" s="13">
        <f>IF('Données projet'!$A$62&gt;35,AI85+AH86-AQ85,IF(A86&lt;'Données projet'!$A$62,$AF$205^A86,IF(A86='Données projet'!$A$62,'Données projet'!$B$62,AI85+AH86-AQ85)))</f>
        <v>481.19999999999948</v>
      </c>
      <c r="AJ86" s="13">
        <f>AI86*VLOOKUP('Données projet'!$B$10,Paramètres!$A$1:$I$89,3,0)*VLOOKUP('Données projet'!$B$10,Paramètres!$A$1:$I$89,5,0)</f>
        <v>231.45719999999977</v>
      </c>
      <c r="AK86" s="13">
        <f t="shared" si="89"/>
        <v>56.597646332217913</v>
      </c>
      <c r="AL86" s="20">
        <f t="shared" si="58"/>
        <v>501.6955240286124</v>
      </c>
      <c r="AM86" s="59">
        <f t="shared" si="59"/>
        <v>795.02885736194571</v>
      </c>
      <c r="AN86" s="59">
        <f ca="1">AVERAGE(OFFSET($AM$3,0,0,'Données projet'!$E$10+1,1))-AVERAGE(OFFSET($H$3,0,0,'Données projet'!$E$10+1,1))</f>
        <v>255.05550867459038</v>
      </c>
      <c r="AO86" s="59">
        <f t="shared" si="90"/>
        <v>119.28597757550295</v>
      </c>
      <c r="AP86" s="15">
        <f>IF(ISNA(VLOOKUP(A86,'Données projet'!$A$61:$I$81,3,0)),0,VLOOKUP(A86,'Données projet'!$A$61:$I$81,3,0))</f>
        <v>6</v>
      </c>
      <c r="AQ86" s="15">
        <f>IF(ISNA(VLOOKUP(A86,'Données projet'!$A$61:$I$81,4,0)),0,VLOOKUP(A86,'Données projet'!$A$61:$I$81,4,0))</f>
        <v>91.2</v>
      </c>
      <c r="AR86" s="16">
        <f>IF(ISNA(VLOOKUP(A86,'Données projet'!$A$61:$I$81,5,0)),0%,VLOOKUP(A86,'Données projet'!$A$61:$I$81,5,0)*VLOOKUP('Données projet'!$B$10,Paramètres!$A$1:$I$89,7,0))</f>
        <v>0.38500000000000001</v>
      </c>
      <c r="AS86" s="16">
        <f>IF(ISNA(VLOOKUP(A86,'Données projet'!$A$61:$I$81,6,0)),0%,VLOOKUP(A86,'Données projet'!$A$61:$I$81,6,0)*VLOOKUP('Données projet'!$B$10,Paramètres!$A$1:$I$89,7,0))</f>
        <v>9.3500000000000014E-2</v>
      </c>
      <c r="AT86" s="16">
        <f>IF(ISNA(VLOOKUP(A86,'Données projet'!$A$61:$I$81,7,0)),0%,VLOOKUP(A86,'Données projet'!$A$61:$I$81,7,0))</f>
        <v>0.13</v>
      </c>
      <c r="AU86" s="21">
        <f>EXP(-LN(2)/35)*AU85+(1-EXP(-LN(2)/35))/(LN(2)/35)*AQ86*AR86*VLOOKUP('Données projet'!$B$10,Paramètres!$A$1:$I$89,3,0)*0.475*44/12</f>
        <v>81.484152893231169</v>
      </c>
      <c r="AV86" s="21">
        <f>EXP(-LN(2)/25)*AV85+(1-EXP(-LN(2)/25))/(LN(2)/25)*Calculateur!AQ86*Calculateur!AS86*VLOOKUP('Données projet'!$B$10,Paramètres!$A$1:$I$89,3,0)*0.475*44/12</f>
        <v>27.822428641008973</v>
      </c>
      <c r="AW86" s="21">
        <f>EXP(-LN(2)/2)*AW85+(1-EXP(-LN(2)/2))/(LN(2)/2)*AQ86*AT86*VLOOKUP('Données projet'!$B$10,Paramètres!$A$1:$I$89,3,0)*0.475*44/12</f>
        <v>6.8686222743286462</v>
      </c>
      <c r="AX86" s="21">
        <f t="shared" si="60"/>
        <v>116.17520380856878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9.5237179487179446</v>
      </c>
      <c r="BD86" s="12">
        <f>IF('Données projet'!$A$88&gt;35,BD85+BC86-BL85,IF(A86&lt;'Données projet'!$A$88,$BA$205^A86,IF(A86='Données projet'!$A$88,'Données projet'!$B$88,BD85+BC86-BL85)))</f>
        <v>359.78333333333376</v>
      </c>
      <c r="BE86" s="13">
        <f>BD86*VLOOKUP('Données projet'!$B$11,Paramètres!$A$1:$I$89,3,0)*VLOOKUP('Données projet'!$B$11,Paramètres!$A$1:$I$89,5,0)</f>
        <v>168.3786000000002</v>
      </c>
      <c r="BF86" s="13">
        <f t="shared" si="91"/>
        <v>42.726681627572944</v>
      </c>
      <c r="BG86" s="20">
        <f t="shared" si="61"/>
        <v>367.67503216802317</v>
      </c>
      <c r="BH86" s="59">
        <f t="shared" si="62"/>
        <v>661.00836550135648</v>
      </c>
      <c r="BI86" s="59">
        <f ca="1">AVERAGE(OFFSET($BH$3,0,0,'Données projet'!$E$11+1,1))-AVERAGE(OFFSET($H$3,0,0,'Données projet'!$E$11+1,1))</f>
        <v>181.79645720099597</v>
      </c>
      <c r="BJ86" s="59">
        <f t="shared" si="92"/>
        <v>120.20040029102233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33.000134920092336</v>
      </c>
      <c r="BQ86" s="21">
        <f>EXP(-LN(2)/25)*BQ85+(1-EXP(-LN(2)/25))/(LN(2)/25)*Calculateur!BL86*Calculateur!BN86*VLOOKUP('Données projet'!$B$11,Paramètres!$A$1:$I$89,3,0)*0.475*44/12</f>
        <v>20.340734756722263</v>
      </c>
      <c r="BR86" s="21">
        <f>EXP(-LN(2)/2)*BR85+(1-EXP(-LN(2)/2))/(LN(2)/2)*BL86*BO86*VLOOKUP('Données projet'!$B$11,Paramètres!$A$1:$I$89,3,0)*0.475*44/12</f>
        <v>0.20839658863185975</v>
      </c>
      <c r="BS86" s="22">
        <f t="shared" si="63"/>
        <v>53.549266265446455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-3.979039320256561E-13</v>
      </c>
      <c r="BZ86" s="13">
        <f>BY86*VLOOKUP('Données projet'!$B$12,Paramètres!$A$1:$I$89,3,0)*VLOOKUP('Données projet'!$B$12,Paramètres!$A$1:$I$89,5,0)</f>
        <v>-2.379465513513424E-13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213.18424462765137</v>
      </c>
      <c r="CE86" s="59">
        <f t="shared" si="94"/>
        <v>158.77848520346532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134.04244881394141</v>
      </c>
      <c r="CL86" s="21">
        <f>EXP(-LN(2)/25)*CL85+(1-EXP(-LN(2)/25))/(LN(2)/25)*Calculateur!CG86*Calculateur!CI86*VLOOKUP('Données projet'!$B$12,Paramètres!$A$1:$I$89,3,0)*0.475*44/12</f>
        <v>31.483625001417796</v>
      </c>
      <c r="CM86" s="21">
        <f>EXP(-LN(2)/2)*CM85+(1-EXP(-LN(2)/2))/(LN(2)/2)*CG86*CJ86*VLOOKUP('Données projet'!$B$12,Paramètres!$A$1:$I$89,3,0)*0.475*44/12</f>
        <v>12.784993730436197</v>
      </c>
      <c r="CN86" s="22">
        <f t="shared" si="66"/>
        <v>178.3110675457954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319</v>
      </c>
      <c r="CU86" s="17">
        <f>CT86*VLOOKUP('Données projet'!$B$13,Paramètres!$A$1:$I$89,3,0)*VLOOKUP('Données projet'!$B$13,Paramètres!$A$1:$I$89,5,0)</f>
        <v>253.79640000000001</v>
      </c>
      <c r="CV86" s="13">
        <f t="shared" si="95"/>
        <v>61.39816832228076</v>
      </c>
      <c r="CW86" s="20">
        <f t="shared" si="67"/>
        <v>548.96387316130563</v>
      </c>
      <c r="CX86" s="59">
        <f t="shared" si="68"/>
        <v>842.29720649463889</v>
      </c>
      <c r="CY86" s="59">
        <f ca="1">AVERAGE(OFFSET($CX$3,0,0,'Données projet'!$E$13+1,1))-AVERAGE(OFFSET($H$3,0,0,'Données projet'!$E$13+1,1))</f>
        <v>279.49721661620544</v>
      </c>
      <c r="CZ86" s="59">
        <f t="shared" si="96"/>
        <v>275.18739333988754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42.195884755657147</v>
      </c>
      <c r="DG86" s="21">
        <f>EXP(-LN(2)/25)*DG85+(1-EXP(-LN(2)/25))/(LN(2)/25)*Calculateur!DB86*Calculateur!DD86*VLOOKUP('Données projet'!$B$13,Paramètres!$A$1:$I$89,3,0)*0.475*44/12</f>
        <v>6.9431885366800454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49.139073292337194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-1.1368683772161603E-13</v>
      </c>
      <c r="O87" s="13">
        <f>N87*VLOOKUP('Données projet'!$B$9,Paramètres!$A$1:$I$89,3,0)*VLOOKUP('Données projet'!$B$9,Paramètres!$A$1:$I$89,5,0)</f>
        <v>-6.3550942286383367E-14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278.5296012747549</v>
      </c>
      <c r="T87" s="59">
        <f t="shared" si="88"/>
        <v>370.55343097937077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127.6275521499268</v>
      </c>
      <c r="AA87" s="21">
        <f>EXP(-LN(2)/25)*AA86+(1-EXP(-LN(2)/25))/(LN(2)/25)*Calculateur!V87*Calculateur!X87*VLOOKUP('Données projet'!$B$9,Paramètres!$A$1:$I$89,3,0)*0.475*44/12</f>
        <v>25.78015911274019</v>
      </c>
      <c r="AB87" s="21">
        <f>EXP(-LN(2)/2)*AB86+(1-EXP(-LN(2)/2))/(LN(2)/2)*V87*Y87*VLOOKUP('Données projet'!$B$9,Paramètres!$A$1:$I$89,3,0)*0.475*44/12</f>
        <v>1.4743462961110284E-3</v>
      </c>
      <c r="AC87" s="22">
        <f t="shared" si="57"/>
        <v>153.4091856089631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12.700000000000003</v>
      </c>
      <c r="AI87" s="13">
        <f>IF('Données projet'!$A$62&gt;35,AI86+AH87-AQ86,IF(A87&lt;'Données projet'!$A$62,$AF$205^A87,IF(A87='Données projet'!$A$62,'Données projet'!$B$62,AI86+AH87-AQ86)))</f>
        <v>402.69999999999948</v>
      </c>
      <c r="AJ87" s="13">
        <f>AI87*VLOOKUP('Données projet'!$B$10,Paramètres!$A$1:$I$89,3,0)*VLOOKUP('Données projet'!$B$10,Paramètres!$A$1:$I$89,5,0)</f>
        <v>193.69869999999975</v>
      </c>
      <c r="AK87" s="13">
        <f t="shared" si="89"/>
        <v>48.356763085746088</v>
      </c>
      <c r="AL87" s="20">
        <f t="shared" si="58"/>
        <v>421.57993154100728</v>
      </c>
      <c r="AM87" s="59">
        <f t="shared" si="59"/>
        <v>714.9132648743406</v>
      </c>
      <c r="AN87" s="59">
        <f ca="1">AVERAGE(OFFSET($AM$3,0,0,'Données projet'!$E$10+1,1))-AVERAGE(OFFSET($H$3,0,0,'Données projet'!$E$10+1,1))</f>
        <v>255.05550867459038</v>
      </c>
      <c r="AO87" s="59">
        <f t="shared" si="90"/>
        <v>119.28597757550295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79.886298355420664</v>
      </c>
      <c r="AV87" s="21">
        <f>EXP(-LN(2)/25)*AV86+(1-EXP(-LN(2)/25))/(LN(2)/25)*Calculateur!AQ87*Calculateur!AS87*VLOOKUP('Données projet'!$B$10,Paramètres!$A$1:$I$89,3,0)*0.475*44/12</f>
        <v>27.061622866702649</v>
      </c>
      <c r="AW87" s="21">
        <f>EXP(-LN(2)/2)*AW86+(1-EXP(-LN(2)/2))/(LN(2)/2)*AQ87*AT87*VLOOKUP('Données projet'!$B$10,Paramètres!$A$1:$I$89,3,0)*0.475*44/12</f>
        <v>4.8568493875867524</v>
      </c>
      <c r="AX87" s="21">
        <f t="shared" si="60"/>
        <v>111.80477060971006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9.5237179487179446</v>
      </c>
      <c r="BD87" s="12">
        <f>IF('Données projet'!$A$88&gt;35,BD86+BC87-BL86,IF(A87&lt;'Données projet'!$A$88,$BA$205^A87,IF(A87='Données projet'!$A$88,'Données projet'!$B$88,BD86+BC87-BL86)))</f>
        <v>369.3070512820517</v>
      </c>
      <c r="BE87" s="13">
        <f>BD87*VLOOKUP('Données projet'!$B$11,Paramètres!$A$1:$I$89,3,0)*VLOOKUP('Données projet'!$B$11,Paramètres!$A$1:$I$89,5,0)</f>
        <v>172.83570000000017</v>
      </c>
      <c r="BF87" s="13">
        <f t="shared" si="91"/>
        <v>43.724513283769518</v>
      </c>
      <c r="BG87" s="20">
        <f t="shared" si="61"/>
        <v>377.17570480256546</v>
      </c>
      <c r="BH87" s="59">
        <f t="shared" si="62"/>
        <v>670.50903813589878</v>
      </c>
      <c r="BI87" s="59">
        <f ca="1">AVERAGE(OFFSET($BH$3,0,0,'Données projet'!$E$11+1,1))-AVERAGE(OFFSET($H$3,0,0,'Données projet'!$E$11+1,1))</f>
        <v>181.79645720099597</v>
      </c>
      <c r="BJ87" s="59">
        <f t="shared" si="92"/>
        <v>120.20040029102233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32.353022402404143</v>
      </c>
      <c r="BQ87" s="21">
        <f>EXP(-LN(2)/25)*BQ86+(1-EXP(-LN(2)/25))/(LN(2)/25)*Calculateur!BL87*Calculateur!BN87*VLOOKUP('Données projet'!$B$11,Paramètres!$A$1:$I$89,3,0)*0.475*44/12</f>
        <v>19.784516295126942</v>
      </c>
      <c r="BR87" s="21">
        <f>EXP(-LN(2)/2)*BR86+(1-EXP(-LN(2)/2))/(LN(2)/2)*BL87*BO87*VLOOKUP('Données projet'!$B$11,Paramètres!$A$1:$I$89,3,0)*0.475*44/12</f>
        <v>0.14735864099773141</v>
      </c>
      <c r="BS87" s="22">
        <f t="shared" si="63"/>
        <v>52.284897338528815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-3.979039320256561E-13</v>
      </c>
      <c r="BZ87" s="13">
        <f>BY87*VLOOKUP('Données projet'!$B$12,Paramètres!$A$1:$I$89,3,0)*VLOOKUP('Données projet'!$B$12,Paramètres!$A$1:$I$89,5,0)</f>
        <v>-2.379465513513424E-13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213.18424462765137</v>
      </c>
      <c r="CE87" s="59">
        <f t="shared" si="94"/>
        <v>158.77848520346532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131.41395815052087</v>
      </c>
      <c r="CL87" s="21">
        <f>EXP(-LN(2)/25)*CL86+(1-EXP(-LN(2)/25))/(LN(2)/25)*Calculateur!CG87*Calculateur!CI87*VLOOKUP('Données projet'!$B$12,Paramètres!$A$1:$I$89,3,0)*0.475*44/12</f>
        <v>30.622703620102143</v>
      </c>
      <c r="CM87" s="21">
        <f>EXP(-LN(2)/2)*CM86+(1-EXP(-LN(2)/2))/(LN(2)/2)*CG87*CJ87*VLOOKUP('Données projet'!$B$12,Paramètres!$A$1:$I$89,3,0)*0.475*44/12</f>
        <v>9.0403557642189298</v>
      </c>
      <c r="CN87" s="22">
        <f t="shared" si="66"/>
        <v>171.07701753484196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319</v>
      </c>
      <c r="CU87" s="17">
        <f>CT87*VLOOKUP('Données projet'!$B$13,Paramètres!$A$1:$I$89,3,0)*VLOOKUP('Données projet'!$B$13,Paramètres!$A$1:$I$89,5,0)</f>
        <v>253.79640000000001</v>
      </c>
      <c r="CV87" s="13">
        <f t="shared" si="95"/>
        <v>61.39816832228076</v>
      </c>
      <c r="CW87" s="20">
        <f t="shared" si="67"/>
        <v>548.96387316130563</v>
      </c>
      <c r="CX87" s="59">
        <f t="shared" si="68"/>
        <v>842.29720649463889</v>
      </c>
      <c r="CY87" s="59">
        <f ca="1">AVERAGE(OFFSET($CX$3,0,0,'Données projet'!$E$13+1,1))-AVERAGE(OFFSET($H$3,0,0,'Données projet'!$E$13+1,1))</f>
        <v>279.49721661620544</v>
      </c>
      <c r="CZ87" s="59">
        <f t="shared" si="96"/>
        <v>275.18739333988754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41.368449192547097</v>
      </c>
      <c r="DG87" s="21">
        <f>EXP(-LN(2)/25)*DG86+(1-EXP(-LN(2)/25))/(LN(2)/25)*Calculateur!DB87*Calculateur!DD87*VLOOKUP('Données projet'!$B$13,Paramètres!$A$1:$I$89,3,0)*0.475*44/12</f>
        <v>6.7533266810181134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48.121775873565213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-1.1368683772161603E-13</v>
      </c>
      <c r="O88" s="13">
        <f>N88*VLOOKUP('Données projet'!$B$9,Paramètres!$A$1:$I$89,3,0)*VLOOKUP('Données projet'!$B$9,Paramètres!$A$1:$I$89,5,0)</f>
        <v>-6.3550942286383367E-14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278.5296012747549</v>
      </c>
      <c r="T88" s="59">
        <f t="shared" si="88"/>
        <v>370.55343097937077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125.12485369738698</v>
      </c>
      <c r="AA88" s="21">
        <f>EXP(-LN(2)/25)*AA87+(1-EXP(-LN(2)/25))/(LN(2)/25)*Calculateur!V88*Calculateur!X88*VLOOKUP('Données projet'!$B$9,Paramètres!$A$1:$I$89,3,0)*0.475*44/12</f>
        <v>25.075199306082663</v>
      </c>
      <c r="AB88" s="21">
        <f>EXP(-LN(2)/2)*AB87+(1-EXP(-LN(2)/2))/(LN(2)/2)*V88*Y88*VLOOKUP('Données projet'!$B$9,Paramètres!$A$1:$I$89,3,0)*0.475*44/12</f>
        <v>1.0425202637973777E-3</v>
      </c>
      <c r="AC88" s="22">
        <f t="shared" si="57"/>
        <v>150.20109552373344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12.700000000000003</v>
      </c>
      <c r="AI88" s="13">
        <f>IF('Données projet'!$A$62&gt;35,AI87+AH88-AQ87,IF(A88&lt;'Données projet'!$A$62,$AF$205^A88,IF(A88='Données projet'!$A$62,'Données projet'!$B$62,AI87+AH88-AQ87)))</f>
        <v>415.39999999999947</v>
      </c>
      <c r="AJ88" s="13">
        <f>AI88*VLOOKUP('Données projet'!$B$10,Paramètres!$A$1:$I$89,3,0)*VLOOKUP('Données projet'!$B$10,Paramètres!$A$1:$I$89,5,0)</f>
        <v>199.80739999999975</v>
      </c>
      <c r="AK88" s="13">
        <f t="shared" si="89"/>
        <v>49.701837701633764</v>
      </c>
      <c r="AL88" s="20">
        <f t="shared" si="58"/>
        <v>434.561922330345</v>
      </c>
      <c r="AM88" s="59">
        <f t="shared" si="59"/>
        <v>727.89525566367831</v>
      </c>
      <c r="AN88" s="59">
        <f ca="1">AVERAGE(OFFSET($AM$3,0,0,'Données projet'!$E$10+1,1))-AVERAGE(OFFSET($H$3,0,0,'Données projet'!$E$10+1,1))</f>
        <v>255.05550867459038</v>
      </c>
      <c r="AO88" s="59">
        <f t="shared" si="90"/>
        <v>119.28597757550295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78.319776770501591</v>
      </c>
      <c r="AV88" s="21">
        <f>EXP(-LN(2)/25)*AV87+(1-EXP(-LN(2)/25))/(LN(2)/25)*Calculateur!AQ88*Calculateur!AS88*VLOOKUP('Données projet'!$B$10,Paramètres!$A$1:$I$89,3,0)*0.475*44/12</f>
        <v>26.32162136630377</v>
      </c>
      <c r="AW88" s="21">
        <f>EXP(-LN(2)/2)*AW87+(1-EXP(-LN(2)/2))/(LN(2)/2)*AQ88*AT88*VLOOKUP('Données projet'!$B$10,Paramètres!$A$1:$I$89,3,0)*0.475*44/12</f>
        <v>3.4343111371643231</v>
      </c>
      <c r="AX88" s="21">
        <f t="shared" si="60"/>
        <v>108.07570927396969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>
        <f>VLOOKUP(A88,'Données projet'!$A$87:$I$107,2,0)</f>
        <v>378.83076923076919</v>
      </c>
      <c r="BB88" s="12">
        <f>VLOOKUP(A88,'Données projet'!$A$87:$I$107,9,0)</f>
        <v>9.5237179487179446</v>
      </c>
      <c r="BC88" s="12">
        <f t="array" ref="BC88">INDEX(BB:BB,MIN(IF(ISNUMBER(BB88:BB284),ROW(BB88:BB284),"")))</f>
        <v>9.5237179487179446</v>
      </c>
      <c r="BD88" s="12">
        <f>IF('Données projet'!$A$88&gt;35,BD87+BC88-BL87,IF(A88&lt;'Données projet'!$A$88,$BA$205^A88,IF(A88='Données projet'!$A$88,'Données projet'!$B$88,BD87+BC88-BL87)))</f>
        <v>378.83076923076965</v>
      </c>
      <c r="BE88" s="13">
        <f>BD88*VLOOKUP('Données projet'!$B$11,Paramètres!$A$1:$I$89,3,0)*VLOOKUP('Données projet'!$B$11,Paramètres!$A$1:$I$89,5,0)</f>
        <v>177.2928000000002</v>
      </c>
      <c r="BF88" s="13">
        <f t="shared" si="91"/>
        <v>44.719353857403945</v>
      </c>
      <c r="BG88" s="20">
        <f t="shared" si="61"/>
        <v>386.67116796831215</v>
      </c>
      <c r="BH88" s="59">
        <f t="shared" si="62"/>
        <v>680.0045013016454</v>
      </c>
      <c r="BI88" s="59">
        <f ca="1">AVERAGE(OFFSET($BH$3,0,0,'Données projet'!$E$11+1,1))-AVERAGE(OFFSET($H$3,0,0,'Données projet'!$E$11+1,1))</f>
        <v>181.79645720099597</v>
      </c>
      <c r="BJ88" s="59">
        <f t="shared" si="92"/>
        <v>120.20040029102233</v>
      </c>
      <c r="BK88" s="15">
        <f>IF(ISNA(VLOOKUP(A88,'Données projet'!$A$87:$I$107,3,0)),0,VLOOKUP(A88,'Données projet'!$A$87:$I$107,3,0))</f>
        <v>4</v>
      </c>
      <c r="BL88" s="15">
        <f>IF(ISNA(VLOOKUP(A88,'Données projet'!$A$87:$I$107,4,0)),0,VLOOKUP(A88,'Données projet'!$A$87:$I$107,4,0))</f>
        <v>85.207692307692298</v>
      </c>
      <c r="BM88" s="16">
        <f>IF(ISNA(VLOOKUP(A88,'Données projet'!$A$87:$I$107,5,0)),0%,VLOOKUP(A88,'Données projet'!$A$87:$I$107,5,0)*VLOOKUP('Données projet'!$B$11,Paramètres!$A$1:$I$89,7,0))</f>
        <v>0.38500000000000001</v>
      </c>
      <c r="BN88" s="16">
        <f>IF(ISNA(VLOOKUP(A88,'Données projet'!$A$87:$I$107,6,0)),0%,VLOOKUP(A88,'Données projet'!$A$87:$I$107,6,0)*VLOOKUP('Données projet'!$B$11,Paramètres!$A$1:$I$89,7,0))</f>
        <v>9.240000000000001E-2</v>
      </c>
      <c r="BO88" s="16">
        <f>IF(ISNA(VLOOKUP(A88,'Données projet'!$A$87:$I$107,7,0)),0%,VLOOKUP(A88,'Données projet'!$A$87:$I$107,7,0))</f>
        <v>0.13200000000000001</v>
      </c>
      <c r="BP88" s="21">
        <f>EXP(-LN(2)/35)*BP87+(1-EXP(-LN(2)/35))/(LN(2)/35)*BL88*BM88*VLOOKUP('Données projet'!$B$11,Paramètres!$A$1:$I$89,3,0)*0.475*44/12</f>
        <v>52.084974665932798</v>
      </c>
      <c r="BQ88" s="21">
        <f>EXP(-LN(2)/25)*BQ87+(1-EXP(-LN(2)/25))/(LN(2)/25)*Calculateur!BL88*Calculateur!BN88*VLOOKUP('Données projet'!$B$11,Paramètres!$A$1:$I$89,3,0)*0.475*44/12</f>
        <v>24.11219208534061</v>
      </c>
      <c r="BR88" s="21">
        <f>EXP(-LN(2)/2)*BR87+(1-EXP(-LN(2)/2))/(LN(2)/2)*BL88*BO88*VLOOKUP('Données projet'!$B$11,Paramètres!$A$1:$I$89,3,0)*0.475*44/12</f>
        <v>6.0640317926056841</v>
      </c>
      <c r="BS88" s="22">
        <f t="shared" si="63"/>
        <v>82.261198543879104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-3.979039320256561E-13</v>
      </c>
      <c r="BZ88" s="13">
        <f>BY88*VLOOKUP('Données projet'!$B$12,Paramètres!$A$1:$I$89,3,0)*VLOOKUP('Données projet'!$B$12,Paramètres!$A$1:$I$89,5,0)</f>
        <v>-2.379465513513424E-13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213.18424462765137</v>
      </c>
      <c r="CE88" s="59">
        <f t="shared" si="94"/>
        <v>158.77848520346532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128.83701058578902</v>
      </c>
      <c r="CL88" s="21">
        <f>EXP(-LN(2)/25)*CL87+(1-EXP(-LN(2)/25))/(LN(2)/25)*Calculateur!CG88*Calculateur!CI88*VLOOKUP('Données projet'!$B$12,Paramètres!$A$1:$I$89,3,0)*0.475*44/12</f>
        <v>29.785324179232457</v>
      </c>
      <c r="CM88" s="21">
        <f>EXP(-LN(2)/2)*CM87+(1-EXP(-LN(2)/2))/(LN(2)/2)*CG88*CJ88*VLOOKUP('Données projet'!$B$12,Paramètres!$A$1:$I$89,3,0)*0.475*44/12</f>
        <v>6.3924968652180985</v>
      </c>
      <c r="CN88" s="22">
        <f t="shared" si="66"/>
        <v>165.01483163023957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319</v>
      </c>
      <c r="CU88" s="17">
        <f>CT88*VLOOKUP('Données projet'!$B$13,Paramètres!$A$1:$I$89,3,0)*VLOOKUP('Données projet'!$B$13,Paramètres!$A$1:$I$89,5,0)</f>
        <v>253.79640000000001</v>
      </c>
      <c r="CV88" s="13">
        <f t="shared" si="95"/>
        <v>61.39816832228076</v>
      </c>
      <c r="CW88" s="20">
        <f t="shared" si="67"/>
        <v>548.96387316130563</v>
      </c>
      <c r="CX88" s="59">
        <f t="shared" si="68"/>
        <v>842.29720649463889</v>
      </c>
      <c r="CY88" s="59">
        <f ca="1">AVERAGE(OFFSET($CX$3,0,0,'Données projet'!$E$13+1,1))-AVERAGE(OFFSET($H$3,0,0,'Données projet'!$E$13+1,1))</f>
        <v>279.49721661620544</v>
      </c>
      <c r="CZ88" s="59">
        <f t="shared" si="96"/>
        <v>275.18739333988754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40.557239136143778</v>
      </c>
      <c r="DG88" s="21">
        <f>EXP(-LN(2)/25)*DG87+(1-EXP(-LN(2)/25))/(LN(2)/25)*Calculateur!DB88*Calculateur!DD88*VLOOKUP('Données projet'!$B$13,Paramètres!$A$1:$I$89,3,0)*0.475*44/12</f>
        <v>6.5686566077836579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47.125895743927437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-1.1368683772161603E-13</v>
      </c>
      <c r="O89" s="13">
        <f>N89*VLOOKUP('Données projet'!$B$9,Paramètres!$A$1:$I$89,3,0)*VLOOKUP('Données projet'!$B$9,Paramètres!$A$1:$I$89,5,0)</f>
        <v>-6.3550942286383367E-14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278.5296012747549</v>
      </c>
      <c r="T89" s="59">
        <f t="shared" si="88"/>
        <v>370.55343097937077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122.67123163500614</v>
      </c>
      <c r="AA89" s="21">
        <f>EXP(-LN(2)/25)*AA88+(1-EXP(-LN(2)/25))/(LN(2)/25)*Calculateur!V89*Calculateur!X89*VLOOKUP('Données projet'!$B$9,Paramètres!$A$1:$I$89,3,0)*0.475*44/12</f>
        <v>24.389516662410411</v>
      </c>
      <c r="AB89" s="21">
        <f>EXP(-LN(2)/2)*AB88+(1-EXP(-LN(2)/2))/(LN(2)/2)*V89*Y89*VLOOKUP('Données projet'!$B$9,Paramètres!$A$1:$I$89,3,0)*0.475*44/12</f>
        <v>7.3717314805551418E-4</v>
      </c>
      <c r="AC89" s="22">
        <f t="shared" si="57"/>
        <v>147.06148547056461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12.700000000000003</v>
      </c>
      <c r="AI89" s="13">
        <f>IF('Données projet'!$A$62&gt;35,AI88+AH89-AQ88,IF(A89&lt;'Données projet'!$A$62,$AF$205^A89,IF(A89='Données projet'!$A$62,'Données projet'!$B$62,AI88+AH89-AQ88)))</f>
        <v>428.09999999999945</v>
      </c>
      <c r="AJ89" s="13">
        <f>AI89*VLOOKUP('Données projet'!$B$10,Paramètres!$A$1:$I$89,3,0)*VLOOKUP('Données projet'!$B$10,Paramètres!$A$1:$I$89,5,0)</f>
        <v>205.91609999999974</v>
      </c>
      <c r="AK89" s="13">
        <f t="shared" si="89"/>
        <v>51.04213333388153</v>
      </c>
      <c r="AL89" s="20">
        <f t="shared" si="58"/>
        <v>447.53558972317654</v>
      </c>
      <c r="AM89" s="59">
        <f t="shared" si="59"/>
        <v>740.86892305650986</v>
      </c>
      <c r="AN89" s="59">
        <f ca="1">AVERAGE(OFFSET($AM$3,0,0,'Données projet'!$E$10+1,1))-AVERAGE(OFFSET($H$3,0,0,'Données projet'!$E$10+1,1))</f>
        <v>255.05550867459038</v>
      </c>
      <c r="AO89" s="59">
        <f t="shared" si="90"/>
        <v>119.28597757550295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76.783973718378959</v>
      </c>
      <c r="AV89" s="21">
        <f>EXP(-LN(2)/25)*AV88+(1-EXP(-LN(2)/25))/(LN(2)/25)*Calculateur!AQ89*Calculateur!AS89*VLOOKUP('Données projet'!$B$10,Paramètres!$A$1:$I$89,3,0)*0.475*44/12</f>
        <v>25.601855245848284</v>
      </c>
      <c r="AW89" s="21">
        <f>EXP(-LN(2)/2)*AW88+(1-EXP(-LN(2)/2))/(LN(2)/2)*AQ89*AT89*VLOOKUP('Données projet'!$B$10,Paramètres!$A$1:$I$89,3,0)*0.475*44/12</f>
        <v>2.4284246937933762</v>
      </c>
      <c r="AX89" s="21">
        <f t="shared" si="60"/>
        <v>104.81425365802062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8.7211538461538485</v>
      </c>
      <c r="BD89" s="12">
        <f>IF('Données projet'!$A$88&gt;35,BD88+BC89-BL88,IF(A89&lt;'Données projet'!$A$88,$BA$205^A89,IF(A89='Données projet'!$A$88,'Données projet'!$B$88,BD88+BC89-BL88)))</f>
        <v>302.34423076923122</v>
      </c>
      <c r="BE89" s="13">
        <f>BD89*VLOOKUP('Données projet'!$B$11,Paramètres!$A$1:$I$89,3,0)*VLOOKUP('Données projet'!$B$11,Paramètres!$A$1:$I$89,5,0)</f>
        <v>141.49710000000022</v>
      </c>
      <c r="BF89" s="13">
        <f t="shared" si="91"/>
        <v>36.639757477223711</v>
      </c>
      <c r="BG89" s="20">
        <f t="shared" si="61"/>
        <v>310.25502677283174</v>
      </c>
      <c r="BH89" s="59">
        <f t="shared" si="62"/>
        <v>603.58836010616506</v>
      </c>
      <c r="BI89" s="59">
        <f ca="1">AVERAGE(OFFSET($BH$3,0,0,'Données projet'!$E$11+1,1))-AVERAGE(OFFSET($H$3,0,0,'Données projet'!$E$11+1,1))</f>
        <v>181.79645720099597</v>
      </c>
      <c r="BJ89" s="59">
        <f t="shared" si="92"/>
        <v>120.20040029102233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51.063620081431502</v>
      </c>
      <c r="BQ89" s="21">
        <f>EXP(-LN(2)/25)*BQ88+(1-EXP(-LN(2)/25))/(LN(2)/25)*Calculateur!BL89*Calculateur!BN89*VLOOKUP('Données projet'!$B$11,Paramètres!$A$1:$I$89,3,0)*0.475*44/12</f>
        <v>23.452842924761899</v>
      </c>
      <c r="BR89" s="21">
        <f>EXP(-LN(2)/2)*BR88+(1-EXP(-LN(2)/2))/(LN(2)/2)*BL89*BO89*VLOOKUP('Données projet'!$B$11,Paramètres!$A$1:$I$89,3,0)*0.475*44/12</f>
        <v>4.2879180018822955</v>
      </c>
      <c r="BS89" s="22">
        <f t="shared" si="63"/>
        <v>78.804381008075694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-3.979039320256561E-13</v>
      </c>
      <c r="BZ89" s="13">
        <f>BY89*VLOOKUP('Données projet'!$B$12,Paramètres!$A$1:$I$89,3,0)*VLOOKUP('Données projet'!$B$12,Paramètres!$A$1:$I$89,5,0)</f>
        <v>-2.379465513513424E-13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213.18424462765137</v>
      </c>
      <c r="CE89" s="59">
        <f t="shared" si="94"/>
        <v>158.77848520346532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126.31059539101874</v>
      </c>
      <c r="CL89" s="21">
        <f>EXP(-LN(2)/25)*CL88+(1-EXP(-LN(2)/25))/(LN(2)/25)*Calculateur!CG89*Calculateur!CI89*VLOOKUP('Données projet'!$B$12,Paramètres!$A$1:$I$89,3,0)*0.475*44/12</f>
        <v>28.970842923209222</v>
      </c>
      <c r="CM89" s="21">
        <f>EXP(-LN(2)/2)*CM88+(1-EXP(-LN(2)/2))/(LN(2)/2)*CG89*CJ89*VLOOKUP('Données projet'!$B$12,Paramètres!$A$1:$I$89,3,0)*0.475*44/12</f>
        <v>4.5201778821094649</v>
      </c>
      <c r="CN89" s="22">
        <f t="shared" si="66"/>
        <v>159.80161619633742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319</v>
      </c>
      <c r="CU89" s="17">
        <f>CT89*VLOOKUP('Données projet'!$B$13,Paramètres!$A$1:$I$89,3,0)*VLOOKUP('Données projet'!$B$13,Paramètres!$A$1:$I$89,5,0)</f>
        <v>253.79640000000001</v>
      </c>
      <c r="CV89" s="13">
        <f t="shared" si="95"/>
        <v>61.39816832228076</v>
      </c>
      <c r="CW89" s="20">
        <f t="shared" si="67"/>
        <v>548.96387316130563</v>
      </c>
      <c r="CX89" s="59">
        <f t="shared" si="68"/>
        <v>842.29720649463889</v>
      </c>
      <c r="CY89" s="59">
        <f ca="1">AVERAGE(OFFSET($CX$3,0,0,'Données projet'!$E$13+1,1))-AVERAGE(OFFSET($H$3,0,0,'Données projet'!$E$13+1,1))</f>
        <v>279.49721661620544</v>
      </c>
      <c r="CZ89" s="59">
        <f t="shared" si="96"/>
        <v>275.18739333988754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39.761936414157248</v>
      </c>
      <c r="DG89" s="21">
        <f>EXP(-LN(2)/25)*DG88+(1-EXP(-LN(2)/25))/(LN(2)/25)*Calculateur!DB89*Calculateur!DD89*VLOOKUP('Données projet'!$B$13,Paramètres!$A$1:$I$89,3,0)*0.475*44/12</f>
        <v>6.3890363474131755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46.150972761570422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-1.1368683772161603E-13</v>
      </c>
      <c r="O90" s="13">
        <f>N90*VLOOKUP('Données projet'!$B$9,Paramètres!$A$1:$I$89,3,0)*VLOOKUP('Données projet'!$B$9,Paramètres!$A$1:$I$89,5,0)</f>
        <v>-6.3550942286383367E-14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278.5296012747549</v>
      </c>
      <c r="T90" s="59">
        <f t="shared" si="88"/>
        <v>370.55343097937077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120.26572360470689</v>
      </c>
      <c r="AA90" s="21">
        <f>EXP(-LN(2)/25)*AA89+(1-EXP(-LN(2)/25))/(LN(2)/25)*Calculateur!V90*Calculateur!X90*VLOOKUP('Données projet'!$B$9,Paramètres!$A$1:$I$89,3,0)*0.475*44/12</f>
        <v>23.72258404668786</v>
      </c>
      <c r="AB90" s="21">
        <f>EXP(-LN(2)/2)*AB89+(1-EXP(-LN(2)/2))/(LN(2)/2)*V90*Y90*VLOOKUP('Données projet'!$B$9,Paramètres!$A$1:$I$89,3,0)*0.475*44/12</f>
        <v>5.2126013189868886E-4</v>
      </c>
      <c r="AC90" s="22">
        <f t="shared" si="57"/>
        <v>143.98882891152667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12.700000000000003</v>
      </c>
      <c r="AI90" s="13">
        <f>IF('Données projet'!$A$62&gt;35,AI89+AH90-AQ89,IF(A90&lt;'Données projet'!$A$62,$AF$205^A90,IF(A90='Données projet'!$A$62,'Données projet'!$B$62,AI89+AH90-AQ89)))</f>
        <v>440.79999999999944</v>
      </c>
      <c r="AJ90" s="13">
        <f>AI90*VLOOKUP('Données projet'!$B$10,Paramètres!$A$1:$I$89,3,0)*VLOOKUP('Données projet'!$B$10,Paramètres!$A$1:$I$89,5,0)</f>
        <v>212.02479999999974</v>
      </c>
      <c r="AK90" s="13">
        <f t="shared" si="89"/>
        <v>52.377808032097157</v>
      </c>
      <c r="AL90" s="20">
        <f t="shared" si="58"/>
        <v>460.50120898923547</v>
      </c>
      <c r="AM90" s="59">
        <f t="shared" si="59"/>
        <v>753.83454232256872</v>
      </c>
      <c r="AN90" s="59">
        <f ca="1">AVERAGE(OFFSET($AM$3,0,0,'Données projet'!$E$10+1,1))-AVERAGE(OFFSET($H$3,0,0,'Données projet'!$E$10+1,1))</f>
        <v>255.05550867459038</v>
      </c>
      <c r="AO90" s="59">
        <f t="shared" si="90"/>
        <v>119.28597757550295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75.278286827361086</v>
      </c>
      <c r="AV90" s="21">
        <f>EXP(-LN(2)/25)*AV89+(1-EXP(-LN(2)/25))/(LN(2)/25)*Calculateur!AQ90*Calculateur!AS90*VLOOKUP('Données projet'!$B$10,Paramètres!$A$1:$I$89,3,0)*0.475*44/12</f>
        <v>24.90177116780751</v>
      </c>
      <c r="AW90" s="21">
        <f>EXP(-LN(2)/2)*AW89+(1-EXP(-LN(2)/2))/(LN(2)/2)*AQ90*AT90*VLOOKUP('Données projet'!$B$10,Paramètres!$A$1:$I$89,3,0)*0.475*44/12</f>
        <v>1.7171555685821616</v>
      </c>
      <c r="AX90" s="21">
        <f t="shared" si="60"/>
        <v>101.89721356375075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8.7211538461538485</v>
      </c>
      <c r="BD90" s="12">
        <f>IF('Données projet'!$A$88&gt;35,BD89+BC90-BL89,IF(A90&lt;'Données projet'!$A$88,$BA$205^A90,IF(A90='Données projet'!$A$88,'Données projet'!$B$88,BD89+BC90-BL89)))</f>
        <v>311.06538461538508</v>
      </c>
      <c r="BE90" s="13">
        <f>BD90*VLOOKUP('Données projet'!$B$11,Paramètres!$A$1:$I$89,3,0)*VLOOKUP('Données projet'!$B$11,Paramètres!$A$1:$I$89,5,0)</f>
        <v>145.57860000000022</v>
      </c>
      <c r="BF90" s="13">
        <f t="shared" si="91"/>
        <v>37.572063695955627</v>
      </c>
      <c r="BG90" s="20">
        <f t="shared" si="61"/>
        <v>318.98740593712301</v>
      </c>
      <c r="BH90" s="59">
        <f t="shared" si="62"/>
        <v>612.32073927045633</v>
      </c>
      <c r="BI90" s="59">
        <f ca="1">AVERAGE(OFFSET($BH$3,0,0,'Données projet'!$E$11+1,1))-AVERAGE(OFFSET($H$3,0,0,'Données projet'!$E$11+1,1))</f>
        <v>181.79645720099597</v>
      </c>
      <c r="BJ90" s="59">
        <f t="shared" si="92"/>
        <v>120.20040029102233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50.062293637367496</v>
      </c>
      <c r="BQ90" s="21">
        <f>EXP(-LN(2)/25)*BQ89+(1-EXP(-LN(2)/25))/(LN(2)/25)*Calculateur!BL90*Calculateur!BN90*VLOOKUP('Données projet'!$B$11,Paramètres!$A$1:$I$89,3,0)*0.475*44/12</f>
        <v>22.811523701652877</v>
      </c>
      <c r="BR90" s="21">
        <f>EXP(-LN(2)/2)*BR89+(1-EXP(-LN(2)/2))/(LN(2)/2)*BL90*BO90*VLOOKUP('Données projet'!$B$11,Paramètres!$A$1:$I$89,3,0)*0.475*44/12</f>
        <v>3.0320158963028425</v>
      </c>
      <c r="BS90" s="22">
        <f t="shared" si="63"/>
        <v>75.905833235323215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-3.979039320256561E-13</v>
      </c>
      <c r="BZ90" s="13">
        <f>BY90*VLOOKUP('Données projet'!$B$12,Paramètres!$A$1:$I$89,3,0)*VLOOKUP('Données projet'!$B$12,Paramètres!$A$1:$I$89,5,0)</f>
        <v>-2.379465513513424E-13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213.18424462765137</v>
      </c>
      <c r="CE90" s="59">
        <f t="shared" si="94"/>
        <v>158.77848520346532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123.8337216572568</v>
      </c>
      <c r="CL90" s="21">
        <f>EXP(-LN(2)/25)*CL89+(1-EXP(-LN(2)/25))/(LN(2)/25)*Calculateur!CG90*Calculateur!CI90*VLOOKUP('Données projet'!$B$12,Paramètres!$A$1:$I$89,3,0)*0.475*44/12</f>
        <v>28.178633699963651</v>
      </c>
      <c r="CM90" s="21">
        <f>EXP(-LN(2)/2)*CM89+(1-EXP(-LN(2)/2))/(LN(2)/2)*CG90*CJ90*VLOOKUP('Données projet'!$B$12,Paramètres!$A$1:$I$89,3,0)*0.475*44/12</f>
        <v>3.1962484326090492</v>
      </c>
      <c r="CN90" s="22">
        <f t="shared" si="66"/>
        <v>155.20860378982951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319</v>
      </c>
      <c r="CU90" s="17">
        <f>CT90*VLOOKUP('Données projet'!$B$13,Paramètres!$A$1:$I$89,3,0)*VLOOKUP('Données projet'!$B$13,Paramètres!$A$1:$I$89,5,0)</f>
        <v>253.79640000000001</v>
      </c>
      <c r="CV90" s="13">
        <f t="shared" si="95"/>
        <v>61.39816832228076</v>
      </c>
      <c r="CW90" s="20">
        <f t="shared" si="67"/>
        <v>548.96387316130563</v>
      </c>
      <c r="CX90" s="59">
        <f t="shared" si="68"/>
        <v>842.29720649463889</v>
      </c>
      <c r="CY90" s="59">
        <f ca="1">AVERAGE(OFFSET($CX$3,0,0,'Données projet'!$E$13+1,1))-AVERAGE(OFFSET($H$3,0,0,'Données projet'!$E$13+1,1))</f>
        <v>279.49721661620544</v>
      </c>
      <c r="CZ90" s="59">
        <f t="shared" si="96"/>
        <v>275.18739333988754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38.982229093462109</v>
      </c>
      <c r="DG90" s="21">
        <f>EXP(-LN(2)/25)*DG89+(1-EXP(-LN(2)/25))/(LN(2)/25)*Calculateur!DB90*Calculateur!DD90*VLOOKUP('Données projet'!$B$13,Paramètres!$A$1:$I$89,3,0)*0.475*44/12</f>
        <v>6.2143278125083432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45.196556905970453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-1.1368683772161603E-13</v>
      </c>
      <c r="O91" s="13">
        <f>N91*VLOOKUP('Données projet'!$B$9,Paramètres!$A$1:$I$89,3,0)*VLOOKUP('Données projet'!$B$9,Paramètres!$A$1:$I$89,5,0)</f>
        <v>-6.3550942286383367E-14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278.5296012747549</v>
      </c>
      <c r="T91" s="59">
        <f t="shared" si="88"/>
        <v>370.55343097937077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117.9073861196668</v>
      </c>
      <c r="AA91" s="21">
        <f>EXP(-LN(2)/25)*AA90+(1-EXP(-LN(2)/25))/(LN(2)/25)*Calculateur!V91*Calculateur!X91*VLOOKUP('Données projet'!$B$9,Paramètres!$A$1:$I$89,3,0)*0.475*44/12</f>
        <v>23.073888738414706</v>
      </c>
      <c r="AB91" s="21">
        <f>EXP(-LN(2)/2)*AB90+(1-EXP(-LN(2)/2))/(LN(2)/2)*V91*Y91*VLOOKUP('Données projet'!$B$9,Paramètres!$A$1:$I$89,3,0)*0.475*44/12</f>
        <v>3.6858657402775709E-4</v>
      </c>
      <c r="AC91" s="22">
        <f t="shared" si="57"/>
        <v>140.98164344465553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12.700000000000003</v>
      </c>
      <c r="AI91" s="13">
        <f>IF('Données projet'!$A$62&gt;35,AI90+AH91-AQ90,IF(A91&lt;'Données projet'!$A$62,$AF$205^A91,IF(A91='Données projet'!$A$62,'Données projet'!$B$62,AI90+AH91-AQ90)))</f>
        <v>453.49999999999943</v>
      </c>
      <c r="AJ91" s="13">
        <f>AI91*VLOOKUP('Données projet'!$B$10,Paramètres!$A$1:$I$89,3,0)*VLOOKUP('Données projet'!$B$10,Paramètres!$A$1:$I$89,5,0)</f>
        <v>218.13349999999974</v>
      </c>
      <c r="AK91" s="13">
        <f t="shared" si="89"/>
        <v>53.709010220746023</v>
      </c>
      <c r="AL91" s="20">
        <f t="shared" si="58"/>
        <v>473.45903863446557</v>
      </c>
      <c r="AM91" s="59">
        <f t="shared" si="59"/>
        <v>766.79237196779889</v>
      </c>
      <c r="AN91" s="59">
        <f ca="1">AVERAGE(OFFSET($AM$3,0,0,'Données projet'!$E$10+1,1))-AVERAGE(OFFSET($H$3,0,0,'Données projet'!$E$10+1,1))</f>
        <v>255.05550867459038</v>
      </c>
      <c r="AO91" s="59">
        <f t="shared" si="90"/>
        <v>119.28597757550295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73.802125537897751</v>
      </c>
      <c r="AV91" s="21">
        <f>EXP(-LN(2)/25)*AV90+(1-EXP(-LN(2)/25))/(LN(2)/25)*Calculateur!AQ91*Calculateur!AS91*VLOOKUP('Données projet'!$B$10,Paramètres!$A$1:$I$89,3,0)*0.475*44/12</f>
        <v>24.220830925696582</v>
      </c>
      <c r="AW91" s="21">
        <f>EXP(-LN(2)/2)*AW90+(1-EXP(-LN(2)/2))/(LN(2)/2)*AQ91*AT91*VLOOKUP('Données projet'!$B$10,Paramètres!$A$1:$I$89,3,0)*0.475*44/12</f>
        <v>1.2142123468966881</v>
      </c>
      <c r="AX91" s="21">
        <f t="shared" si="60"/>
        <v>99.237168810491028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8.7211538461538485</v>
      </c>
      <c r="BD91" s="12">
        <f>IF('Données projet'!$A$88&gt;35,BD90+BC91-BL90,IF(A91&lt;'Données projet'!$A$88,$BA$205^A91,IF(A91='Données projet'!$A$88,'Données projet'!$B$88,BD90+BC91-BL90)))</f>
        <v>319.78653846153895</v>
      </c>
      <c r="BE91" s="13">
        <f>BD91*VLOOKUP('Données projet'!$B$11,Paramètres!$A$1:$I$89,3,0)*VLOOKUP('Données projet'!$B$11,Paramètres!$A$1:$I$89,5,0)</f>
        <v>149.66010000000023</v>
      </c>
      <c r="BF91" s="13">
        <f t="shared" si="91"/>
        <v>38.501331930603563</v>
      </c>
      <c r="BG91" s="20">
        <f t="shared" si="61"/>
        <v>327.71449394580162</v>
      </c>
      <c r="BH91" s="59">
        <f t="shared" si="62"/>
        <v>621.04782727913494</v>
      </c>
      <c r="BI91" s="59">
        <f ca="1">AVERAGE(OFFSET($BH$3,0,0,'Données projet'!$E$11+1,1))-AVERAGE(OFFSET($H$3,0,0,'Données projet'!$E$11+1,1))</f>
        <v>181.79645720099597</v>
      </c>
      <c r="BJ91" s="59">
        <f t="shared" si="92"/>
        <v>120.20040029102233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49.080602594122759</v>
      </c>
      <c r="BQ91" s="21">
        <f>EXP(-LN(2)/25)*BQ90+(1-EXP(-LN(2)/25))/(LN(2)/25)*Calculateur!BL91*Calculateur!BN91*VLOOKUP('Données projet'!$B$11,Paramètres!$A$1:$I$89,3,0)*0.475*44/12</f>
        <v>22.187741386425284</v>
      </c>
      <c r="BR91" s="21">
        <f>EXP(-LN(2)/2)*BR90+(1-EXP(-LN(2)/2))/(LN(2)/2)*BL91*BO91*VLOOKUP('Données projet'!$B$11,Paramètres!$A$1:$I$89,3,0)*0.475*44/12</f>
        <v>2.1439590009411478</v>
      </c>
      <c r="BS91" s="22">
        <f t="shared" si="63"/>
        <v>73.412302981489191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-3.979039320256561E-13</v>
      </c>
      <c r="BZ91" s="13">
        <f>BY91*VLOOKUP('Données projet'!$B$12,Paramètres!$A$1:$I$89,3,0)*VLOOKUP('Données projet'!$B$12,Paramètres!$A$1:$I$89,5,0)</f>
        <v>-2.379465513513424E-13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213.18424462765137</v>
      </c>
      <c r="CE91" s="59">
        <f t="shared" si="94"/>
        <v>158.77848520346532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121.40541790667012</v>
      </c>
      <c r="CL91" s="21">
        <f>EXP(-LN(2)/25)*CL90+(1-EXP(-LN(2)/25))/(LN(2)/25)*Calculateur!CG91*Calculateur!CI91*VLOOKUP('Données projet'!$B$12,Paramètres!$A$1:$I$89,3,0)*0.475*44/12</f>
        <v>27.4080874795882</v>
      </c>
      <c r="CM91" s="21">
        <f>EXP(-LN(2)/2)*CM90+(1-EXP(-LN(2)/2))/(LN(2)/2)*CG91*CJ91*VLOOKUP('Données projet'!$B$12,Paramètres!$A$1:$I$89,3,0)*0.475*44/12</f>
        <v>2.2600889410547325</v>
      </c>
      <c r="CN91" s="22">
        <f t="shared" si="66"/>
        <v>151.07359432731306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319</v>
      </c>
      <c r="CU91" s="17">
        <f>CT91*VLOOKUP('Données projet'!$B$13,Paramètres!$A$1:$I$89,3,0)*VLOOKUP('Données projet'!$B$13,Paramètres!$A$1:$I$89,5,0)</f>
        <v>253.79640000000001</v>
      </c>
      <c r="CV91" s="13">
        <f t="shared" si="95"/>
        <v>61.39816832228076</v>
      </c>
      <c r="CW91" s="20">
        <f t="shared" si="67"/>
        <v>548.96387316130563</v>
      </c>
      <c r="CX91" s="59">
        <f t="shared" si="68"/>
        <v>842.29720649463889</v>
      </c>
      <c r="CY91" s="59">
        <f ca="1">AVERAGE(OFFSET($CX$3,0,0,'Données projet'!$E$13+1,1))-AVERAGE(OFFSET($H$3,0,0,'Données projet'!$E$13+1,1))</f>
        <v>279.49721661620544</v>
      </c>
      <c r="CZ91" s="59">
        <f t="shared" si="96"/>
        <v>275.18739333988754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38.217811357751302</v>
      </c>
      <c r="DG91" s="21">
        <f>EXP(-LN(2)/25)*DG90+(1-EXP(-LN(2)/25))/(LN(2)/25)*Calculateur!DB91*Calculateur!DD91*VLOOKUP('Données projet'!$B$13,Paramètres!$A$1:$I$89,3,0)*0.475*44/12</f>
        <v>6.0443966916780063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44.262208049429304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-1.1368683772161603E-13</v>
      </c>
      <c r="O92" s="13">
        <f>N92*VLOOKUP('Données projet'!$B$9,Paramètres!$A$1:$I$89,3,0)*VLOOKUP('Données projet'!$B$9,Paramètres!$A$1:$I$89,5,0)</f>
        <v>-6.3550942286383367E-14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278.5296012747549</v>
      </c>
      <c r="T92" s="59">
        <f t="shared" si="88"/>
        <v>370.55343097937077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115.59529419426451</v>
      </c>
      <c r="AA92" s="21">
        <f>EXP(-LN(2)/25)*AA91+(1-EXP(-LN(2)/25))/(LN(2)/25)*Calculateur!V92*Calculateur!X92*VLOOKUP('Données projet'!$B$9,Paramètres!$A$1:$I$89,3,0)*0.475*44/12</f>
        <v>22.442932037459684</v>
      </c>
      <c r="AB92" s="21">
        <f>EXP(-LN(2)/2)*AB91+(1-EXP(-LN(2)/2))/(LN(2)/2)*V92*Y92*VLOOKUP('Données projet'!$B$9,Paramètres!$A$1:$I$89,3,0)*0.475*44/12</f>
        <v>2.6063006594934443E-4</v>
      </c>
      <c r="AC92" s="22">
        <f t="shared" si="57"/>
        <v>138.03848686179015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12.700000000000003</v>
      </c>
      <c r="AI92" s="13">
        <f>IF('Données projet'!$A$62&gt;35,AI91+AH92-AQ91,IF(A92&lt;'Données projet'!$A$62,$AF$205^A92,IF(A92='Données projet'!$A$62,'Données projet'!$B$62,AI91+AH92-AQ91)))</f>
        <v>466.19999999999942</v>
      </c>
      <c r="AJ92" s="13">
        <f>AI92*VLOOKUP('Données projet'!$B$10,Paramètres!$A$1:$I$89,3,0)*VLOOKUP('Données projet'!$B$10,Paramètres!$A$1:$I$89,5,0)</f>
        <v>224.24219999999971</v>
      </c>
      <c r="AK92" s="13">
        <f t="shared" si="89"/>
        <v>55.035879538242419</v>
      </c>
      <c r="AL92" s="20">
        <f t="shared" si="58"/>
        <v>486.40932186243845</v>
      </c>
      <c r="AM92" s="59">
        <f t="shared" si="59"/>
        <v>779.7426551957717</v>
      </c>
      <c r="AN92" s="59">
        <f ca="1">AVERAGE(OFFSET($AM$3,0,0,'Données projet'!$E$10+1,1))-AVERAGE(OFFSET($H$3,0,0,'Données projet'!$E$10+1,1))</f>
        <v>255.05550867459038</v>
      </c>
      <c r="AO92" s="59">
        <f t="shared" si="90"/>
        <v>119.28597757550295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72.354910870951301</v>
      </c>
      <c r="AV92" s="21">
        <f>EXP(-LN(2)/25)*AV91+(1-EXP(-LN(2)/25))/(LN(2)/25)*Calculateur!AQ92*Calculateur!AS92*VLOOKUP('Données projet'!$B$10,Paramètres!$A$1:$I$89,3,0)*0.475*44/12</f>
        <v>23.55851103031527</v>
      </c>
      <c r="AW92" s="21">
        <f>EXP(-LN(2)/2)*AW91+(1-EXP(-LN(2)/2))/(LN(2)/2)*AQ92*AT92*VLOOKUP('Données projet'!$B$10,Paramètres!$A$1:$I$89,3,0)*0.475*44/12</f>
        <v>0.85857778429108078</v>
      </c>
      <c r="AX92" s="21">
        <f t="shared" si="60"/>
        <v>96.77199968555766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8.7211538461538485</v>
      </c>
      <c r="BD92" s="12">
        <f>IF('Données projet'!$A$88&gt;35,BD91+BC92-BL91,IF(A92&lt;'Données projet'!$A$88,$BA$205^A92,IF(A92='Données projet'!$A$88,'Données projet'!$B$88,BD91+BC92-BL91)))</f>
        <v>328.50769230769282</v>
      </c>
      <c r="BE92" s="13">
        <f>BD92*VLOOKUP('Données projet'!$B$11,Paramètres!$A$1:$I$89,3,0)*VLOOKUP('Données projet'!$B$11,Paramètres!$A$1:$I$89,5,0)</f>
        <v>153.74160000000023</v>
      </c>
      <c r="BF92" s="13">
        <f t="shared" si="91"/>
        <v>39.427654552879716</v>
      </c>
      <c r="BG92" s="20">
        <f t="shared" si="61"/>
        <v>336.4364516795992</v>
      </c>
      <c r="BH92" s="59">
        <f t="shared" si="62"/>
        <v>629.76978501293252</v>
      </c>
      <c r="BI92" s="59">
        <f ca="1">AVERAGE(OFFSET($BH$3,0,0,'Données projet'!$E$11+1,1))-AVERAGE(OFFSET($H$3,0,0,'Données projet'!$E$11+1,1))</f>
        <v>181.79645720099597</v>
      </c>
      <c r="BJ92" s="59">
        <f t="shared" si="92"/>
        <v>120.20040029102233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48.118161913463638</v>
      </c>
      <c r="BQ92" s="21">
        <f>EXP(-LN(2)/25)*BQ91+(1-EXP(-LN(2)/25))/(LN(2)/25)*Calculateur!BL92*Calculateur!BN92*VLOOKUP('Données projet'!$B$11,Paramètres!$A$1:$I$89,3,0)*0.475*44/12</f>
        <v>21.581016431410877</v>
      </c>
      <c r="BR92" s="21">
        <f>EXP(-LN(2)/2)*BR91+(1-EXP(-LN(2)/2))/(LN(2)/2)*BL92*BO92*VLOOKUP('Données projet'!$B$11,Paramètres!$A$1:$I$89,3,0)*0.475*44/12</f>
        <v>1.5160079481514213</v>
      </c>
      <c r="BS92" s="22">
        <f t="shared" si="63"/>
        <v>71.215186293025937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-3.979039320256561E-13</v>
      </c>
      <c r="BZ92" s="13">
        <f>BY92*VLOOKUP('Données projet'!$B$12,Paramètres!$A$1:$I$89,3,0)*VLOOKUP('Données projet'!$B$12,Paramètres!$A$1:$I$89,5,0)</f>
        <v>-2.379465513513424E-13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213.18424462765137</v>
      </c>
      <c r="CE92" s="59">
        <f t="shared" si="94"/>
        <v>158.77848520346532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119.02473171151341</v>
      </c>
      <c r="CL92" s="21">
        <f>EXP(-LN(2)/25)*CL91+(1-EXP(-LN(2)/25))/(LN(2)/25)*Calculateur!CG92*Calculateur!CI92*VLOOKUP('Données projet'!$B$12,Paramètres!$A$1:$I$89,3,0)*0.475*44/12</f>
        <v>26.658611886130181</v>
      </c>
      <c r="CM92" s="21">
        <f>EXP(-LN(2)/2)*CM91+(1-EXP(-LN(2)/2))/(LN(2)/2)*CG92*CJ92*VLOOKUP('Données projet'!$B$12,Paramètres!$A$1:$I$89,3,0)*0.475*44/12</f>
        <v>1.5981242163045246</v>
      </c>
      <c r="CN92" s="22">
        <f t="shared" si="66"/>
        <v>147.2814678139481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319</v>
      </c>
      <c r="CU92" s="17">
        <f>CT92*VLOOKUP('Données projet'!$B$13,Paramètres!$A$1:$I$89,3,0)*VLOOKUP('Données projet'!$B$13,Paramètres!$A$1:$I$89,5,0)</f>
        <v>253.79640000000001</v>
      </c>
      <c r="CV92" s="13">
        <f t="shared" si="95"/>
        <v>61.39816832228076</v>
      </c>
      <c r="CW92" s="20">
        <f t="shared" si="67"/>
        <v>548.96387316130563</v>
      </c>
      <c r="CX92" s="59">
        <f t="shared" si="68"/>
        <v>842.29720649463889</v>
      </c>
      <c r="CY92" s="59">
        <f ca="1">AVERAGE(OFFSET($CX$3,0,0,'Données projet'!$E$13+1,1))-AVERAGE(OFFSET($H$3,0,0,'Données projet'!$E$13+1,1))</f>
        <v>279.49721661620544</v>
      </c>
      <c r="CZ92" s="59">
        <f t="shared" si="96"/>
        <v>275.18739333988754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37.468383387589</v>
      </c>
      <c r="DG92" s="21">
        <f>EXP(-LN(2)/25)*DG91+(1-EXP(-LN(2)/25))/(LN(2)/25)*Calculateur!DB92*Calculateur!DD92*VLOOKUP('Données projet'!$B$13,Paramètres!$A$1:$I$89,3,0)*0.475*44/12</f>
        <v>5.8791123462830637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43.347495733872066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-1.1368683772161603E-13</v>
      </c>
      <c r="O93" s="13">
        <f>N93*VLOOKUP('Données projet'!$B$9,Paramètres!$A$1:$I$89,3,0)*VLOOKUP('Données projet'!$B$9,Paramètres!$A$1:$I$89,5,0)</f>
        <v>-6.3550942286383367E-14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278.5296012747549</v>
      </c>
      <c r="T93" s="59">
        <f t="shared" si="88"/>
        <v>370.55343097937077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113.32854098128254</v>
      </c>
      <c r="AA93" s="21">
        <f>EXP(-LN(2)/25)*AA92+(1-EXP(-LN(2)/25))/(LN(2)/25)*Calculateur!V93*Calculateur!X93*VLOOKUP('Données projet'!$B$9,Paramètres!$A$1:$I$89,3,0)*0.475*44/12</f>
        <v>21.829228880672847</v>
      </c>
      <c r="AB93" s="21">
        <f>EXP(-LN(2)/2)*AB92+(1-EXP(-LN(2)/2))/(LN(2)/2)*V93*Y93*VLOOKUP('Données projet'!$B$9,Paramètres!$A$1:$I$89,3,0)*0.475*44/12</f>
        <v>1.8429328701387854E-4</v>
      </c>
      <c r="AC93" s="22">
        <f t="shared" si="57"/>
        <v>135.15795415524241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12.700000000000003</v>
      </c>
      <c r="AI93" s="13">
        <f>IF('Données projet'!$A$62&gt;35,AI92+AH93-AQ92,IF(A93&lt;'Données projet'!$A$62,$AF$205^A93,IF(A93='Données projet'!$A$62,'Données projet'!$B$62,AI92+AH93-AQ92)))</f>
        <v>478.89999999999941</v>
      </c>
      <c r="AJ93" s="13">
        <f>AI93*VLOOKUP('Données projet'!$B$10,Paramètres!$A$1:$I$89,3,0)*VLOOKUP('Données projet'!$B$10,Paramètres!$A$1:$I$89,5,0)</f>
        <v>230.35089999999974</v>
      </c>
      <c r="AK93" s="13">
        <f t="shared" si="89"/>
        <v>56.358547582037339</v>
      </c>
      <c r="AL93" s="20">
        <f t="shared" si="58"/>
        <v>499.35228787204784</v>
      </c>
      <c r="AM93" s="59">
        <f t="shared" si="59"/>
        <v>792.68562120538115</v>
      </c>
      <c r="AN93" s="59">
        <f ca="1">AVERAGE(OFFSET($AM$3,0,0,'Données projet'!$E$10+1,1))-AVERAGE(OFFSET($H$3,0,0,'Données projet'!$E$10+1,1))</f>
        <v>255.05550867459038</v>
      </c>
      <c r="AO93" s="59">
        <f t="shared" si="90"/>
        <v>119.28597757550295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70.936075200909897</v>
      </c>
      <c r="AV93" s="21">
        <f>EXP(-LN(2)/25)*AV92+(1-EXP(-LN(2)/25))/(LN(2)/25)*Calculateur!AQ93*Calculateur!AS93*VLOOKUP('Données projet'!$B$10,Paramètres!$A$1:$I$89,3,0)*0.475*44/12</f>
        <v>22.914302307303046</v>
      </c>
      <c r="AW93" s="21">
        <f>EXP(-LN(2)/2)*AW92+(1-EXP(-LN(2)/2))/(LN(2)/2)*AQ93*AT93*VLOOKUP('Données projet'!$B$10,Paramètres!$A$1:$I$89,3,0)*0.475*44/12</f>
        <v>0.60710617344834406</v>
      </c>
      <c r="AX93" s="21">
        <f t="shared" si="60"/>
        <v>94.457483681661287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8.7211538461538485</v>
      </c>
      <c r="BD93" s="12">
        <f>IF('Données projet'!$A$88&gt;35,BD92+BC93-BL92,IF(A93&lt;'Données projet'!$A$88,$BA$205^A93,IF(A93='Données projet'!$A$88,'Données projet'!$B$88,BD92+BC93-BL92)))</f>
        <v>337.22884615384669</v>
      </c>
      <c r="BE93" s="13">
        <f>BD93*VLOOKUP('Données projet'!$B$11,Paramètres!$A$1:$I$89,3,0)*VLOOKUP('Données projet'!$B$11,Paramètres!$A$1:$I$89,5,0)</f>
        <v>157.82310000000024</v>
      </c>
      <c r="BF93" s="13">
        <f t="shared" si="91"/>
        <v>40.351118750694802</v>
      </c>
      <c r="BG93" s="20">
        <f t="shared" si="61"/>
        <v>345.15343099079388</v>
      </c>
      <c r="BH93" s="59">
        <f t="shared" si="62"/>
        <v>638.48676432412719</v>
      </c>
      <c r="BI93" s="59">
        <f ca="1">AVERAGE(OFFSET($BH$3,0,0,'Données projet'!$E$11+1,1))-AVERAGE(OFFSET($H$3,0,0,'Données projet'!$E$11+1,1))</f>
        <v>181.79645720099597</v>
      </c>
      <c r="BJ93" s="59">
        <f t="shared" si="92"/>
        <v>120.20040029102233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47.174594107521393</v>
      </c>
      <c r="BQ93" s="21">
        <f>EXP(-LN(2)/25)*BQ92+(1-EXP(-LN(2)/25))/(LN(2)/25)*Calculateur!BL93*Calculateur!BN93*VLOOKUP('Données projet'!$B$11,Paramètres!$A$1:$I$89,3,0)*0.475*44/12</f>
        <v>20.990882402197617</v>
      </c>
      <c r="BR93" s="21">
        <f>EXP(-LN(2)/2)*BR92+(1-EXP(-LN(2)/2))/(LN(2)/2)*BL93*BO93*VLOOKUP('Données projet'!$B$11,Paramètres!$A$1:$I$89,3,0)*0.475*44/12</f>
        <v>1.0719795004705739</v>
      </c>
      <c r="BS93" s="22">
        <f t="shared" si="63"/>
        <v>69.23745601018959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-3.979039320256561E-13</v>
      </c>
      <c r="BZ93" s="13">
        <f>BY93*VLOOKUP('Données projet'!$B$12,Paramètres!$A$1:$I$89,3,0)*VLOOKUP('Données projet'!$B$12,Paramètres!$A$1:$I$89,5,0)</f>
        <v>-2.379465513513424E-13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213.18424462765137</v>
      </c>
      <c r="CE93" s="59">
        <f t="shared" si="94"/>
        <v>158.77848520346532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116.69072932056852</v>
      </c>
      <c r="CL93" s="21">
        <f>EXP(-LN(2)/25)*CL92+(1-EXP(-LN(2)/25))/(LN(2)/25)*Calculateur!CG93*Calculateur!CI93*VLOOKUP('Données projet'!$B$12,Paramètres!$A$1:$I$89,3,0)*0.475*44/12</f>
        <v>25.929630742188483</v>
      </c>
      <c r="CM93" s="21">
        <f>EXP(-LN(2)/2)*CM92+(1-EXP(-LN(2)/2))/(LN(2)/2)*CG93*CJ93*VLOOKUP('Données projet'!$B$12,Paramètres!$A$1:$I$89,3,0)*0.475*44/12</f>
        <v>1.1300444705273662</v>
      </c>
      <c r="CN93" s="22">
        <f t="shared" si="66"/>
        <v>143.75040453328438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319</v>
      </c>
      <c r="CU93" s="17">
        <f>CT93*VLOOKUP('Données projet'!$B$13,Paramètres!$A$1:$I$89,3,0)*VLOOKUP('Données projet'!$B$13,Paramètres!$A$1:$I$89,5,0)</f>
        <v>253.79640000000001</v>
      </c>
      <c r="CV93" s="13">
        <f t="shared" si="95"/>
        <v>61.39816832228076</v>
      </c>
      <c r="CW93" s="20">
        <f t="shared" si="67"/>
        <v>548.96387316130563</v>
      </c>
      <c r="CX93" s="59">
        <f t="shared" si="68"/>
        <v>842.29720649463889</v>
      </c>
      <c r="CY93" s="59">
        <f ca="1">AVERAGE(OFFSET($CX$3,0,0,'Données projet'!$E$13+1,1))-AVERAGE(OFFSET($H$3,0,0,'Données projet'!$E$13+1,1))</f>
        <v>279.49721661620544</v>
      </c>
      <c r="CZ93" s="59">
        <f t="shared" si="96"/>
        <v>275.18739333988754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36.733651242815654</v>
      </c>
      <c r="DG93" s="21">
        <f>EXP(-LN(2)/25)*DG92+(1-EXP(-LN(2)/25))/(LN(2)/25)*Calculateur!DB93*Calculateur!DD93*VLOOKUP('Données projet'!$B$13,Paramètres!$A$1:$I$89,3,0)*0.475*44/12</f>
        <v>5.7183477100048723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42.451998952820524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-1.1368683772161603E-13</v>
      </c>
      <c r="O94" s="13">
        <f>N94*VLOOKUP('Données projet'!$B$9,Paramètres!$A$1:$I$89,3,0)*VLOOKUP('Données projet'!$B$9,Paramètres!$A$1:$I$89,5,0)</f>
        <v>-6.3550942286383367E-14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278.5296012747549</v>
      </c>
      <c r="T94" s="59">
        <f t="shared" si="88"/>
        <v>370.55343097937077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111.1062374162242</v>
      </c>
      <c r="AA94" s="21">
        <f>EXP(-LN(2)/25)*AA93+(1-EXP(-LN(2)/25))/(LN(2)/25)*Calculateur!V94*Calculateur!X94*VLOOKUP('Données projet'!$B$9,Paramètres!$A$1:$I$89,3,0)*0.475*44/12</f>
        <v>21.232307468981592</v>
      </c>
      <c r="AB94" s="21">
        <f>EXP(-LN(2)/2)*AB93+(1-EXP(-LN(2)/2))/(LN(2)/2)*V94*Y94*VLOOKUP('Données projet'!$B$9,Paramètres!$A$1:$I$89,3,0)*0.475*44/12</f>
        <v>1.3031503297467222E-4</v>
      </c>
      <c r="AC94" s="22">
        <f t="shared" si="57"/>
        <v>132.33867520023878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>
        <f>VLOOKUP(A94,'Données projet'!$A$61:$I$81,2,0)</f>
        <v>491.6</v>
      </c>
      <c r="AG94" s="12">
        <f>VLOOKUP(A94,'Données projet'!$A$61:$I$81,9,0)</f>
        <v>12.700000000000003</v>
      </c>
      <c r="AH94" s="12">
        <f t="array" ref="AH94">INDEX(AG:AG,MIN(IF(ISNUMBER(AG94:AG290),ROW(AG94:AG290),"")))</f>
        <v>12.700000000000003</v>
      </c>
      <c r="AI94" s="13">
        <f>IF('Données projet'!$A$62&gt;35,AI93+AH94-AQ93,IF(A94&lt;'Données projet'!$A$62,$AF$205^A94,IF(A94='Données projet'!$A$62,'Données projet'!$B$62,AI93+AH94-AQ93)))</f>
        <v>491.5999999999994</v>
      </c>
      <c r="AJ94" s="13">
        <f>AI94*VLOOKUP('Données projet'!$B$10,Paramètres!$A$1:$I$89,3,0)*VLOOKUP('Données projet'!$B$10,Paramètres!$A$1:$I$89,5,0)</f>
        <v>236.45959999999971</v>
      </c>
      <c r="AK94" s="13">
        <f t="shared" si="89"/>
        <v>57.677138572447099</v>
      </c>
      <c r="AL94" s="20">
        <f t="shared" si="58"/>
        <v>512.2881530136782</v>
      </c>
      <c r="AM94" s="59">
        <f t="shared" si="59"/>
        <v>805.62148634701157</v>
      </c>
      <c r="AN94" s="59">
        <f ca="1">AVERAGE(OFFSET($AM$3,0,0,'Données projet'!$E$10+1,1))-AVERAGE(OFFSET($H$3,0,0,'Données projet'!$E$10+1,1))</f>
        <v>255.05550867459038</v>
      </c>
      <c r="AO94" s="59">
        <f t="shared" si="90"/>
        <v>119.28597757550295</v>
      </c>
      <c r="AP94" s="15">
        <f>IF(ISNA(VLOOKUP(A94,'Données projet'!$A$61:$I$81,3,0)),0,VLOOKUP(A94,'Données projet'!$A$61:$I$81,3,0))</f>
        <v>7</v>
      </c>
      <c r="AQ94" s="15">
        <f>IF(ISNA(VLOOKUP(A94,'Données projet'!$A$61:$I$81,4,0)),0,VLOOKUP(A94,'Données projet'!$A$61:$I$81,4,0))</f>
        <v>87.9</v>
      </c>
      <c r="AR94" s="16">
        <f>IF(ISNA(VLOOKUP(A94,'Données projet'!$A$61:$I$81,5,0)),0%,VLOOKUP(A94,'Données projet'!$A$61:$I$81,5,0)*VLOOKUP('Données projet'!$B$10,Paramètres!$A$1:$I$89,7,0))</f>
        <v>0.38500000000000001</v>
      </c>
      <c r="AS94" s="16">
        <f>IF(ISNA(VLOOKUP(A94,'Données projet'!$A$61:$I$81,6,0)),0%,VLOOKUP(A94,'Données projet'!$A$61:$I$81,6,0)*VLOOKUP('Données projet'!$B$10,Paramètres!$A$1:$I$89,7,0))</f>
        <v>9.3500000000000014E-2</v>
      </c>
      <c r="AT94" s="16">
        <f>IF(ISNA(VLOOKUP(A94,'Données projet'!$A$61:$I$81,7,0)),0%,VLOOKUP(A94,'Données projet'!$A$61:$I$81,7,0))</f>
        <v>0.13</v>
      </c>
      <c r="AU94" s="21">
        <f>EXP(-LN(2)/35)*AU93+(1-EXP(-LN(2)/35))/(LN(2)/35)*AQ94*AR94*VLOOKUP('Données projet'!$B$10,Paramètres!$A$1:$I$89,3,0)*0.475*44/12</f>
        <v>91.138561852975911</v>
      </c>
      <c r="AV94" s="21">
        <f>EXP(-LN(2)/25)*AV93+(1-EXP(-LN(2)/25))/(LN(2)/25)*Calculateur!AQ94*Calculateur!AS94*VLOOKUP('Données projet'!$B$10,Paramètres!$A$1:$I$89,3,0)*0.475*44/12</f>
        <v>27.511197015968477</v>
      </c>
      <c r="AW94" s="21">
        <f>EXP(-LN(2)/2)*AW93+(1-EXP(-LN(2)/2))/(LN(2)/2)*AQ94*AT94*VLOOKUP('Données projet'!$B$10,Paramètres!$A$1:$I$89,3,0)*0.475*44/12</f>
        <v>6.6524757732501385</v>
      </c>
      <c r="AX94" s="21">
        <f t="shared" si="60"/>
        <v>125.30223464219452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8.7211538461538485</v>
      </c>
      <c r="BD94" s="12">
        <f>IF('Données projet'!$A$88&gt;35,BD93+BC94-BL93,IF(A94&lt;'Données projet'!$A$88,$BA$205^A94,IF(A94='Données projet'!$A$88,'Données projet'!$B$88,BD93+BC94-BL93)))</f>
        <v>345.95000000000056</v>
      </c>
      <c r="BE94" s="13">
        <f>BD94*VLOOKUP('Données projet'!$B$11,Paramètres!$A$1:$I$89,3,0)*VLOOKUP('Données projet'!$B$11,Paramètres!$A$1:$I$89,5,0)</f>
        <v>161.90460000000027</v>
      </c>
      <c r="BF94" s="13">
        <f t="shared" si="91"/>
        <v>41.27180694550065</v>
      </c>
      <c r="BG94" s="20">
        <f t="shared" si="61"/>
        <v>353.86557543008075</v>
      </c>
      <c r="BH94" s="59">
        <f t="shared" si="62"/>
        <v>647.19890876341401</v>
      </c>
      <c r="BI94" s="59">
        <f ca="1">AVERAGE(OFFSET($BH$3,0,0,'Données projet'!$E$11+1,1))-AVERAGE(OFFSET($H$3,0,0,'Données projet'!$E$11+1,1))</f>
        <v>181.79645720099597</v>
      </c>
      <c r="BJ94" s="59">
        <f t="shared" si="92"/>
        <v>120.20040029102233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46.249529090734143</v>
      </c>
      <c r="BQ94" s="21">
        <f>EXP(-LN(2)/25)*BQ93+(1-EXP(-LN(2)/25))/(LN(2)/25)*Calculateur!BL94*Calculateur!BN94*VLOOKUP('Données projet'!$B$11,Paramètres!$A$1:$I$89,3,0)*0.475*44/12</f>
        <v>20.416885619046994</v>
      </c>
      <c r="BR94" s="21">
        <f>EXP(-LN(2)/2)*BR93+(1-EXP(-LN(2)/2))/(LN(2)/2)*BL94*BO94*VLOOKUP('Données projet'!$B$11,Paramètres!$A$1:$I$89,3,0)*0.475*44/12</f>
        <v>0.75800397407571063</v>
      </c>
      <c r="BS94" s="22">
        <f t="shared" si="63"/>
        <v>67.424418683856842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-3.979039320256561E-13</v>
      </c>
      <c r="BZ94" s="13">
        <f>BY94*VLOOKUP('Données projet'!$B$12,Paramètres!$A$1:$I$89,3,0)*VLOOKUP('Données projet'!$B$12,Paramètres!$A$1:$I$89,5,0)</f>
        <v>-2.379465513513424E-13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213.18424462765137</v>
      </c>
      <c r="CE94" s="59">
        <f t="shared" si="94"/>
        <v>158.77848520346532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114.40249529290918</v>
      </c>
      <c r="CL94" s="21">
        <f>EXP(-LN(2)/25)*CL93+(1-EXP(-LN(2)/25))/(LN(2)/25)*Calculateur!CG94*Calculateur!CI94*VLOOKUP('Données projet'!$B$12,Paramètres!$A$1:$I$89,3,0)*0.475*44/12</f>
        <v>25.220583625963322</v>
      </c>
      <c r="CM94" s="21">
        <f>EXP(-LN(2)/2)*CM93+(1-EXP(-LN(2)/2))/(LN(2)/2)*CG94*CJ94*VLOOKUP('Données projet'!$B$12,Paramètres!$A$1:$I$89,3,0)*0.475*44/12</f>
        <v>0.79906210815226231</v>
      </c>
      <c r="CN94" s="22">
        <f t="shared" si="66"/>
        <v>140.42214102702476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319</v>
      </c>
      <c r="CU94" s="17">
        <f>CT94*VLOOKUP('Données projet'!$B$13,Paramètres!$A$1:$I$89,3,0)*VLOOKUP('Données projet'!$B$13,Paramètres!$A$1:$I$89,5,0)</f>
        <v>253.79640000000001</v>
      </c>
      <c r="CV94" s="13">
        <f t="shared" si="95"/>
        <v>61.39816832228076</v>
      </c>
      <c r="CW94" s="20">
        <f t="shared" si="67"/>
        <v>548.96387316130563</v>
      </c>
      <c r="CX94" s="59">
        <f t="shared" si="68"/>
        <v>842.29720649463889</v>
      </c>
      <c r="CY94" s="59">
        <f ca="1">AVERAGE(OFFSET($CX$3,0,0,'Données projet'!$E$13+1,1))-AVERAGE(OFFSET($H$3,0,0,'Données projet'!$E$13+1,1))</f>
        <v>279.49721661620544</v>
      </c>
      <c r="CZ94" s="59">
        <f t="shared" si="96"/>
        <v>275.18739333988754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36.013326747258958</v>
      </c>
      <c r="DG94" s="21">
        <f>EXP(-LN(2)/25)*DG93+(1-EXP(-LN(2)/25))/(LN(2)/25)*Calculateur!DB94*Calculateur!DD94*VLOOKUP('Données projet'!$B$13,Paramètres!$A$1:$I$89,3,0)*0.475*44/12</f>
        <v>5.5619791911599528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41.575305938418907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-1.1368683772161603E-13</v>
      </c>
      <c r="O95" s="13">
        <f>N95*VLOOKUP('Données projet'!$B$9,Paramètres!$A$1:$I$89,3,0)*VLOOKUP('Données projet'!$B$9,Paramètres!$A$1:$I$89,5,0)</f>
        <v>-6.3550942286383367E-14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278.5296012747549</v>
      </c>
      <c r="T95" s="59">
        <f t="shared" si="88"/>
        <v>370.55343097937077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108.92751186860532</v>
      </c>
      <c r="AA95" s="21">
        <f>EXP(-LN(2)/25)*AA94+(1-EXP(-LN(2)/25))/(LN(2)/25)*Calculateur!V95*Calculateur!X95*VLOOKUP('Données projet'!$B$9,Paramètres!$A$1:$I$89,3,0)*0.475*44/12</f>
        <v>20.651708904683769</v>
      </c>
      <c r="AB95" s="21">
        <f>EXP(-LN(2)/2)*AB94+(1-EXP(-LN(2)/2))/(LN(2)/2)*V95*Y95*VLOOKUP('Données projet'!$B$9,Paramètres!$A$1:$I$89,3,0)*0.475*44/12</f>
        <v>9.2146643506939272E-5</v>
      </c>
      <c r="AC95" s="22">
        <f t="shared" si="57"/>
        <v>129.57931291993259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11.349999999999994</v>
      </c>
      <c r="AI95" s="13">
        <f>IF('Données projet'!$A$62&gt;35,AI94+AH95-AQ94,IF(A95&lt;'Données projet'!$A$62,$AF$205^A95,IF(A95='Données projet'!$A$62,'Données projet'!$B$62,AI94+AH95-AQ94)))</f>
        <v>415.04999999999939</v>
      </c>
      <c r="AJ95" s="13">
        <f>AI95*VLOOKUP('Données projet'!$B$10,Paramètres!$A$1:$I$89,3,0)*VLOOKUP('Données projet'!$B$10,Paramètres!$A$1:$I$89,5,0)</f>
        <v>199.63904999999971</v>
      </c>
      <c r="AK95" s="13">
        <f t="shared" si="89"/>
        <v>49.664833502542223</v>
      </c>
      <c r="AL95" s="20">
        <f t="shared" si="58"/>
        <v>434.20426376692723</v>
      </c>
      <c r="AM95" s="59">
        <f t="shared" si="59"/>
        <v>727.53759710026054</v>
      </c>
      <c r="AN95" s="59">
        <f ca="1">AVERAGE(OFFSET($AM$3,0,0,'Données projet'!$E$10+1,1))-AVERAGE(OFFSET($H$3,0,0,'Données projet'!$E$10+1,1))</f>
        <v>255.05550867459038</v>
      </c>
      <c r="AO95" s="59">
        <f t="shared" si="90"/>
        <v>119.28597757550295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89.351390244072817</v>
      </c>
      <c r="AV95" s="21">
        <f>EXP(-LN(2)/25)*AV94+(1-EXP(-LN(2)/25))/(LN(2)/25)*Calculateur!AQ95*Calculateur!AS95*VLOOKUP('Données projet'!$B$10,Paramètres!$A$1:$I$89,3,0)*0.475*44/12</f>
        <v>26.758901886815845</v>
      </c>
      <c r="AW95" s="21">
        <f>EXP(-LN(2)/2)*AW94+(1-EXP(-LN(2)/2))/(LN(2)/2)*AQ95*AT95*VLOOKUP('Données projet'!$B$10,Paramètres!$A$1:$I$89,3,0)*0.475*44/12</f>
        <v>4.7040107309443941</v>
      </c>
      <c r="AX95" s="21">
        <f t="shared" si="60"/>
        <v>120.81430286183306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8.7211538461538485</v>
      </c>
      <c r="BD95" s="12">
        <f>IF('Données projet'!$A$88&gt;35,BD94+BC95-BL94,IF(A95&lt;'Données projet'!$A$88,$BA$205^A95,IF(A95='Données projet'!$A$88,'Données projet'!$B$88,BD94+BC95-BL94)))</f>
        <v>354.67115384615443</v>
      </c>
      <c r="BE95" s="13">
        <f>BD95*VLOOKUP('Données projet'!$B$11,Paramètres!$A$1:$I$89,3,0)*VLOOKUP('Données projet'!$B$11,Paramètres!$A$1:$I$89,5,0)</f>
        <v>165.98610000000025</v>
      </c>
      <c r="BF95" s="13">
        <f t="shared" si="91"/>
        <v>42.189797166364926</v>
      </c>
      <c r="BG95" s="20">
        <f t="shared" si="61"/>
        <v>362.57302089808604</v>
      </c>
      <c r="BH95" s="59">
        <f t="shared" si="62"/>
        <v>655.9063542314193</v>
      </c>
      <c r="BI95" s="59">
        <f ca="1">AVERAGE(OFFSET($BH$3,0,0,'Données projet'!$E$11+1,1))-AVERAGE(OFFSET($H$3,0,0,'Données projet'!$E$11+1,1))</f>
        <v>181.79645720099597</v>
      </c>
      <c r="BJ95" s="59">
        <f t="shared" si="92"/>
        <v>120.20040029102233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45.342604034692144</v>
      </c>
      <c r="BQ95" s="21">
        <f>EXP(-LN(2)/25)*BQ94+(1-EXP(-LN(2)/25))/(LN(2)/25)*Calculateur!BL95*Calculateur!BN95*VLOOKUP('Données projet'!$B$11,Paramètres!$A$1:$I$89,3,0)*0.475*44/12</f>
        <v>19.858584808116802</v>
      </c>
      <c r="BR95" s="21">
        <f>EXP(-LN(2)/2)*BR94+(1-EXP(-LN(2)/2))/(LN(2)/2)*BL95*BO95*VLOOKUP('Données projet'!$B$11,Paramètres!$A$1:$I$89,3,0)*0.475*44/12</f>
        <v>0.53598975023528694</v>
      </c>
      <c r="BS95" s="22">
        <f t="shared" si="63"/>
        <v>65.737178593044234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-3.979039320256561E-13</v>
      </c>
      <c r="BZ95" s="13">
        <f>BY95*VLOOKUP('Données projet'!$B$12,Paramètres!$A$1:$I$89,3,0)*VLOOKUP('Données projet'!$B$12,Paramètres!$A$1:$I$89,5,0)</f>
        <v>-2.379465513513424E-13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213.18424462765137</v>
      </c>
      <c r="CE95" s="59">
        <f t="shared" si="94"/>
        <v>158.77848520346532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112.1591321388473</v>
      </c>
      <c r="CL95" s="21">
        <f>EXP(-LN(2)/25)*CL94+(1-EXP(-LN(2)/25))/(LN(2)/25)*Calculateur!CG95*Calculateur!CI95*VLOOKUP('Données projet'!$B$12,Paramètres!$A$1:$I$89,3,0)*0.475*44/12</f>
        <v>24.530925440418503</v>
      </c>
      <c r="CM95" s="21">
        <f>EXP(-LN(2)/2)*CM94+(1-EXP(-LN(2)/2))/(LN(2)/2)*CG95*CJ95*VLOOKUP('Données projet'!$B$12,Paramètres!$A$1:$I$89,3,0)*0.475*44/12</f>
        <v>0.56502223526368311</v>
      </c>
      <c r="CN95" s="22">
        <f t="shared" si="66"/>
        <v>137.25507981452949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319</v>
      </c>
      <c r="CU95" s="17">
        <f>CT95*VLOOKUP('Données projet'!$B$13,Paramètres!$A$1:$I$89,3,0)*VLOOKUP('Données projet'!$B$13,Paramètres!$A$1:$I$89,5,0)</f>
        <v>253.79640000000001</v>
      </c>
      <c r="CV95" s="13">
        <f t="shared" si="95"/>
        <v>61.39816832228076</v>
      </c>
      <c r="CW95" s="20">
        <f t="shared" si="67"/>
        <v>548.96387316130563</v>
      </c>
      <c r="CX95" s="59">
        <f t="shared" si="68"/>
        <v>842.29720649463889</v>
      </c>
      <c r="CY95" s="59">
        <f ca="1">AVERAGE(OFFSET($CX$3,0,0,'Données projet'!$E$13+1,1))-AVERAGE(OFFSET($H$3,0,0,'Données projet'!$E$13+1,1))</f>
        <v>279.49721661620544</v>
      </c>
      <c r="CZ95" s="59">
        <f t="shared" si="96"/>
        <v>275.18739333988754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35.307127375705569</v>
      </c>
      <c r="DG95" s="21">
        <f>EXP(-LN(2)/25)*DG94+(1-EXP(-LN(2)/25))/(LN(2)/25)*Calculateur!DB95*Calculateur!DD95*VLOOKUP('Données projet'!$B$13,Paramètres!$A$1:$I$89,3,0)*0.475*44/12</f>
        <v>5.40988657768591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40.717013953391479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-1.1368683772161603E-13</v>
      </c>
      <c r="O96" s="13">
        <f>N96*VLOOKUP('Données projet'!$B$9,Paramètres!$A$1:$I$89,3,0)*VLOOKUP('Données projet'!$B$9,Paramètres!$A$1:$I$89,5,0)</f>
        <v>-6.3550942286383367E-14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278.5296012747549</v>
      </c>
      <c r="T96" s="59">
        <f t="shared" si="88"/>
        <v>370.55343097937077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106.79150980008389</v>
      </c>
      <c r="AA96" s="21">
        <f>EXP(-LN(2)/25)*AA95+(1-EXP(-LN(2)/25))/(LN(2)/25)*Calculateur!V96*Calculateur!X96*VLOOKUP('Données projet'!$B$9,Paramètres!$A$1:$I$89,3,0)*0.475*44/12</f>
        <v>20.086986838659019</v>
      </c>
      <c r="AB96" s="21">
        <f>EXP(-LN(2)/2)*AB95+(1-EXP(-LN(2)/2))/(LN(2)/2)*V96*Y96*VLOOKUP('Données projet'!$B$9,Paramètres!$A$1:$I$89,3,0)*0.475*44/12</f>
        <v>6.5157516487336108E-5</v>
      </c>
      <c r="AC96" s="22">
        <f t="shared" si="57"/>
        <v>126.87856179625939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11.349999999999994</v>
      </c>
      <c r="AI96" s="13">
        <f>IF('Données projet'!$A$62&gt;35,AI95+AH96-AQ95,IF(A96&lt;'Données projet'!$A$62,$AF$205^A96,IF(A96='Données projet'!$A$62,'Données projet'!$B$62,AI95+AH96-AQ95)))</f>
        <v>426.39999999999941</v>
      </c>
      <c r="AJ96" s="13">
        <f>AI96*VLOOKUP('Données projet'!$B$10,Paramètres!$A$1:$I$89,3,0)*VLOOKUP('Données projet'!$B$10,Paramètres!$A$1:$I$89,5,0)</f>
        <v>205.09839999999971</v>
      </c>
      <c r="AK96" s="13">
        <f t="shared" si="89"/>
        <v>50.862994918983986</v>
      </c>
      <c r="AL96" s="20">
        <f t="shared" si="58"/>
        <v>445.79942948389657</v>
      </c>
      <c r="AM96" s="59">
        <f t="shared" si="59"/>
        <v>739.13276281722983</v>
      </c>
      <c r="AN96" s="59">
        <f ca="1">AVERAGE(OFFSET($AM$3,0,0,'Données projet'!$E$10+1,1))-AVERAGE(OFFSET($H$3,0,0,'Données projet'!$E$10+1,1))</f>
        <v>255.05550867459038</v>
      </c>
      <c r="AO96" s="59">
        <f t="shared" si="90"/>
        <v>119.28597757550295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87.599263980353271</v>
      </c>
      <c r="AV96" s="21">
        <f>EXP(-LN(2)/25)*AV95+(1-EXP(-LN(2)/25))/(LN(2)/25)*Calculateur!AQ96*Calculateur!AS96*VLOOKUP('Données projet'!$B$10,Paramètres!$A$1:$I$89,3,0)*0.475*44/12</f>
        <v>26.027178307531376</v>
      </c>
      <c r="AW96" s="21">
        <f>EXP(-LN(2)/2)*AW95+(1-EXP(-LN(2)/2))/(LN(2)/2)*AQ96*AT96*VLOOKUP('Données projet'!$B$10,Paramètres!$A$1:$I$89,3,0)*0.475*44/12</f>
        <v>3.3262378866250693</v>
      </c>
      <c r="AX96" s="21">
        <f t="shared" si="60"/>
        <v>116.95268017450971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8.7211538461538485</v>
      </c>
      <c r="BD96" s="12">
        <f>IF('Données projet'!$A$88&gt;35,BD95+BC96-BL95,IF(A96&lt;'Données projet'!$A$88,$BA$205^A96,IF(A96='Données projet'!$A$88,'Données projet'!$B$88,BD95+BC96-BL95)))</f>
        <v>363.39230769230829</v>
      </c>
      <c r="BE96" s="13">
        <f>BD96*VLOOKUP('Données projet'!$B$11,Paramètres!$A$1:$I$89,3,0)*VLOOKUP('Données projet'!$B$11,Paramètres!$A$1:$I$89,5,0)</f>
        <v>170.06760000000031</v>
      </c>
      <c r="BF96" s="13">
        <f t="shared" si="91"/>
        <v>43.105163386216866</v>
      </c>
      <c r="BG96" s="20">
        <f t="shared" si="61"/>
        <v>371.27589623099493</v>
      </c>
      <c r="BH96" s="59">
        <f t="shared" si="62"/>
        <v>664.60922956432819</v>
      </c>
      <c r="BI96" s="59">
        <f ca="1">AVERAGE(OFFSET($BH$3,0,0,'Données projet'!$E$11+1,1))-AVERAGE(OFFSET($H$3,0,0,'Données projet'!$E$11+1,1))</f>
        <v>181.79645720099597</v>
      </c>
      <c r="BJ96" s="59">
        <f t="shared" si="92"/>
        <v>120.20040029102233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44.453463225829466</v>
      </c>
      <c r="BQ96" s="21">
        <f>EXP(-LN(2)/25)*BQ95+(1-EXP(-LN(2)/25))/(LN(2)/25)*Calculateur!BL96*Calculateur!BN96*VLOOKUP('Données projet'!$B$11,Paramètres!$A$1:$I$89,3,0)*0.475*44/12</f>
        <v>19.31555076222126</v>
      </c>
      <c r="BR96" s="21">
        <f>EXP(-LN(2)/2)*BR95+(1-EXP(-LN(2)/2))/(LN(2)/2)*BL96*BO96*VLOOKUP('Données projet'!$B$11,Paramètres!$A$1:$I$89,3,0)*0.475*44/12</f>
        <v>0.37900198703785531</v>
      </c>
      <c r="BS96" s="22">
        <f t="shared" si="63"/>
        <v>64.148015975088583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-3.979039320256561E-13</v>
      </c>
      <c r="BZ96" s="13">
        <f>BY96*VLOOKUP('Données projet'!$B$12,Paramètres!$A$1:$I$89,3,0)*VLOOKUP('Données projet'!$B$12,Paramètres!$A$1:$I$89,5,0)</f>
        <v>-2.379465513513424E-13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213.18424462765137</v>
      </c>
      <c r="CE96" s="59">
        <f t="shared" si="94"/>
        <v>158.77848520346532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109.95975996792015</v>
      </c>
      <c r="CL96" s="21">
        <f>EXP(-LN(2)/25)*CL95+(1-EXP(-LN(2)/25))/(LN(2)/25)*Calculateur!CG96*Calculateur!CI96*VLOOKUP('Données projet'!$B$12,Paramètres!$A$1:$I$89,3,0)*0.475*44/12</f>
        <v>23.860125994224958</v>
      </c>
      <c r="CM96" s="21">
        <f>EXP(-LN(2)/2)*CM95+(1-EXP(-LN(2)/2))/(LN(2)/2)*CG96*CJ96*VLOOKUP('Données projet'!$B$12,Paramètres!$A$1:$I$89,3,0)*0.475*44/12</f>
        <v>0.39953105407613115</v>
      </c>
      <c r="CN96" s="22">
        <f t="shared" si="66"/>
        <v>134.21941701622126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319</v>
      </c>
      <c r="CU96" s="17">
        <f>CT96*VLOOKUP('Données projet'!$B$13,Paramètres!$A$1:$I$89,3,0)*VLOOKUP('Données projet'!$B$13,Paramètres!$A$1:$I$89,5,0)</f>
        <v>253.79640000000001</v>
      </c>
      <c r="CV96" s="13">
        <f t="shared" si="95"/>
        <v>61.39816832228076</v>
      </c>
      <c r="CW96" s="20">
        <f t="shared" si="67"/>
        <v>548.96387316130563</v>
      </c>
      <c r="CX96" s="59">
        <f t="shared" si="68"/>
        <v>842.29720649463889</v>
      </c>
      <c r="CY96" s="59">
        <f ca="1">AVERAGE(OFFSET($CX$3,0,0,'Données projet'!$E$13+1,1))-AVERAGE(OFFSET($H$3,0,0,'Données projet'!$E$13+1,1))</f>
        <v>279.49721661620544</v>
      </c>
      <c r="CZ96" s="59">
        <f t="shared" si="96"/>
        <v>275.18739333988754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34.614776143089259</v>
      </c>
      <c r="DG96" s="21">
        <f>EXP(-LN(2)/25)*DG95+(1-EXP(-LN(2)/25))/(LN(2)/25)*Calculateur!DB96*Calculateur!DD96*VLOOKUP('Données projet'!$B$13,Paramètres!$A$1:$I$89,3,0)*0.475*44/12</f>
        <v>5.2619529447255182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39.87672908781478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-1.1368683772161603E-13</v>
      </c>
      <c r="O97" s="13">
        <f>N97*VLOOKUP('Données projet'!$B$9,Paramètres!$A$1:$I$89,3,0)*VLOOKUP('Données projet'!$B$9,Paramètres!$A$1:$I$89,5,0)</f>
        <v>-6.3550942286383367E-14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278.5296012747549</v>
      </c>
      <c r="T97" s="59">
        <f t="shared" si="88"/>
        <v>370.55343097937077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104.69739342929354</v>
      </c>
      <c r="AA97" s="21">
        <f>EXP(-LN(2)/25)*AA96+(1-EXP(-LN(2)/25))/(LN(2)/25)*Calculateur!V97*Calculateur!X97*VLOOKUP('Données projet'!$B$9,Paramètres!$A$1:$I$89,3,0)*0.475*44/12</f>
        <v>19.537707127227161</v>
      </c>
      <c r="AB97" s="21">
        <f>EXP(-LN(2)/2)*AB96+(1-EXP(-LN(2)/2))/(LN(2)/2)*V97*Y97*VLOOKUP('Données projet'!$B$9,Paramètres!$A$1:$I$89,3,0)*0.475*44/12</f>
        <v>4.6073321753469636E-5</v>
      </c>
      <c r="AC97" s="22">
        <f t="shared" si="57"/>
        <v>124.23514662984246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11.349999999999994</v>
      </c>
      <c r="AI97" s="13">
        <f>IF('Données projet'!$A$62&gt;35,AI96+AH97-AQ96,IF(A97&lt;'Données projet'!$A$62,$AF$205^A97,IF(A97='Données projet'!$A$62,'Données projet'!$B$62,AI96+AH97-AQ96)))</f>
        <v>437.74999999999943</v>
      </c>
      <c r="AJ97" s="13">
        <f>AI97*VLOOKUP('Données projet'!$B$10,Paramètres!$A$1:$I$89,3,0)*VLOOKUP('Données projet'!$B$10,Paramètres!$A$1:$I$89,5,0)</f>
        <v>210.55774999999971</v>
      </c>
      <c r="AK97" s="13">
        <f t="shared" si="89"/>
        <v>52.057449284533973</v>
      </c>
      <c r="AL97" s="20">
        <f t="shared" si="58"/>
        <v>457.38813875389616</v>
      </c>
      <c r="AM97" s="59">
        <f t="shared" si="59"/>
        <v>750.72147208722947</v>
      </c>
      <c r="AN97" s="59">
        <f ca="1">AVERAGE(OFFSET($AM$3,0,0,'Données projet'!$E$10+1,1))-AVERAGE(OFFSET($H$3,0,0,'Données projet'!$E$10+1,1))</f>
        <v>255.05550867459038</v>
      </c>
      <c r="AO97" s="59">
        <f t="shared" si="90"/>
        <v>119.28597757550295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85.881495843973767</v>
      </c>
      <c r="AV97" s="21">
        <f>EXP(-LN(2)/25)*AV96+(1-EXP(-LN(2)/25))/(LN(2)/25)*Calculateur!AQ97*Calculateur!AS97*VLOOKUP('Données projet'!$B$10,Paramètres!$A$1:$I$89,3,0)*0.475*44/12</f>
        <v>25.315463748002109</v>
      </c>
      <c r="AW97" s="21">
        <f>EXP(-LN(2)/2)*AW96+(1-EXP(-LN(2)/2))/(LN(2)/2)*AQ97*AT97*VLOOKUP('Données projet'!$B$10,Paramètres!$A$1:$I$89,3,0)*0.475*44/12</f>
        <v>2.3520053654721971</v>
      </c>
      <c r="AX97" s="21">
        <f t="shared" si="60"/>
        <v>113.54896495744808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8.7211538461538485</v>
      </c>
      <c r="BD97" s="12">
        <f>IF('Données projet'!$A$88&gt;35,BD96+BC97-BL96,IF(A97&lt;'Données projet'!$A$88,$BA$205^A97,IF(A97='Données projet'!$A$88,'Données projet'!$B$88,BD96+BC97-BL96)))</f>
        <v>372.11346153846216</v>
      </c>
      <c r="BE97" s="13">
        <f>BD97*VLOOKUP('Données projet'!$B$11,Paramètres!$A$1:$I$89,3,0)*VLOOKUP('Données projet'!$B$11,Paramètres!$A$1:$I$89,5,0)</f>
        <v>174.14910000000029</v>
      </c>
      <c r="BF97" s="13">
        <f t="shared" si="91"/>
        <v>44.017975824904859</v>
      </c>
      <c r="BG97" s="20">
        <f t="shared" si="61"/>
        <v>379.97432372837642</v>
      </c>
      <c r="BH97" s="59">
        <f t="shared" si="62"/>
        <v>673.30765706170973</v>
      </c>
      <c r="BI97" s="59">
        <f ca="1">AVERAGE(OFFSET($BH$3,0,0,'Données projet'!$E$11+1,1))-AVERAGE(OFFSET($H$3,0,0,'Données projet'!$E$11+1,1))</f>
        <v>181.79645720099597</v>
      </c>
      <c r="BJ97" s="59">
        <f t="shared" si="92"/>
        <v>120.20040029102233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43.581757925906238</v>
      </c>
      <c r="BQ97" s="21">
        <f>EXP(-LN(2)/25)*BQ96+(1-EXP(-LN(2)/25))/(LN(2)/25)*Calculateur!BL97*Calculateur!BN97*VLOOKUP('Données projet'!$B$11,Paramètres!$A$1:$I$89,3,0)*0.475*44/12</f>
        <v>18.78736601086765</v>
      </c>
      <c r="BR97" s="21">
        <f>EXP(-LN(2)/2)*BR96+(1-EXP(-LN(2)/2))/(LN(2)/2)*BL97*BO97*VLOOKUP('Données projet'!$B$11,Paramètres!$A$1:$I$89,3,0)*0.475*44/12</f>
        <v>0.26799487511764347</v>
      </c>
      <c r="BS97" s="22">
        <f t="shared" si="63"/>
        <v>62.637118811891533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-3.979039320256561E-13</v>
      </c>
      <c r="BZ97" s="13">
        <f>BY97*VLOOKUP('Données projet'!$B$12,Paramètres!$A$1:$I$89,3,0)*VLOOKUP('Données projet'!$B$12,Paramètres!$A$1:$I$89,5,0)</f>
        <v>-2.379465513513424E-13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213.18424462765137</v>
      </c>
      <c r="CE97" s="59">
        <f t="shared" si="94"/>
        <v>158.77848520346532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107.80351614378031</v>
      </c>
      <c r="CL97" s="21">
        <f>EXP(-LN(2)/25)*CL96+(1-EXP(-LN(2)/25))/(LN(2)/25)*Calculateur!CG97*Calculateur!CI97*VLOOKUP('Données projet'!$B$12,Paramètres!$A$1:$I$89,3,0)*0.475*44/12</f>
        <v>23.207669594163384</v>
      </c>
      <c r="CM97" s="21">
        <f>EXP(-LN(2)/2)*CM96+(1-EXP(-LN(2)/2))/(LN(2)/2)*CG97*CJ97*VLOOKUP('Données projet'!$B$12,Paramètres!$A$1:$I$89,3,0)*0.475*44/12</f>
        <v>0.28251111763184156</v>
      </c>
      <c r="CN97" s="22">
        <f t="shared" si="66"/>
        <v>131.29369685557555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319</v>
      </c>
      <c r="CU97" s="17">
        <f>CT97*VLOOKUP('Données projet'!$B$13,Paramètres!$A$1:$I$89,3,0)*VLOOKUP('Données projet'!$B$13,Paramètres!$A$1:$I$89,5,0)</f>
        <v>253.79640000000001</v>
      </c>
      <c r="CV97" s="13">
        <f t="shared" si="95"/>
        <v>61.39816832228076</v>
      </c>
      <c r="CW97" s="20">
        <f t="shared" si="67"/>
        <v>548.96387316130563</v>
      </c>
      <c r="CX97" s="59">
        <f t="shared" si="68"/>
        <v>842.29720649463889</v>
      </c>
      <c r="CY97" s="59">
        <f ca="1">AVERAGE(OFFSET($CX$3,0,0,'Données projet'!$E$13+1,1))-AVERAGE(OFFSET($H$3,0,0,'Données projet'!$E$13+1,1))</f>
        <v>279.49721661620544</v>
      </c>
      <c r="CZ97" s="59">
        <f t="shared" si="96"/>
        <v>275.18739333988754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33.936001495851997</v>
      </c>
      <c r="DG97" s="21">
        <f>EXP(-LN(2)/25)*DG96+(1-EXP(-LN(2)/25))/(LN(2)/25)*Calculateur!DB97*Calculateur!DD97*VLOOKUP('Données projet'!$B$13,Paramètres!$A$1:$I$89,3,0)*0.475*44/12</f>
        <v>5.1180645647379199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39.054066060589918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-1.1368683772161603E-13</v>
      </c>
      <c r="O98" s="13">
        <f>N98*VLOOKUP('Données projet'!$B$9,Paramètres!$A$1:$I$89,3,0)*VLOOKUP('Données projet'!$B$9,Paramètres!$A$1:$I$89,5,0)</f>
        <v>-6.3550942286383367E-14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278.5296012747549</v>
      </c>
      <c r="T98" s="59">
        <f t="shared" si="88"/>
        <v>370.55343097937077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102.64434140324953</v>
      </c>
      <c r="AA98" s="21">
        <f>EXP(-LN(2)/25)*AA97+(1-EXP(-LN(2)/25))/(LN(2)/25)*Calculateur!V98*Calculateur!X98*VLOOKUP('Données projet'!$B$9,Paramètres!$A$1:$I$89,3,0)*0.475*44/12</f>
        <v>19.003447498389772</v>
      </c>
      <c r="AB98" s="21">
        <f>EXP(-LN(2)/2)*AB97+(1-EXP(-LN(2)/2))/(LN(2)/2)*V98*Y98*VLOOKUP('Données projet'!$B$9,Paramètres!$A$1:$I$89,3,0)*0.475*44/12</f>
        <v>3.2578758243668054E-5</v>
      </c>
      <c r="AC98" s="22">
        <f t="shared" si="57"/>
        <v>121.64782148039754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11.349999999999994</v>
      </c>
      <c r="AI98" s="13">
        <f>IF('Données projet'!$A$62&gt;35,AI97+AH98-AQ97,IF(A98&lt;'Données projet'!$A$62,$AF$205^A98,IF(A98='Données projet'!$A$62,'Données projet'!$B$62,AI97+AH98-AQ97)))</f>
        <v>449.09999999999945</v>
      </c>
      <c r="AJ98" s="13">
        <f>AI98*VLOOKUP('Données projet'!$B$10,Paramètres!$A$1:$I$89,3,0)*VLOOKUP('Données projet'!$B$10,Paramètres!$A$1:$I$89,5,0)</f>
        <v>216.01709999999974</v>
      </c>
      <c r="AK98" s="13">
        <f t="shared" si="89"/>
        <v>53.248303766269686</v>
      </c>
      <c r="AL98" s="20">
        <f t="shared" si="58"/>
        <v>468.97057822625248</v>
      </c>
      <c r="AM98" s="59">
        <f t="shared" si="59"/>
        <v>762.3039115595858</v>
      </c>
      <c r="AN98" s="59">
        <f ca="1">AVERAGE(OFFSET($AM$3,0,0,'Données projet'!$E$10+1,1))-AVERAGE(OFFSET($H$3,0,0,'Données projet'!$E$10+1,1))</f>
        <v>255.05550867459038</v>
      </c>
      <c r="AO98" s="59">
        <f t="shared" si="90"/>
        <v>119.28597757550295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84.197412093013554</v>
      </c>
      <c r="AV98" s="21">
        <f>EXP(-LN(2)/25)*AV97+(1-EXP(-LN(2)/25))/(LN(2)/25)*Calculateur!AQ98*Calculateur!AS98*VLOOKUP('Données projet'!$B$10,Paramètres!$A$1:$I$89,3,0)*0.475*44/12</f>
        <v>24.623211060530611</v>
      </c>
      <c r="AW98" s="21">
        <f>EXP(-LN(2)/2)*AW97+(1-EXP(-LN(2)/2))/(LN(2)/2)*AQ98*AT98*VLOOKUP('Données projet'!$B$10,Paramètres!$A$1:$I$89,3,0)*0.475*44/12</f>
        <v>1.6631189433125346</v>
      </c>
      <c r="AX98" s="21">
        <f t="shared" si="60"/>
        <v>110.4837420968567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8.7211538461538485</v>
      </c>
      <c r="BD98" s="12">
        <f>IF('Données projet'!$A$88&gt;35,BD97+BC98-BL97,IF(A98&lt;'Données projet'!$A$88,$BA$205^A98,IF(A98='Données projet'!$A$88,'Données projet'!$B$88,BD97+BC98-BL97)))</f>
        <v>380.83461538461603</v>
      </c>
      <c r="BE98" s="13">
        <f>BD98*VLOOKUP('Données projet'!$B$11,Paramètres!$A$1:$I$89,3,0)*VLOOKUP('Données projet'!$B$11,Paramètres!$A$1:$I$89,5,0)</f>
        <v>178.23060000000029</v>
      </c>
      <c r="BF98" s="13">
        <f t="shared" si="91"/>
        <v>44.928301223043398</v>
      </c>
      <c r="BG98" s="20">
        <f t="shared" si="61"/>
        <v>388.66841963013439</v>
      </c>
      <c r="BH98" s="59">
        <f t="shared" si="62"/>
        <v>682.00175296346765</v>
      </c>
      <c r="BI98" s="59">
        <f ca="1">AVERAGE(OFFSET($BH$3,0,0,'Données projet'!$E$11+1,1))-AVERAGE(OFFSET($H$3,0,0,'Données projet'!$E$11+1,1))</f>
        <v>181.79645720099597</v>
      </c>
      <c r="BJ98" s="59">
        <f t="shared" si="92"/>
        <v>120.20040029102233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42.727146235226776</v>
      </c>
      <c r="BQ98" s="21">
        <f>EXP(-LN(2)/25)*BQ97+(1-EXP(-LN(2)/25))/(LN(2)/25)*Calculateur!BL98*Calculateur!BN98*VLOOKUP('Données projet'!$B$11,Paramètres!$A$1:$I$89,3,0)*0.475*44/12</f>
        <v>18.273624499315837</v>
      </c>
      <c r="BR98" s="21">
        <f>EXP(-LN(2)/2)*BR97+(1-EXP(-LN(2)/2))/(LN(2)/2)*BL98*BO98*VLOOKUP('Données projet'!$B$11,Paramètres!$A$1:$I$89,3,0)*0.475*44/12</f>
        <v>0.18950099351892766</v>
      </c>
      <c r="BS98" s="22">
        <f t="shared" si="63"/>
        <v>61.190271728061539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-3.979039320256561E-13</v>
      </c>
      <c r="BZ98" s="13">
        <f>BY98*VLOOKUP('Données projet'!$B$12,Paramètres!$A$1:$I$89,3,0)*VLOOKUP('Données projet'!$B$12,Paramètres!$A$1:$I$89,5,0)</f>
        <v>-2.379465513513424E-13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213.18424462765137</v>
      </c>
      <c r="CE98" s="59">
        <f t="shared" si="94"/>
        <v>158.77848520346532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105.68955494585299</v>
      </c>
      <c r="CL98" s="21">
        <f>EXP(-LN(2)/25)*CL97+(1-EXP(-LN(2)/25))/(LN(2)/25)*Calculateur!CG98*Calculateur!CI98*VLOOKUP('Données projet'!$B$12,Paramètres!$A$1:$I$89,3,0)*0.475*44/12</f>
        <v>22.573054648672684</v>
      </c>
      <c r="CM98" s="21">
        <f>EXP(-LN(2)/2)*CM97+(1-EXP(-LN(2)/2))/(LN(2)/2)*CG98*CJ98*VLOOKUP('Données projet'!$B$12,Paramètres!$A$1:$I$89,3,0)*0.475*44/12</f>
        <v>0.19976552703806558</v>
      </c>
      <c r="CN98" s="22">
        <f t="shared" si="66"/>
        <v>128.46237512156375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319</v>
      </c>
      <c r="CU98" s="17">
        <f>CT98*VLOOKUP('Données projet'!$B$13,Paramètres!$A$1:$I$89,3,0)*VLOOKUP('Données projet'!$B$13,Paramètres!$A$1:$I$89,5,0)</f>
        <v>253.79640000000001</v>
      </c>
      <c r="CV98" s="13">
        <f t="shared" si="95"/>
        <v>61.39816832228076</v>
      </c>
      <c r="CW98" s="20">
        <f t="shared" si="67"/>
        <v>548.96387316130563</v>
      </c>
      <c r="CX98" s="59">
        <f t="shared" si="68"/>
        <v>842.29720649463889</v>
      </c>
      <c r="CY98" s="59">
        <f ca="1">AVERAGE(OFFSET($CX$3,0,0,'Données projet'!$E$13+1,1))-AVERAGE(OFFSET($H$3,0,0,'Données projet'!$E$13+1,1))</f>
        <v>279.49721661620544</v>
      </c>
      <c r="CZ98" s="59">
        <f t="shared" si="96"/>
        <v>275.18739333988754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33.270537205435403</v>
      </c>
      <c r="DG98" s="21">
        <f>EXP(-LN(2)/25)*DG97+(1-EXP(-LN(2)/25))/(LN(2)/25)*Calculateur!DB98*Calculateur!DD98*VLOOKUP('Données projet'!$B$13,Paramètres!$A$1:$I$89,3,0)*0.475*44/12</f>
        <v>4.9781108200678439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38.248648025503243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-1.1368683772161603E-13</v>
      </c>
      <c r="O99" s="13">
        <f>N99*VLOOKUP('Données projet'!$B$9,Paramètres!$A$1:$I$89,3,0)*VLOOKUP('Données projet'!$B$9,Paramètres!$A$1:$I$89,5,0)</f>
        <v>-6.3550942286383367E-14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278.5296012747549</v>
      </c>
      <c r="T99" s="59">
        <f t="shared" si="88"/>
        <v>370.55343097937077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100.63154847519814</v>
      </c>
      <c r="AA99" s="21">
        <f>EXP(-LN(2)/25)*AA98+(1-EXP(-LN(2)/25))/(LN(2)/25)*Calculateur!V99*Calculateur!X99*VLOOKUP('Données projet'!$B$9,Paramètres!$A$1:$I$89,3,0)*0.475*44/12</f>
        <v>18.483797227198433</v>
      </c>
      <c r="AB99" s="21">
        <f>EXP(-LN(2)/2)*AB98+(1-EXP(-LN(2)/2))/(LN(2)/2)*V99*Y99*VLOOKUP('Données projet'!$B$9,Paramètres!$A$1:$I$89,3,0)*0.475*44/12</f>
        <v>2.3036660876734818E-5</v>
      </c>
      <c r="AC99" s="22">
        <f t="shared" si="57"/>
        <v>119.11536873905746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11.349999999999994</v>
      </c>
      <c r="AI99" s="13">
        <f>IF('Données projet'!$A$62&gt;35,AI98+AH99-AQ98,IF(A99&lt;'Données projet'!$A$62,$AF$205^A99,IF(A99='Données projet'!$A$62,'Données projet'!$B$62,AI98+AH99-AQ98)))</f>
        <v>460.44999999999948</v>
      </c>
      <c r="AJ99" s="13">
        <f>AI99*VLOOKUP('Données projet'!$B$10,Paramètres!$A$1:$I$89,3,0)*VLOOKUP('Données projet'!$B$10,Paramètres!$A$1:$I$89,5,0)</f>
        <v>221.47644999999974</v>
      </c>
      <c r="AK99" s="13">
        <f t="shared" si="89"/>
        <v>54.435659805777192</v>
      </c>
      <c r="AL99" s="20">
        <f t="shared" si="58"/>
        <v>480.54692457839491</v>
      </c>
      <c r="AM99" s="59">
        <f t="shared" si="59"/>
        <v>773.88025791172822</v>
      </c>
      <c r="AN99" s="59">
        <f ca="1">AVERAGE(OFFSET($AM$3,0,0,'Données projet'!$E$10+1,1))-AVERAGE(OFFSET($H$3,0,0,'Données projet'!$E$10+1,1))</f>
        <v>255.05550867459038</v>
      </c>
      <c r="AO99" s="59">
        <f t="shared" si="90"/>
        <v>119.28597757550295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82.546352197220017</v>
      </c>
      <c r="AV99" s="21">
        <f>EXP(-LN(2)/25)*AV98+(1-EXP(-LN(2)/25))/(LN(2)/25)*Calculateur!AQ99*Calculateur!AS99*VLOOKUP('Données projet'!$B$10,Paramètres!$A$1:$I$89,3,0)*0.475*44/12</f>
        <v>23.94988805920201</v>
      </c>
      <c r="AW99" s="21">
        <f>EXP(-LN(2)/2)*AW98+(1-EXP(-LN(2)/2))/(LN(2)/2)*AQ99*AT99*VLOOKUP('Données projet'!$B$10,Paramètres!$A$1:$I$89,3,0)*0.475*44/12</f>
        <v>1.1760026827360985</v>
      </c>
      <c r="AX99" s="21">
        <f t="shared" si="60"/>
        <v>107.67224293915812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8.7211538461538485</v>
      </c>
      <c r="BD99" s="12">
        <f>IF('Données projet'!$A$88&gt;35,BD98+BC99-BL98,IF(A99&lt;'Données projet'!$A$88,$BA$205^A99,IF(A99='Données projet'!$A$88,'Données projet'!$B$88,BD98+BC99-BL98)))</f>
        <v>389.5557692307699</v>
      </c>
      <c r="BE99" s="13">
        <f>BD99*VLOOKUP('Données projet'!$B$11,Paramètres!$A$1:$I$89,3,0)*VLOOKUP('Données projet'!$B$11,Paramètres!$A$1:$I$89,5,0)</f>
        <v>182.31210000000033</v>
      </c>
      <c r="BF99" s="13">
        <f t="shared" si="91"/>
        <v>45.836203090068118</v>
      </c>
      <c r="BG99" s="20">
        <f t="shared" si="61"/>
        <v>397.35829454853587</v>
      </c>
      <c r="BH99" s="59">
        <f t="shared" si="62"/>
        <v>690.69162788186918</v>
      </c>
      <c r="BI99" s="59">
        <f ca="1">AVERAGE(OFFSET($BH$3,0,0,'Données projet'!$E$11+1,1))-AVERAGE(OFFSET($H$3,0,0,'Données projet'!$E$11+1,1))</f>
        <v>181.79645720099597</v>
      </c>
      <c r="BJ99" s="59">
        <f t="shared" si="92"/>
        <v>120.20040029102233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41.889292958539876</v>
      </c>
      <c r="BQ99" s="21">
        <f>EXP(-LN(2)/25)*BQ98+(1-EXP(-LN(2)/25))/(LN(2)/25)*Calculateur!BL99*Calculateur!BN99*VLOOKUP('Données projet'!$B$11,Paramètres!$A$1:$I$89,3,0)*0.475*44/12</f>
        <v>17.773931276413897</v>
      </c>
      <c r="BR99" s="21">
        <f>EXP(-LN(2)/2)*BR98+(1-EXP(-LN(2)/2))/(LN(2)/2)*BL99*BO99*VLOOKUP('Données projet'!$B$11,Paramètres!$A$1:$I$89,3,0)*0.475*44/12</f>
        <v>0.13399743755882174</v>
      </c>
      <c r="BS99" s="22">
        <f t="shared" si="63"/>
        <v>59.797221672512592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-3.979039320256561E-13</v>
      </c>
      <c r="BZ99" s="13">
        <f>BY99*VLOOKUP('Données projet'!$B$12,Paramètres!$A$1:$I$89,3,0)*VLOOKUP('Données projet'!$B$12,Paramètres!$A$1:$I$89,5,0)</f>
        <v>-2.379465513513424E-13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213.18424462765137</v>
      </c>
      <c r="CE99" s="59">
        <f t="shared" si="94"/>
        <v>158.77848520346532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103.61704723762801</v>
      </c>
      <c r="CL99" s="21">
        <f>EXP(-LN(2)/25)*CL98+(1-EXP(-LN(2)/25))/(LN(2)/25)*Calculateur!CG99*Calculateur!CI99*VLOOKUP('Données projet'!$B$12,Paramètres!$A$1:$I$89,3,0)*0.475*44/12</f>
        <v>21.955793282239377</v>
      </c>
      <c r="CM99" s="21">
        <f>EXP(-LN(2)/2)*CM98+(1-EXP(-LN(2)/2))/(LN(2)/2)*CG99*CJ99*VLOOKUP('Données projet'!$B$12,Paramètres!$A$1:$I$89,3,0)*0.475*44/12</f>
        <v>0.14125555881592078</v>
      </c>
      <c r="CN99" s="22">
        <f t="shared" si="66"/>
        <v>125.7140960786833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319</v>
      </c>
      <c r="CU99" s="17">
        <f>CT99*VLOOKUP('Données projet'!$B$13,Paramètres!$A$1:$I$89,3,0)*VLOOKUP('Données projet'!$B$13,Paramètres!$A$1:$I$89,5,0)</f>
        <v>253.79640000000001</v>
      </c>
      <c r="CV99" s="13">
        <f t="shared" si="95"/>
        <v>61.39816832228076</v>
      </c>
      <c r="CW99" s="20">
        <f t="shared" si="67"/>
        <v>548.96387316130563</v>
      </c>
      <c r="CX99" s="59">
        <f t="shared" si="68"/>
        <v>842.29720649463889</v>
      </c>
      <c r="CY99" s="59">
        <f ca="1">AVERAGE(OFFSET($CX$3,0,0,'Données projet'!$E$13+1,1))-AVERAGE(OFFSET($H$3,0,0,'Données projet'!$E$13+1,1))</f>
        <v>279.49721661620544</v>
      </c>
      <c r="CZ99" s="59">
        <f t="shared" si="96"/>
        <v>275.18739333988754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32.618122263860741</v>
      </c>
      <c r="DG99" s="21">
        <f>EXP(-LN(2)/25)*DG98+(1-EXP(-LN(2)/25))/(LN(2)/25)*Calculateur!DB99*Calculateur!DD99*VLOOKUP('Données projet'!$B$13,Paramètres!$A$1:$I$89,3,0)*0.475*44/12</f>
        <v>4.8419841179056187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37.460106381766359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-1.1368683772161603E-13</v>
      </c>
      <c r="O100" s="13">
        <f>N100*VLOOKUP('Données projet'!$B$9,Paramètres!$A$1:$I$89,3,0)*VLOOKUP('Données projet'!$B$9,Paramètres!$A$1:$I$89,5,0)</f>
        <v>-6.3550942286383367E-14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278.5296012747549</v>
      </c>
      <c r="T100" s="59">
        <f t="shared" si="88"/>
        <v>370.55343097937077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98.658225188783391</v>
      </c>
      <c r="AA100" s="21">
        <f>EXP(-LN(2)/25)*AA99+(1-EXP(-LN(2)/25))/(LN(2)/25)*Calculateur!V100*Calculateur!X100*VLOOKUP('Données projet'!$B$9,Paramètres!$A$1:$I$89,3,0)*0.475*44/12</f>
        <v>17.978356820000041</v>
      </c>
      <c r="AB100" s="21">
        <f>EXP(-LN(2)/2)*AB99+(1-EXP(-LN(2)/2))/(LN(2)/2)*V100*Y100*VLOOKUP('Données projet'!$B$9,Paramètres!$A$1:$I$89,3,0)*0.475*44/12</f>
        <v>1.6289379121834027E-5</v>
      </c>
      <c r="AC100" s="22">
        <f t="shared" si="57"/>
        <v>116.63659829816255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11.349999999999994</v>
      </c>
      <c r="AI100" s="13">
        <f>IF('Données projet'!$A$62&gt;35,AI99+AH100-AQ99,IF(A100&lt;'Données projet'!$A$62,$AF$205^A100,IF(A100='Données projet'!$A$62,'Données projet'!$B$62,AI99+AH100-AQ99)))</f>
        <v>471.7999999999995</v>
      </c>
      <c r="AJ100" s="13">
        <f>AI100*VLOOKUP('Données projet'!$B$10,Paramètres!$A$1:$I$89,3,0)*VLOOKUP('Données projet'!$B$10,Paramètres!$A$1:$I$89,5,0)</f>
        <v>226.93579999999974</v>
      </c>
      <c r="AK100" s="13">
        <f t="shared" si="89"/>
        <v>55.619613558525174</v>
      </c>
      <c r="AL100" s="20">
        <f t="shared" si="58"/>
        <v>492.11734528109758</v>
      </c>
      <c r="AM100" s="59">
        <f t="shared" si="59"/>
        <v>785.4506786144309</v>
      </c>
      <c r="AN100" s="59">
        <f ca="1">AVERAGE(OFFSET($AM$3,0,0,'Données projet'!$E$10+1,1))-AVERAGE(OFFSET($H$3,0,0,'Données projet'!$E$10+1,1))</f>
        <v>255.05550867459038</v>
      </c>
      <c r="AO100" s="59">
        <f t="shared" si="90"/>
        <v>119.28597757550295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80.927668578935894</v>
      </c>
      <c r="AV100" s="21">
        <f>EXP(-LN(2)/25)*AV99+(1-EXP(-LN(2)/25))/(LN(2)/25)*Calculateur!AQ100*Calculateur!AS100*VLOOKUP('Données projet'!$B$10,Paramètres!$A$1:$I$89,3,0)*0.475*44/12</f>
        <v>23.294977110753255</v>
      </c>
      <c r="AW100" s="21">
        <f>EXP(-LN(2)/2)*AW99+(1-EXP(-LN(2)/2))/(LN(2)/2)*AQ100*AT100*VLOOKUP('Données projet'!$B$10,Paramètres!$A$1:$I$89,3,0)*0.475*44/12</f>
        <v>0.83155947165626731</v>
      </c>
      <c r="AX100" s="21">
        <f t="shared" si="60"/>
        <v>105.05420516134541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>
        <f>VLOOKUP(A100,'Données projet'!$A$87:$I$107,2,0)</f>
        <v>398.27692307692308</v>
      </c>
      <c r="BB100" s="12">
        <f>VLOOKUP(A100,'Données projet'!$A$87:$I$107,9,0)</f>
        <v>8.7211538461538485</v>
      </c>
      <c r="BC100" s="12">
        <f t="array" ref="BC100">INDEX(BB:BB,MIN(IF(ISNUMBER(BB100:BB296),ROW(BB100:BB296),"")))</f>
        <v>8.7211538461538485</v>
      </c>
      <c r="BD100" s="12">
        <f>IF('Données projet'!$A$88&gt;35,BD99+BC100-BL99,IF(A100&lt;'Données projet'!$A$88,$BA$205^A100,IF(A100='Données projet'!$A$88,'Données projet'!$B$88,BD99+BC100-BL99)))</f>
        <v>398.27692307692377</v>
      </c>
      <c r="BE100" s="13">
        <f>BD100*VLOOKUP('Données projet'!$B$11,Paramètres!$A$1:$I$89,3,0)*VLOOKUP('Données projet'!$B$11,Paramètres!$A$1:$I$89,5,0)</f>
        <v>186.39360000000033</v>
      </c>
      <c r="BF100" s="13">
        <f t="shared" si="91"/>
        <v>46.741741929451443</v>
      </c>
      <c r="BG100" s="20">
        <f t="shared" si="61"/>
        <v>406.04405386046182</v>
      </c>
      <c r="BH100" s="59">
        <f t="shared" si="62"/>
        <v>699.37738719379513</v>
      </c>
      <c r="BI100" s="59">
        <f ca="1">AVERAGE(OFFSET($BH$3,0,0,'Données projet'!$E$11+1,1))-AVERAGE(OFFSET($H$3,0,0,'Données projet'!$E$11+1,1))</f>
        <v>181.79645720099597</v>
      </c>
      <c r="BJ100" s="59">
        <f t="shared" si="92"/>
        <v>120.20040029102233</v>
      </c>
      <c r="BK100" s="15">
        <f>IF(ISNA(VLOOKUP(A100,'Données projet'!$A$87:$I$107,3,0)),0,VLOOKUP(A100,'Données projet'!$A$87:$I$107,3,0))</f>
        <v>5</v>
      </c>
      <c r="BL100" s="15">
        <f>IF(ISNA(VLOOKUP(A100,'Données projet'!$A$87:$I$107,4,0)),0,VLOOKUP(A100,'Données projet'!$A$87:$I$107,4,0))</f>
        <v>79.669230769230765</v>
      </c>
      <c r="BM100" s="16">
        <f>IF(ISNA(VLOOKUP(A100,'Données projet'!$A$87:$I$107,5,0)),0%,VLOOKUP(A100,'Données projet'!$A$87:$I$107,5,0)*VLOOKUP('Données projet'!$B$11,Paramètres!$A$1:$I$89,7,0))</f>
        <v>0.38500000000000001</v>
      </c>
      <c r="BN100" s="16">
        <f>IF(ISNA(VLOOKUP(A100,'Données projet'!$A$87:$I$107,6,0)),0%,VLOOKUP(A100,'Données projet'!$A$87:$I$107,6,0)*VLOOKUP('Données projet'!$B$11,Paramètres!$A$1:$I$89,7,0))</f>
        <v>9.240000000000001E-2</v>
      </c>
      <c r="BO100" s="16">
        <f>IF(ISNA(VLOOKUP(A100,'Données projet'!$A$87:$I$107,7,0)),0%,VLOOKUP(A100,'Données projet'!$A$87:$I$107,7,0))</f>
        <v>0.13200000000000001</v>
      </c>
      <c r="BP100" s="21">
        <f>EXP(-LN(2)/35)*BP99+(1-EXP(-LN(2)/35))/(LN(2)/35)*BL100*BM100*VLOOKUP('Données projet'!$B$11,Paramètres!$A$1:$I$89,3,0)*0.475*44/12</f>
        <v>60.110439571641187</v>
      </c>
      <c r="BQ100" s="21">
        <f>EXP(-LN(2)/25)*BQ99+(1-EXP(-LN(2)/25))/(LN(2)/25)*Calculateur!BL100*Calculateur!BN100*VLOOKUP('Données projet'!$B$11,Paramètres!$A$1:$I$89,3,0)*0.475*44/12</f>
        <v>21.84012432948392</v>
      </c>
      <c r="BR100" s="21">
        <f>EXP(-LN(2)/2)*BR99+(1-EXP(-LN(2)/2))/(LN(2)/2)*BL100*BO100*VLOOKUP('Données projet'!$B$11,Paramètres!$A$1:$I$89,3,0)*0.475*44/12</f>
        <v>5.6671975078443229</v>
      </c>
      <c r="BS100" s="22">
        <f t="shared" si="63"/>
        <v>87.617761408969429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-3.979039320256561E-13</v>
      </c>
      <c r="BZ100" s="13">
        <f>BY100*VLOOKUP('Données projet'!$B$12,Paramètres!$A$1:$I$89,3,0)*VLOOKUP('Données projet'!$B$12,Paramètres!$A$1:$I$89,5,0)</f>
        <v>-2.379465513513424E-13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213.18424462765137</v>
      </c>
      <c r="CE100" s="59">
        <f t="shared" si="94"/>
        <v>158.77848520346532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101.58518014145645</v>
      </c>
      <c r="CL100" s="21">
        <f>EXP(-LN(2)/25)*CL99+(1-EXP(-LN(2)/25))/(LN(2)/25)*Calculateur!CG100*Calculateur!CI100*VLOOKUP('Données projet'!$B$12,Paramètres!$A$1:$I$89,3,0)*0.475*44/12</f>
        <v>21.355410960331554</v>
      </c>
      <c r="CM100" s="21">
        <f>EXP(-LN(2)/2)*CM99+(1-EXP(-LN(2)/2))/(LN(2)/2)*CG100*CJ100*VLOOKUP('Données projet'!$B$12,Paramètres!$A$1:$I$89,3,0)*0.475*44/12</f>
        <v>9.9882763519032788E-2</v>
      </c>
      <c r="CN100" s="22">
        <f t="shared" si="66"/>
        <v>123.04047386530704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319</v>
      </c>
      <c r="CU100" s="17">
        <f>CT100*VLOOKUP('Données projet'!$B$13,Paramètres!$A$1:$I$89,3,0)*VLOOKUP('Données projet'!$B$13,Paramètres!$A$1:$I$89,5,0)</f>
        <v>253.79640000000001</v>
      </c>
      <c r="CV100" s="13">
        <f t="shared" si="95"/>
        <v>61.39816832228076</v>
      </c>
      <c r="CW100" s="20">
        <f t="shared" si="67"/>
        <v>548.96387316130563</v>
      </c>
      <c r="CX100" s="59">
        <f t="shared" si="68"/>
        <v>842.29720649463889</v>
      </c>
      <c r="CY100" s="59">
        <f ca="1">AVERAGE(OFFSET($CX$3,0,0,'Données projet'!$E$13+1,1))-AVERAGE(OFFSET($H$3,0,0,'Données projet'!$E$13+1,1))</f>
        <v>279.49721661620544</v>
      </c>
      <c r="CZ100" s="59">
        <f t="shared" si="96"/>
        <v>275.18739333988754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31.978500781356537</v>
      </c>
      <c r="DG100" s="21">
        <f>EXP(-LN(2)/25)*DG99+(1-EXP(-LN(2)/25))/(LN(2)/25)*Calculateur!DB100*Calculateur!DD100*VLOOKUP('Données projet'!$B$13,Paramètres!$A$1:$I$89,3,0)*0.475*44/12</f>
        <v>4.7095798075726112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36.688080588929147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-1.1368683772161603E-13</v>
      </c>
      <c r="O101" s="13">
        <f>N101*VLOOKUP('Données projet'!$B$9,Paramètres!$A$1:$I$89,3,0)*VLOOKUP('Données projet'!$B$9,Paramètres!$A$1:$I$89,5,0)</f>
        <v>-6.3550942286383367E-14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278.5296012747549</v>
      </c>
      <c r="T101" s="59">
        <f t="shared" si="88"/>
        <v>370.55343097937077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96.723597568406873</v>
      </c>
      <c r="AA101" s="21">
        <f>EXP(-LN(2)/25)*AA100+(1-EXP(-LN(2)/25))/(LN(2)/25)*Calculateur!V101*Calculateur!X101*VLOOKUP('Données projet'!$B$9,Paramètres!$A$1:$I$89,3,0)*0.475*44/12</f>
        <v>17.486737707316443</v>
      </c>
      <c r="AB101" s="21">
        <f>EXP(-LN(2)/2)*AB100+(1-EXP(-LN(2)/2))/(LN(2)/2)*V101*Y101*VLOOKUP('Données projet'!$B$9,Paramètres!$A$1:$I$89,3,0)*0.475*44/12</f>
        <v>1.1518330438367409E-5</v>
      </c>
      <c r="AC101" s="22">
        <f t="shared" si="57"/>
        <v>114.21034679405375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11.349999999999994</v>
      </c>
      <c r="AI101" s="13">
        <f>IF('Données projet'!$A$62&gt;35,AI100+AH101-AQ100,IF(A101&lt;'Données projet'!$A$62,$AF$205^A101,IF(A101='Données projet'!$A$62,'Données projet'!$B$62,AI100+AH101-AQ100)))</f>
        <v>483.14999999999952</v>
      </c>
      <c r="AJ101" s="13">
        <f>AI101*VLOOKUP('Données projet'!$B$10,Paramètres!$A$1:$I$89,3,0)*VLOOKUP('Données projet'!$B$10,Paramètres!$A$1:$I$89,5,0)</f>
        <v>232.3951499999998</v>
      </c>
      <c r="AK101" s="13">
        <f t="shared" si="89"/>
        <v>56.800256289767248</v>
      </c>
      <c r="AL101" s="20">
        <f t="shared" si="58"/>
        <v>503.68199928801096</v>
      </c>
      <c r="AM101" s="59">
        <f t="shared" si="59"/>
        <v>797.01533262134421</v>
      </c>
      <c r="AN101" s="59">
        <f ca="1">AVERAGE(OFFSET($AM$3,0,0,'Données projet'!$E$10+1,1))-AVERAGE(OFFSET($H$3,0,0,'Données projet'!$E$10+1,1))</f>
        <v>255.05550867459038</v>
      </c>
      <c r="AO101" s="59">
        <f t="shared" si="90"/>
        <v>119.28597757550295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79.340726359106796</v>
      </c>
      <c r="AV101" s="21">
        <f>EXP(-LN(2)/25)*AV100+(1-EXP(-LN(2)/25))/(LN(2)/25)*Calculateur!AQ101*Calculateur!AS101*VLOOKUP('Données projet'!$B$10,Paramètres!$A$1:$I$89,3,0)*0.475*44/12</f>
        <v>22.657974736630102</v>
      </c>
      <c r="AW101" s="21">
        <f>EXP(-LN(2)/2)*AW100+(1-EXP(-LN(2)/2))/(LN(2)/2)*AQ101*AT101*VLOOKUP('Données projet'!$B$10,Paramètres!$A$1:$I$89,3,0)*0.475*44/12</f>
        <v>0.58800134136804927</v>
      </c>
      <c r="AX101" s="21">
        <f t="shared" si="60"/>
        <v>102.58670243710495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7.882692307692305</v>
      </c>
      <c r="BD101" s="12">
        <f>IF('Données projet'!$A$88&gt;35,BD100+BC101-BL100,IF(A101&lt;'Données projet'!$A$88,$BA$205^A101,IF(A101='Données projet'!$A$88,'Données projet'!$B$88,BD100+BC101-BL100)))</f>
        <v>326.49038461538532</v>
      </c>
      <c r="BE101" s="13">
        <f>BD101*VLOOKUP('Données projet'!$B$11,Paramètres!$A$1:$I$89,3,0)*VLOOKUP('Données projet'!$B$11,Paramètres!$A$1:$I$89,5,0)</f>
        <v>152.79750000000033</v>
      </c>
      <c r="BF101" s="13">
        <f t="shared" si="91"/>
        <v>39.213642223408968</v>
      </c>
      <c r="BG101" s="20">
        <f t="shared" si="61"/>
        <v>334.41940603910456</v>
      </c>
      <c r="BH101" s="59">
        <f t="shared" si="62"/>
        <v>627.75273937243787</v>
      </c>
      <c r="BI101" s="59">
        <f ca="1">AVERAGE(OFFSET($BH$3,0,0,'Données projet'!$E$11+1,1))-AVERAGE(OFFSET($H$3,0,0,'Données projet'!$E$11+1,1))</f>
        <v>181.79645720099597</v>
      </c>
      <c r="BJ101" s="59">
        <f t="shared" si="92"/>
        <v>120.20040029102233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58.931710515389199</v>
      </c>
      <c r="BQ101" s="21">
        <f>EXP(-LN(2)/25)*BQ100+(1-EXP(-LN(2)/25))/(LN(2)/25)*Calculateur!BL101*Calculateur!BN101*VLOOKUP('Données projet'!$B$11,Paramètres!$A$1:$I$89,3,0)*0.475*44/12</f>
        <v>21.242904981171961</v>
      </c>
      <c r="BR101" s="21">
        <f>EXP(-LN(2)/2)*BR100+(1-EXP(-LN(2)/2))/(LN(2)/2)*BL101*BO101*VLOOKUP('Données projet'!$B$11,Paramètres!$A$1:$I$89,3,0)*0.475*44/12</f>
        <v>4.0073137881202232</v>
      </c>
      <c r="BS101" s="22">
        <f t="shared" si="63"/>
        <v>84.181929284681388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-3.979039320256561E-13</v>
      </c>
      <c r="BZ101" s="13">
        <f>BY101*VLOOKUP('Données projet'!$B$12,Paramètres!$A$1:$I$89,3,0)*VLOOKUP('Données projet'!$B$12,Paramètres!$A$1:$I$89,5,0)</f>
        <v>-2.379465513513424E-13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213.18424462765137</v>
      </c>
      <c r="CE101" s="59">
        <f t="shared" si="94"/>
        <v>158.77848520346532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99.593156719724249</v>
      </c>
      <c r="CL101" s="21">
        <f>EXP(-LN(2)/25)*CL100+(1-EXP(-LN(2)/25))/(LN(2)/25)*Calculateur!CG101*Calculateur!CI101*VLOOKUP('Données projet'!$B$12,Paramètres!$A$1:$I$89,3,0)*0.475*44/12</f>
        <v>20.771446124589033</v>
      </c>
      <c r="CM101" s="21">
        <f>EXP(-LN(2)/2)*CM100+(1-EXP(-LN(2)/2))/(LN(2)/2)*CG101*CJ101*VLOOKUP('Données projet'!$B$12,Paramètres!$A$1:$I$89,3,0)*0.475*44/12</f>
        <v>7.0627779407960389E-2</v>
      </c>
      <c r="CN101" s="22">
        <f t="shared" si="66"/>
        <v>120.43523062372124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319</v>
      </c>
      <c r="CU101" s="17">
        <f>CT101*VLOOKUP('Données projet'!$B$13,Paramètres!$A$1:$I$89,3,0)*VLOOKUP('Données projet'!$B$13,Paramètres!$A$1:$I$89,5,0)</f>
        <v>253.79640000000001</v>
      </c>
      <c r="CV101" s="13">
        <f t="shared" si="95"/>
        <v>61.39816832228076</v>
      </c>
      <c r="CW101" s="20">
        <f t="shared" si="67"/>
        <v>548.96387316130563</v>
      </c>
      <c r="CX101" s="59">
        <f t="shared" si="68"/>
        <v>842.29720649463889</v>
      </c>
      <c r="CY101" s="59">
        <f ca="1">AVERAGE(OFFSET($CX$3,0,0,'Données projet'!$E$13+1,1))-AVERAGE(OFFSET($H$3,0,0,'Données projet'!$E$13+1,1))</f>
        <v>279.49721661620544</v>
      </c>
      <c r="CZ101" s="59">
        <f t="shared" si="96"/>
        <v>275.18739333988754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31.351421885993659</v>
      </c>
      <c r="DG101" s="21">
        <f>EXP(-LN(2)/25)*DG100+(1-EXP(-LN(2)/25))/(LN(2)/25)*Calculateur!DB101*Calculateur!DD101*VLOOKUP('Données projet'!$B$13,Paramètres!$A$1:$I$89,3,0)*0.475*44/12</f>
        <v>4.5807961000684996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35.932217986062156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-1.1368683772161603E-13</v>
      </c>
      <c r="O102" s="13">
        <f>N102*VLOOKUP('Données projet'!$B$9,Paramètres!$A$1:$I$89,3,0)*VLOOKUP('Données projet'!$B$9,Paramètres!$A$1:$I$89,5,0)</f>
        <v>-6.3550942286383367E-14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278.5296012747549</v>
      </c>
      <c r="T102" s="59">
        <f t="shared" si="88"/>
        <v>370.55343097937077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94.826906815659598</v>
      </c>
      <c r="AA102" s="21">
        <f>EXP(-LN(2)/25)*AA101+(1-EXP(-LN(2)/25))/(LN(2)/25)*Calculateur!V102*Calculateur!X102*VLOOKUP('Données projet'!$B$9,Paramètres!$A$1:$I$89,3,0)*0.475*44/12</f>
        <v>17.008561945122306</v>
      </c>
      <c r="AB102" s="21">
        <f>EXP(-LN(2)/2)*AB101+(1-EXP(-LN(2)/2))/(LN(2)/2)*V102*Y102*VLOOKUP('Données projet'!$B$9,Paramètres!$A$1:$I$89,3,0)*0.475*44/12</f>
        <v>8.1446895609170135E-6</v>
      </c>
      <c r="AC102" s="22">
        <f t="shared" si="57"/>
        <v>111.83547690547147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>
        <f>VLOOKUP(A102,'Données projet'!$A$61:$I$81,2,0)</f>
        <v>494.5</v>
      </c>
      <c r="AG102" s="12">
        <f>VLOOKUP(A102,'Données projet'!$A$61:$I$81,9,0)</f>
        <v>11.349999999999994</v>
      </c>
      <c r="AH102" s="12">
        <f t="array" ref="AH102">INDEX(AG:AG,MIN(IF(ISNUMBER(AG102:AG298),ROW(AG102:AG298),"")))</f>
        <v>11.349999999999994</v>
      </c>
      <c r="AI102" s="13">
        <f>IF('Données projet'!$A$62&gt;35,AI101+AH102-AQ101,IF(A102&lt;'Données projet'!$A$62,$AF$205^A102,IF(A102='Données projet'!$A$62,'Données projet'!$B$62,AI101+AH102-AQ101)))</f>
        <v>494.49999999999955</v>
      </c>
      <c r="AJ102" s="13">
        <f>AI102*VLOOKUP('Données projet'!$B$10,Paramètres!$A$1:$I$89,3,0)*VLOOKUP('Données projet'!$B$10,Paramètres!$A$1:$I$89,5,0)</f>
        <v>237.8544999999998</v>
      </c>
      <c r="AK102" s="13">
        <f t="shared" si="89"/>
        <v>57.977674732195801</v>
      </c>
      <c r="AL102" s="20">
        <f t="shared" si="58"/>
        <v>515.24103765857387</v>
      </c>
      <c r="AM102" s="59">
        <f t="shared" si="59"/>
        <v>808.57437099190724</v>
      </c>
      <c r="AN102" s="59">
        <f ca="1">AVERAGE(OFFSET($AM$3,0,0,'Données projet'!$E$10+1,1))-AVERAGE(OFFSET($H$3,0,0,'Données projet'!$E$10+1,1))</f>
        <v>255.05550867459038</v>
      </c>
      <c r="AO102" s="59">
        <f t="shared" si="90"/>
        <v>119.28597757550295</v>
      </c>
      <c r="AP102" s="15">
        <f>IF(ISNA(VLOOKUP(A102,'Données projet'!$A$61:$I$81,3,0)),0,VLOOKUP(A102,'Données projet'!$A$61:$I$81,3,0))</f>
        <v>8</v>
      </c>
      <c r="AQ102" s="15">
        <f>IF(ISNA(VLOOKUP(A102,'Données projet'!$A$61:$I$81,4,0)),0,VLOOKUP(A102,'Données projet'!$A$61:$I$81,4,0))</f>
        <v>69.7</v>
      </c>
      <c r="AR102" s="16">
        <f>IF(ISNA(VLOOKUP(A102,'Données projet'!$A$61:$I$81,5,0)),0%,VLOOKUP(A102,'Données projet'!$A$61:$I$81,5,0)*VLOOKUP('Données projet'!$B$10,Paramètres!$A$1:$I$89,7,0))</f>
        <v>0.38500000000000001</v>
      </c>
      <c r="AS102" s="16">
        <f>IF(ISNA(VLOOKUP(A102,'Données projet'!$A$61:$I$81,6,0)),0%,VLOOKUP(A102,'Données projet'!$A$61:$I$81,6,0)*VLOOKUP('Données projet'!$B$10,Paramètres!$A$1:$I$89,7,0))</f>
        <v>9.3500000000000014E-2</v>
      </c>
      <c r="AT102" s="16">
        <f>IF(ISNA(VLOOKUP(A102,'Données projet'!$A$61:$I$81,7,0)),0%,VLOOKUP(A102,'Données projet'!$A$61:$I$81,7,0))</f>
        <v>0.13</v>
      </c>
      <c r="AU102" s="21">
        <f>EXP(-LN(2)/35)*AU101+(1-EXP(-LN(2)/35))/(LN(2)/35)*AQ102*AR102*VLOOKUP('Données projet'!$B$10,Paramètres!$A$1:$I$89,3,0)*0.475*44/12</f>
        <v>94.907393864305192</v>
      </c>
      <c r="AV102" s="21">
        <f>EXP(-LN(2)/25)*AV101+(1-EXP(-LN(2)/25))/(LN(2)/25)*Calculateur!AQ102*Calculateur!AS102*VLOOKUP('Données projet'!$B$10,Paramètres!$A$1:$I$89,3,0)*0.475*44/12</f>
        <v>26.18033752246485</v>
      </c>
      <c r="AW102" s="21">
        <f>EXP(-LN(2)/2)*AW101+(1-EXP(-LN(2)/2))/(LN(2)/2)*AQ102*AT102*VLOOKUP('Données projet'!$B$10,Paramètres!$A$1:$I$89,3,0)*0.475*44/12</f>
        <v>5.3504341796619279</v>
      </c>
      <c r="AX102" s="21">
        <f t="shared" si="60"/>
        <v>126.43816556643198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7.882692307692305</v>
      </c>
      <c r="BD102" s="12">
        <f>IF('Données projet'!$A$88&gt;35,BD101+BC102-BL101,IF(A102&lt;'Données projet'!$A$88,$BA$205^A102,IF(A102='Données projet'!$A$88,'Données projet'!$B$88,BD101+BC102-BL101)))</f>
        <v>334.37307692307763</v>
      </c>
      <c r="BE102" s="13">
        <f>BD102*VLOOKUP('Données projet'!$B$11,Paramètres!$A$1:$I$89,3,0)*VLOOKUP('Données projet'!$B$11,Paramètres!$A$1:$I$89,5,0)</f>
        <v>156.48660000000032</v>
      </c>
      <c r="BF102" s="13">
        <f t="shared" si="91"/>
        <v>40.049037096609261</v>
      </c>
      <c r="BG102" s="20">
        <f t="shared" si="61"/>
        <v>342.29956794326159</v>
      </c>
      <c r="BH102" s="59">
        <f t="shared" si="62"/>
        <v>635.63290127659491</v>
      </c>
      <c r="BI102" s="59">
        <f ca="1">AVERAGE(OFFSET($BH$3,0,0,'Données projet'!$E$11+1,1))-AVERAGE(OFFSET($H$3,0,0,'Données projet'!$E$11+1,1))</f>
        <v>181.79645720099597</v>
      </c>
      <c r="BJ102" s="59">
        <f t="shared" si="92"/>
        <v>120.20040029102233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57.776095616976576</v>
      </c>
      <c r="BQ102" s="21">
        <f>EXP(-LN(2)/25)*BQ101+(1-EXP(-LN(2)/25))/(LN(2)/25)*Calculateur!BL102*Calculateur!BN102*VLOOKUP('Données projet'!$B$11,Paramètres!$A$1:$I$89,3,0)*0.475*44/12</f>
        <v>20.662016627345992</v>
      </c>
      <c r="BR102" s="21">
        <f>EXP(-LN(2)/2)*BR101+(1-EXP(-LN(2)/2))/(LN(2)/2)*BL102*BO102*VLOOKUP('Données projet'!$B$11,Paramètres!$A$1:$I$89,3,0)*0.475*44/12</f>
        <v>2.8335987539221619</v>
      </c>
      <c r="BS102" s="22">
        <f t="shared" si="63"/>
        <v>81.271710998244728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-3.979039320256561E-13</v>
      </c>
      <c r="BZ102" s="13">
        <f>BY102*VLOOKUP('Données projet'!$B$12,Paramètres!$A$1:$I$89,3,0)*VLOOKUP('Données projet'!$B$12,Paramètres!$A$1:$I$89,5,0)</f>
        <v>-2.379465513513424E-13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213.18424462765137</v>
      </c>
      <c r="CE102" s="59">
        <f t="shared" si="94"/>
        <v>158.77848520346532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97.640195662277904</v>
      </c>
      <c r="CL102" s="21">
        <f>EXP(-LN(2)/25)*CL101+(1-EXP(-LN(2)/25))/(LN(2)/25)*Calculateur!CG102*Calculateur!CI102*VLOOKUP('Données projet'!$B$12,Paramètres!$A$1:$I$89,3,0)*0.475*44/12</f>
        <v>20.203449837989268</v>
      </c>
      <c r="CM102" s="21">
        <f>EXP(-LN(2)/2)*CM101+(1-EXP(-LN(2)/2))/(LN(2)/2)*CG102*CJ102*VLOOKUP('Données projet'!$B$12,Paramètres!$A$1:$I$89,3,0)*0.475*44/12</f>
        <v>4.9941381759516394E-2</v>
      </c>
      <c r="CN102" s="22">
        <f t="shared" si="66"/>
        <v>117.89358688202668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319</v>
      </c>
      <c r="CU102" s="17">
        <f>CT102*VLOOKUP('Données projet'!$B$13,Paramètres!$A$1:$I$89,3,0)*VLOOKUP('Données projet'!$B$13,Paramètres!$A$1:$I$89,5,0)</f>
        <v>253.79640000000001</v>
      </c>
      <c r="CV102" s="13">
        <f t="shared" si="95"/>
        <v>61.39816832228076</v>
      </c>
      <c r="CW102" s="20">
        <f t="shared" si="67"/>
        <v>548.96387316130563</v>
      </c>
      <c r="CX102" s="59">
        <f t="shared" si="68"/>
        <v>842.29720649463889</v>
      </c>
      <c r="CY102" s="59">
        <f ca="1">AVERAGE(OFFSET($CX$3,0,0,'Données projet'!$E$13+1,1))-AVERAGE(OFFSET($H$3,0,0,'Données projet'!$E$13+1,1))</f>
        <v>279.49721661620544</v>
      </c>
      <c r="CZ102" s="59">
        <f t="shared" si="96"/>
        <v>275.18739333988754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30.736639625288486</v>
      </c>
      <c r="DG102" s="21">
        <f>EXP(-LN(2)/25)*DG101+(1-EXP(-LN(2)/25))/(LN(2)/25)*Calculateur!DB102*Calculateur!DD102*VLOOKUP('Données projet'!$B$13,Paramètres!$A$1:$I$89,3,0)*0.475*44/12</f>
        <v>4.4555339898185293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35.192173615107016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-1.1368683772161603E-13</v>
      </c>
      <c r="O103" s="13">
        <f>N103*VLOOKUP('Données projet'!$B$9,Paramètres!$A$1:$I$89,3,0)*VLOOKUP('Données projet'!$B$9,Paramètres!$A$1:$I$89,5,0)</f>
        <v>-6.3550942286383367E-14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278.5296012747549</v>
      </c>
      <c r="T103" s="59">
        <f t="shared" si="88"/>
        <v>370.55343097937077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92.967409011706579</v>
      </c>
      <c r="AA103" s="21">
        <f>EXP(-LN(2)/25)*AA102+(1-EXP(-LN(2)/25))/(LN(2)/25)*Calculateur!V103*Calculateur!X103*VLOOKUP('Données projet'!$B$9,Paramètres!$A$1:$I$89,3,0)*0.475*44/12</f>
        <v>16.543461924291538</v>
      </c>
      <c r="AB103" s="21">
        <f>EXP(-LN(2)/2)*AB102+(1-EXP(-LN(2)/2))/(LN(2)/2)*V103*Y103*VLOOKUP('Données projet'!$B$9,Paramètres!$A$1:$I$89,3,0)*0.475*44/12</f>
        <v>5.7591652191837045E-6</v>
      </c>
      <c r="AC103" s="22">
        <f t="shared" si="57"/>
        <v>109.51087669516333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10.25</v>
      </c>
      <c r="AI103" s="13">
        <f>IF('Données projet'!$A$62&gt;35,AI102+AH103-AQ102,IF(A103&lt;'Données projet'!$A$62,$AF$205^A103,IF(A103='Données projet'!$A$62,'Données projet'!$B$62,AI102+AH103-AQ102)))</f>
        <v>435.04999999999956</v>
      </c>
      <c r="AJ103" s="13">
        <f>AI103*VLOOKUP('Données projet'!$B$10,Paramètres!$A$1:$I$89,3,0)*VLOOKUP('Données projet'!$B$10,Paramètres!$A$1:$I$89,5,0)</f>
        <v>209.2590499999998</v>
      </c>
      <c r="AK103" s="13">
        <f t="shared" si="89"/>
        <v>51.773636188198871</v>
      </c>
      <c r="AL103" s="20">
        <f t="shared" si="58"/>
        <v>454.63192844444603</v>
      </c>
      <c r="AM103" s="59">
        <f t="shared" si="59"/>
        <v>747.96526177777935</v>
      </c>
      <c r="AN103" s="59">
        <f ca="1">AVERAGE(OFFSET($AM$3,0,0,'Données projet'!$E$10+1,1))-AVERAGE(OFFSET($H$3,0,0,'Données projet'!$E$10+1,1))</f>
        <v>255.05550867459038</v>
      </c>
      <c r="AO103" s="59">
        <f t="shared" si="90"/>
        <v>119.28597757550295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93.046317758420486</v>
      </c>
      <c r="AV103" s="21">
        <f>EXP(-LN(2)/25)*AV102+(1-EXP(-LN(2)/25))/(LN(2)/25)*Calculateur!AQ103*Calculateur!AS103*VLOOKUP('Données projet'!$B$10,Paramètres!$A$1:$I$89,3,0)*0.475*44/12</f>
        <v>25.464434816148934</v>
      </c>
      <c r="AW103" s="21">
        <f>EXP(-LN(2)/2)*AW102+(1-EXP(-LN(2)/2))/(LN(2)/2)*AQ103*AT103*VLOOKUP('Données projet'!$B$10,Paramètres!$A$1:$I$89,3,0)*0.475*44/12</f>
        <v>3.783328290731232</v>
      </c>
      <c r="AX103" s="21">
        <f t="shared" si="60"/>
        <v>122.29408086530066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7.882692307692305</v>
      </c>
      <c r="BD103" s="12">
        <f>IF('Données projet'!$A$88&gt;35,BD102+BC103-BL102,IF(A103&lt;'Données projet'!$A$88,$BA$205^A103,IF(A103='Données projet'!$A$88,'Données projet'!$B$88,BD102+BC103-BL102)))</f>
        <v>342.25576923076994</v>
      </c>
      <c r="BE103" s="13">
        <f>BD103*VLOOKUP('Données projet'!$B$11,Paramètres!$A$1:$I$89,3,0)*VLOOKUP('Données projet'!$B$11,Paramètres!$A$1:$I$89,5,0)</f>
        <v>160.17570000000035</v>
      </c>
      <c r="BF103" s="13">
        <f t="shared" si="91"/>
        <v>40.882142500403575</v>
      </c>
      <c r="BG103" s="20">
        <f t="shared" si="61"/>
        <v>350.17574235487018</v>
      </c>
      <c r="BH103" s="59">
        <f t="shared" si="62"/>
        <v>643.50907568820344</v>
      </c>
      <c r="BI103" s="59">
        <f ca="1">AVERAGE(OFFSET($BH$3,0,0,'Données projet'!$E$11+1,1))-AVERAGE(OFFSET($H$3,0,0,'Données projet'!$E$11+1,1))</f>
        <v>181.79645720099597</v>
      </c>
      <c r="BJ103" s="59">
        <f t="shared" si="92"/>
        <v>120.20040029102233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56.643141621866334</v>
      </c>
      <c r="BQ103" s="21">
        <f>EXP(-LN(2)/25)*BQ102+(1-EXP(-LN(2)/25))/(LN(2)/25)*Calculateur!BL103*Calculateur!BN103*VLOOKUP('Données projet'!$B$11,Paramètres!$A$1:$I$89,3,0)*0.475*44/12</f>
        <v>20.097012696102986</v>
      </c>
      <c r="BR103" s="21">
        <f>EXP(-LN(2)/2)*BR102+(1-EXP(-LN(2)/2))/(LN(2)/2)*BL103*BO103*VLOOKUP('Données projet'!$B$11,Paramètres!$A$1:$I$89,3,0)*0.475*44/12</f>
        <v>2.003656894060112</v>
      </c>
      <c r="BS103" s="22">
        <f t="shared" si="63"/>
        <v>78.743811212029428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-3.979039320256561E-13</v>
      </c>
      <c r="BZ103" s="13">
        <f>BY103*VLOOKUP('Données projet'!$B$12,Paramètres!$A$1:$I$89,3,0)*VLOOKUP('Données projet'!$B$12,Paramètres!$A$1:$I$89,5,0)</f>
        <v>-2.379465513513424E-13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213.18424462765137</v>
      </c>
      <c r="CE103" s="59">
        <f t="shared" si="94"/>
        <v>158.77848520346532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95.725530979979453</v>
      </c>
      <c r="CL103" s="21">
        <f>EXP(-LN(2)/25)*CL102+(1-EXP(-LN(2)/25))/(LN(2)/25)*Calculateur!CG103*Calculateur!CI103*VLOOKUP('Données projet'!$B$12,Paramètres!$A$1:$I$89,3,0)*0.475*44/12</f>
        <v>19.650985439716202</v>
      </c>
      <c r="CM103" s="21">
        <f>EXP(-LN(2)/2)*CM102+(1-EXP(-LN(2)/2))/(LN(2)/2)*CG103*CJ103*VLOOKUP('Données projet'!$B$12,Paramètres!$A$1:$I$89,3,0)*0.475*44/12</f>
        <v>3.5313889703980195E-2</v>
      </c>
      <c r="CN103" s="22">
        <f t="shared" si="66"/>
        <v>115.41183030939965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319</v>
      </c>
      <c r="CU103" s="17">
        <f>CT103*VLOOKUP('Données projet'!$B$13,Paramètres!$A$1:$I$89,3,0)*VLOOKUP('Données projet'!$B$13,Paramètres!$A$1:$I$89,5,0)</f>
        <v>253.79640000000001</v>
      </c>
      <c r="CV103" s="13">
        <f t="shared" si="95"/>
        <v>61.39816832228076</v>
      </c>
      <c r="CW103" s="20">
        <f t="shared" si="67"/>
        <v>548.96387316130563</v>
      </c>
      <c r="CX103" s="59">
        <f t="shared" si="68"/>
        <v>842.29720649463889</v>
      </c>
      <c r="CY103" s="59">
        <f ca="1">AVERAGE(OFFSET($CX$3,0,0,'Données projet'!$E$13+1,1))-AVERAGE(OFFSET($H$3,0,0,'Données projet'!$E$13+1,1))</f>
        <v>279.49721661620544</v>
      </c>
      <c r="CZ103" s="59">
        <f t="shared" si="96"/>
        <v>275.18739333988754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30.133912869735589</v>
      </c>
      <c r="DG103" s="21">
        <f>EXP(-LN(2)/25)*DG102+(1-EXP(-LN(2)/25))/(LN(2)/25)*Calculateur!DB103*Calculateur!DD103*VLOOKUP('Données projet'!$B$13,Paramètres!$A$1:$I$89,3,0)*0.475*44/12</f>
        <v>4.333697178560592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34.46761004829618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-6.3550942286383367E-14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278.5296012747549</v>
      </c>
      <c r="T104" s="59">
        <f t="shared" si="88"/>
        <v>370.55343097937077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91.144374825507398</v>
      </c>
      <c r="AA104" s="21">
        <f>EXP(-LN(2)/25)*AA103+(1-EXP(-LN(2)/25))/(LN(2)/25)*Calculateur!V104*Calculateur!X104*VLOOKUP('Données projet'!$B$9,Paramètres!$A$1:$I$89,3,0)*0.475*44/12</f>
        <v>16.091080087988935</v>
      </c>
      <c r="AB104" s="21">
        <f>EXP(-LN(2)/2)*AB103+(1-EXP(-LN(2)/2))/(LN(2)/2)*V104*Y104*VLOOKUP('Données projet'!$B$9,Paramètres!$A$1:$I$89,3,0)*0.475*44/12</f>
        <v>4.0723447804585067E-6</v>
      </c>
      <c r="AC104" s="22">
        <f t="shared" si="57"/>
        <v>107.23545898584112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10.25</v>
      </c>
      <c r="AI104" s="13">
        <f>IF('Données projet'!$A$62&gt;35,AI103+AH104-AQ103,IF(A104&lt;'Données projet'!$A$62,$AF$205^A104,IF(A104='Données projet'!$A$62,'Données projet'!$B$62,AI103+AH104-AQ103)))</f>
        <v>445.29999999999956</v>
      </c>
      <c r="AJ104" s="13">
        <f>AI104*VLOOKUP('Données projet'!$B$10,Paramètres!$A$1:$I$89,3,0)*VLOOKUP('Données projet'!$B$10,Paramètres!$A$1:$I$89,5,0)</f>
        <v>214.18929999999978</v>
      </c>
      <c r="AK104" s="13">
        <f t="shared" si="89"/>
        <v>52.849998068507169</v>
      </c>
      <c r="AL104" s="20">
        <f t="shared" si="58"/>
        <v>465.09344413598291</v>
      </c>
      <c r="AM104" s="59">
        <f t="shared" si="59"/>
        <v>758.42677746931622</v>
      </c>
      <c r="AN104" s="59">
        <f ca="1">AVERAGE(OFFSET($AM$3,0,0,'Données projet'!$E$10+1,1))-AVERAGE(OFFSET($H$3,0,0,'Données projet'!$E$10+1,1))</f>
        <v>255.05550867459038</v>
      </c>
      <c r="AO104" s="59">
        <f t="shared" si="90"/>
        <v>119.28597757550295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91.221736219827832</v>
      </c>
      <c r="AV104" s="21">
        <f>EXP(-LN(2)/25)*AV103+(1-EXP(-LN(2)/25))/(LN(2)/25)*Calculateur!AQ104*Calculateur!AS104*VLOOKUP('Données projet'!$B$10,Paramètres!$A$1:$I$89,3,0)*0.475*44/12</f>
        <v>24.768108506984913</v>
      </c>
      <c r="AW104" s="21">
        <f>EXP(-LN(2)/2)*AW103+(1-EXP(-LN(2)/2))/(LN(2)/2)*AQ104*AT104*VLOOKUP('Données projet'!$B$10,Paramètres!$A$1:$I$89,3,0)*0.475*44/12</f>
        <v>2.6752170898309644</v>
      </c>
      <c r="AX104" s="21">
        <f t="shared" si="60"/>
        <v>118.66506181664371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7.882692307692305</v>
      </c>
      <c r="BD104" s="12">
        <f>IF('Données projet'!$A$88&gt;35,BD103+BC104-BL103,IF(A104&lt;'Données projet'!$A$88,$BA$205^A104,IF(A104='Données projet'!$A$88,'Données projet'!$B$88,BD103+BC104-BL103)))</f>
        <v>350.13846153846225</v>
      </c>
      <c r="BE104" s="13">
        <f>BD104*VLOOKUP('Données projet'!$B$11,Paramètres!$A$1:$I$89,3,0)*VLOOKUP('Données projet'!$B$11,Paramètres!$A$1:$I$89,5,0)</f>
        <v>163.86480000000032</v>
      </c>
      <c r="BF104" s="13">
        <f t="shared" si="91"/>
        <v>41.713017234350204</v>
      </c>
      <c r="BG104" s="20">
        <f t="shared" si="61"/>
        <v>358.04803168316045</v>
      </c>
      <c r="BH104" s="59">
        <f t="shared" si="62"/>
        <v>651.38136501649376</v>
      </c>
      <c r="BI104" s="59">
        <f ca="1">AVERAGE(OFFSET($BH$3,0,0,'Données projet'!$E$11+1,1))-AVERAGE(OFFSET($H$3,0,0,'Données projet'!$E$11+1,1))</f>
        <v>181.79645720099597</v>
      </c>
      <c r="BJ104" s="59">
        <f t="shared" si="92"/>
        <v>120.20040029102233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55.532404163566504</v>
      </c>
      <c r="BQ104" s="21">
        <f>EXP(-LN(2)/25)*BQ103+(1-EXP(-LN(2)/25))/(LN(2)/25)*Calculateur!BL104*Calculateur!BN104*VLOOKUP('Données projet'!$B$11,Paramètres!$A$1:$I$89,3,0)*0.475*44/12</f>
        <v>19.547458827072084</v>
      </c>
      <c r="BR104" s="21">
        <f>EXP(-LN(2)/2)*BR103+(1-EXP(-LN(2)/2))/(LN(2)/2)*BL104*BO104*VLOOKUP('Données projet'!$B$11,Paramètres!$A$1:$I$89,3,0)*0.475*44/12</f>
        <v>1.4167993769610812</v>
      </c>
      <c r="BS104" s="22">
        <f t="shared" si="63"/>
        <v>76.496662367599669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-3.979039320256561E-13</v>
      </c>
      <c r="BZ104" s="13">
        <f>BY104*VLOOKUP('Données projet'!$B$12,Paramètres!$A$1:$I$89,3,0)*VLOOKUP('Données projet'!$B$12,Paramètres!$A$1:$I$89,5,0)</f>
        <v>-2.379465513513424E-13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213.18424462765137</v>
      </c>
      <c r="CE104" s="59">
        <f t="shared" si="94"/>
        <v>158.77848520346532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93.848411704270731</v>
      </c>
      <c r="CL104" s="21">
        <f>EXP(-LN(2)/25)*CL103+(1-EXP(-LN(2)/25))/(LN(2)/25)*Calculateur!CG104*Calculateur!CI104*VLOOKUP('Données projet'!$B$12,Paramètres!$A$1:$I$89,3,0)*0.475*44/12</f>
        <v>19.11362820946675</v>
      </c>
      <c r="CM104" s="21">
        <f>EXP(-LN(2)/2)*CM103+(1-EXP(-LN(2)/2))/(LN(2)/2)*CG104*CJ104*VLOOKUP('Données projet'!$B$12,Paramètres!$A$1:$I$89,3,0)*0.475*44/12</f>
        <v>2.4970690879758197E-2</v>
      </c>
      <c r="CN104" s="22">
        <f t="shared" si="66"/>
        <v>112.98701060461724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319</v>
      </c>
      <c r="CU104" s="17">
        <f>CT104*VLOOKUP('Données projet'!$B$13,Paramètres!$A$1:$I$89,3,0)*VLOOKUP('Données projet'!$B$13,Paramètres!$A$1:$I$89,5,0)</f>
        <v>253.79640000000001</v>
      </c>
      <c r="CV104" s="13">
        <f t="shared" si="95"/>
        <v>61.39816832228076</v>
      </c>
      <c r="CW104" s="20">
        <f t="shared" si="67"/>
        <v>548.96387316130563</v>
      </c>
      <c r="CX104" s="59">
        <f t="shared" si="68"/>
        <v>842.29720649463889</v>
      </c>
      <c r="CY104" s="59">
        <f ca="1">AVERAGE(OFFSET($CX$3,0,0,'Données projet'!$E$13+1,1))-AVERAGE(OFFSET($H$3,0,0,'Données projet'!$E$13+1,1))</f>
        <v>279.49721661620544</v>
      </c>
      <c r="CZ104" s="59">
        <f t="shared" si="96"/>
        <v>275.18739333988754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29.543005218232064</v>
      </c>
      <c r="DG104" s="21">
        <f>EXP(-LN(2)/25)*DG103+(1-EXP(-LN(2)/25))/(LN(2)/25)*Calculateur!DB104*Calculateur!DD104*VLOOKUP('Données projet'!$B$13,Paramètres!$A$1:$I$89,3,0)*0.475*44/12</f>
        <v>4.215192001313623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33.758197219545686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-6.3550942286383367E-14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278.5296012747549</v>
      </c>
      <c r="T105" s="59">
        <f t="shared" si="88"/>
        <v>370.55343097937077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89.357089227758536</v>
      </c>
      <c r="AA105" s="21">
        <f>EXP(-LN(2)/25)*AA104+(1-EXP(-LN(2)/25))/(LN(2)/25)*Calculateur!V105*Calculateur!X105*VLOOKUP('Données projet'!$B$9,Paramètres!$A$1:$I$89,3,0)*0.475*44/12</f>
        <v>15.651068656789752</v>
      </c>
      <c r="AB105" s="21">
        <f>EXP(-LN(2)/2)*AB104+(1-EXP(-LN(2)/2))/(LN(2)/2)*V105*Y105*VLOOKUP('Données projet'!$B$9,Paramètres!$A$1:$I$89,3,0)*0.475*44/12</f>
        <v>2.8795826095918523E-6</v>
      </c>
      <c r="AC105" s="22">
        <f t="shared" si="57"/>
        <v>105.00816076413089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10.25</v>
      </c>
      <c r="AI105" s="13">
        <f>IF('Données projet'!$A$62&gt;35,AI104+AH105-AQ104,IF(A105&lt;'Données projet'!$A$62,$AF$205^A105,IF(A105='Données projet'!$A$62,'Données projet'!$B$62,AI104+AH105-AQ104)))</f>
        <v>455.54999999999956</v>
      </c>
      <c r="AJ105" s="13">
        <f>AI105*VLOOKUP('Données projet'!$B$10,Paramètres!$A$1:$I$89,3,0)*VLOOKUP('Données projet'!$B$10,Paramètres!$A$1:$I$89,5,0)</f>
        <v>219.1195499999998</v>
      </c>
      <c r="AK105" s="13">
        <f t="shared" si="89"/>
        <v>53.923479624979137</v>
      </c>
      <c r="AL105" s="20">
        <f t="shared" si="58"/>
        <v>475.54994326350499</v>
      </c>
      <c r="AM105" s="59">
        <f t="shared" si="59"/>
        <v>768.8832765968383</v>
      </c>
      <c r="AN105" s="59">
        <f ca="1">AVERAGE(OFFSET($AM$3,0,0,'Données projet'!$E$10+1,1))-AVERAGE(OFFSET($H$3,0,0,'Données projet'!$E$10+1,1))</f>
        <v>255.05550867459038</v>
      </c>
      <c r="AO105" s="59">
        <f t="shared" si="90"/>
        <v>119.28597757550295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89.432933612322131</v>
      </c>
      <c r="AV105" s="21">
        <f>EXP(-LN(2)/25)*AV104+(1-EXP(-LN(2)/25))/(LN(2)/25)*Calculateur!AQ105*Calculateur!AS105*VLOOKUP('Données projet'!$B$10,Paramètres!$A$1:$I$89,3,0)*0.475*44/12</f>
        <v>24.090823277363192</v>
      </c>
      <c r="AW105" s="21">
        <f>EXP(-LN(2)/2)*AW104+(1-EXP(-LN(2)/2))/(LN(2)/2)*AQ105*AT105*VLOOKUP('Données projet'!$B$10,Paramètres!$A$1:$I$89,3,0)*0.475*44/12</f>
        <v>1.8916641453656162</v>
      </c>
      <c r="AX105" s="21">
        <f t="shared" si="60"/>
        <v>115.41542103505094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7.882692307692305</v>
      </c>
      <c r="BD105" s="12">
        <f>IF('Données projet'!$A$88&gt;35,BD104+BC105-BL104,IF(A105&lt;'Données projet'!$A$88,$BA$205^A105,IF(A105='Données projet'!$A$88,'Données projet'!$B$88,BD104+BC105-BL104)))</f>
        <v>358.02115384615456</v>
      </c>
      <c r="BE105" s="13">
        <f>BD105*VLOOKUP('Données projet'!$B$11,Paramètres!$A$1:$I$89,3,0)*VLOOKUP('Données projet'!$B$11,Paramètres!$A$1:$I$89,5,0)</f>
        <v>167.55390000000031</v>
      </c>
      <c r="BF105" s="13">
        <f t="shared" si="91"/>
        <v>42.541717299361345</v>
      </c>
      <c r="BG105" s="20">
        <f t="shared" si="61"/>
        <v>365.91653346305492</v>
      </c>
      <c r="BH105" s="59">
        <f t="shared" si="62"/>
        <v>659.24986679638823</v>
      </c>
      <c r="BI105" s="59">
        <f ca="1">AVERAGE(OFFSET($BH$3,0,0,'Données projet'!$E$11+1,1))-AVERAGE(OFFSET($H$3,0,0,'Données projet'!$E$11+1,1))</f>
        <v>181.79645720099597</v>
      </c>
      <c r="BJ105" s="59">
        <f t="shared" si="92"/>
        <v>120.20040029102233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54.443447589340977</v>
      </c>
      <c r="BQ105" s="21">
        <f>EXP(-LN(2)/25)*BQ104+(1-EXP(-LN(2)/25))/(LN(2)/25)*Calculateur!BL105*Calculateur!BN105*VLOOKUP('Données projet'!$B$11,Paramètres!$A$1:$I$89,3,0)*0.475*44/12</f>
        <v>19.012932537489615</v>
      </c>
      <c r="BR105" s="21">
        <f>EXP(-LN(2)/2)*BR104+(1-EXP(-LN(2)/2))/(LN(2)/2)*BL105*BO105*VLOOKUP('Données projet'!$B$11,Paramètres!$A$1:$I$89,3,0)*0.475*44/12</f>
        <v>1.0018284470300562</v>
      </c>
      <c r="BS105" s="22">
        <f t="shared" si="63"/>
        <v>74.458208573860645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-3.979039320256561E-13</v>
      </c>
      <c r="BZ105" s="13">
        <f>BY105*VLOOKUP('Données projet'!$B$12,Paramètres!$A$1:$I$89,3,0)*VLOOKUP('Données projet'!$B$12,Paramètres!$A$1:$I$89,5,0)</f>
        <v>-2.379465513513424E-13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213.18424462765137</v>
      </c>
      <c r="CE105" s="59">
        <f t="shared" si="94"/>
        <v>158.77848520346532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92.008101592628961</v>
      </c>
      <c r="CL105" s="21">
        <f>EXP(-LN(2)/25)*CL104+(1-EXP(-LN(2)/25))/(LN(2)/25)*Calculateur!CG105*Calculateur!CI105*VLOOKUP('Données projet'!$B$12,Paramètres!$A$1:$I$89,3,0)*0.475*44/12</f>
        <v>18.590965040936858</v>
      </c>
      <c r="CM105" s="21">
        <f>EXP(-LN(2)/2)*CM104+(1-EXP(-LN(2)/2))/(LN(2)/2)*CG105*CJ105*VLOOKUP('Données projet'!$B$12,Paramètres!$A$1:$I$89,3,0)*0.475*44/12</f>
        <v>1.7656944851990097E-2</v>
      </c>
      <c r="CN105" s="22">
        <f t="shared" si="66"/>
        <v>110.61672357841782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319</v>
      </c>
      <c r="CU105" s="17">
        <f>CT105*VLOOKUP('Données projet'!$B$13,Paramètres!$A$1:$I$89,3,0)*VLOOKUP('Données projet'!$B$13,Paramètres!$A$1:$I$89,5,0)</f>
        <v>253.79640000000001</v>
      </c>
      <c r="CV105" s="13">
        <f t="shared" si="95"/>
        <v>61.39816832228076</v>
      </c>
      <c r="CW105" s="20">
        <f t="shared" si="67"/>
        <v>548.96387316130563</v>
      </c>
      <c r="CX105" s="59">
        <f t="shared" si="68"/>
        <v>842.29720649463889</v>
      </c>
      <c r="CY105" s="59">
        <f ca="1">AVERAGE(OFFSET($CX$3,0,0,'Données projet'!$E$13+1,1))-AVERAGE(OFFSET($H$3,0,0,'Données projet'!$E$13+1,1))</f>
        <v>279.49721661620544</v>
      </c>
      <c r="CZ105" s="59">
        <f t="shared" si="96"/>
        <v>275.18739333988754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28.963684905356445</v>
      </c>
      <c r="DG105" s="21">
        <f>EXP(-LN(2)/25)*DG104+(1-EXP(-LN(2)/25))/(LN(2)/25)*Calculateur!DB105*Calculateur!DD105*VLOOKUP('Données projet'!$B$13,Paramètres!$A$1:$I$89,3,0)*0.475*44/12</f>
        <v>4.0999273543703882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33.063612259726831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-6.3550942286383367E-14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278.5296012747549</v>
      </c>
      <c r="T106" s="59">
        <f t="shared" si="88"/>
        <v>370.55343097937077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87.604851210444949</v>
      </c>
      <c r="AA106" s="21">
        <f>EXP(-LN(2)/25)*AA105+(1-EXP(-LN(2)/25))/(LN(2)/25)*Calculateur!V106*Calculateur!X106*VLOOKUP('Données projet'!$B$9,Paramètres!$A$1:$I$89,3,0)*0.475*44/12</f>
        <v>15.223089361315907</v>
      </c>
      <c r="AB106" s="21">
        <f>EXP(-LN(2)/2)*AB105+(1-EXP(-LN(2)/2))/(LN(2)/2)*V106*Y106*VLOOKUP('Données projet'!$B$9,Paramètres!$A$1:$I$89,3,0)*0.475*44/12</f>
        <v>2.0361723902292534E-6</v>
      </c>
      <c r="AC106" s="22">
        <f t="shared" si="57"/>
        <v>102.82794260793324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10.25</v>
      </c>
      <c r="AI106" s="13">
        <f>IF('Données projet'!$A$62&gt;35,AI105+AH106-AQ105,IF(A106&lt;'Données projet'!$A$62,$AF$205^A106,IF(A106='Données projet'!$A$62,'Données projet'!$B$62,AI105+AH106-AQ105)))</f>
        <v>465.79999999999956</v>
      </c>
      <c r="AJ106" s="13">
        <f>AI106*VLOOKUP('Données projet'!$B$10,Paramètres!$A$1:$I$89,3,0)*VLOOKUP('Données projet'!$B$10,Paramètres!$A$1:$I$89,5,0)</f>
        <v>224.04979999999978</v>
      </c>
      <c r="AK106" s="13">
        <f t="shared" si="89"/>
        <v>54.994153127009902</v>
      </c>
      <c r="AL106" s="20">
        <f t="shared" si="58"/>
        <v>486.00155169620848</v>
      </c>
      <c r="AM106" s="59">
        <f t="shared" si="59"/>
        <v>779.33488502954174</v>
      </c>
      <c r="AN106" s="59">
        <f ca="1">AVERAGE(OFFSET($AM$3,0,0,'Données projet'!$E$10+1,1))-AVERAGE(OFFSET($H$3,0,0,'Données projet'!$E$10+1,1))</f>
        <v>255.05550867459038</v>
      </c>
      <c r="AO106" s="59">
        <f t="shared" si="90"/>
        <v>119.28597757550295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87.679208332887754</v>
      </c>
      <c r="AV106" s="21">
        <f>EXP(-LN(2)/25)*AV105+(1-EXP(-LN(2)/25))/(LN(2)/25)*Calculateur!AQ106*Calculateur!AS106*VLOOKUP('Données projet'!$B$10,Paramètres!$A$1:$I$89,3,0)*0.475*44/12</f>
        <v>23.432058447962358</v>
      </c>
      <c r="AW106" s="21">
        <f>EXP(-LN(2)/2)*AW105+(1-EXP(-LN(2)/2))/(LN(2)/2)*AQ106*AT106*VLOOKUP('Données projet'!$B$10,Paramètres!$A$1:$I$89,3,0)*0.475*44/12</f>
        <v>1.3376085449154822</v>
      </c>
      <c r="AX106" s="21">
        <f t="shared" si="60"/>
        <v>112.4488753257656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7.882692307692305</v>
      </c>
      <c r="BD106" s="12">
        <f>IF('Données projet'!$A$88&gt;35,BD105+BC106-BL105,IF(A106&lt;'Données projet'!$A$88,$BA$205^A106,IF(A106='Données projet'!$A$88,'Données projet'!$B$88,BD105+BC106-BL105)))</f>
        <v>365.90384615384687</v>
      </c>
      <c r="BE106" s="13">
        <f>BD106*VLOOKUP('Données projet'!$B$11,Paramètres!$A$1:$I$89,3,0)*VLOOKUP('Données projet'!$B$11,Paramètres!$A$1:$I$89,5,0)</f>
        <v>171.24300000000036</v>
      </c>
      <c r="BF106" s="13">
        <f t="shared" si="91"/>
        <v>43.368296089548551</v>
      </c>
      <c r="BG106" s="20">
        <f t="shared" si="61"/>
        <v>373.78134068929762</v>
      </c>
      <c r="BH106" s="59">
        <f t="shared" si="62"/>
        <v>667.11467402263088</v>
      </c>
      <c r="BI106" s="59">
        <f ca="1">AVERAGE(OFFSET($BH$3,0,0,'Données projet'!$E$11+1,1))-AVERAGE(OFFSET($H$3,0,0,'Données projet'!$E$11+1,1))</f>
        <v>181.79645720099597</v>
      </c>
      <c r="BJ106" s="59">
        <f t="shared" si="92"/>
        <v>120.20040029102233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53.375844789338089</v>
      </c>
      <c r="BQ106" s="21">
        <f>EXP(-LN(2)/25)*BQ105+(1-EXP(-LN(2)/25))/(LN(2)/25)*Calculateur!BL106*Calculateur!BN106*VLOOKUP('Données projet'!$B$11,Paramètres!$A$1:$I$89,3,0)*0.475*44/12</f>
        <v>18.493022897405293</v>
      </c>
      <c r="BR106" s="21">
        <f>EXP(-LN(2)/2)*BR105+(1-EXP(-LN(2)/2))/(LN(2)/2)*BL106*BO106*VLOOKUP('Données projet'!$B$11,Paramètres!$A$1:$I$89,3,0)*0.475*44/12</f>
        <v>0.7083996884805408</v>
      </c>
      <c r="BS106" s="22">
        <f t="shared" si="63"/>
        <v>72.577267375223926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-3.979039320256561E-13</v>
      </c>
      <c r="BZ106" s="13">
        <f>BY106*VLOOKUP('Données projet'!$B$12,Paramètres!$A$1:$I$89,3,0)*VLOOKUP('Données projet'!$B$12,Paramètres!$A$1:$I$89,5,0)</f>
        <v>-2.379465513513424E-13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213.18424462765137</v>
      </c>
      <c r="CE106" s="59">
        <f t="shared" si="94"/>
        <v>158.77848520346532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90.203878839798151</v>
      </c>
      <c r="CL106" s="21">
        <f>EXP(-LN(2)/25)*CL105+(1-EXP(-LN(2)/25))/(LN(2)/25)*Calculateur!CG106*Calculateur!CI106*VLOOKUP('Données projet'!$B$12,Paramètres!$A$1:$I$89,3,0)*0.475*44/12</f>
        <v>18.082594124236078</v>
      </c>
      <c r="CM106" s="21">
        <f>EXP(-LN(2)/2)*CM105+(1-EXP(-LN(2)/2))/(LN(2)/2)*CG106*CJ106*VLOOKUP('Données projet'!$B$12,Paramètres!$A$1:$I$89,3,0)*0.475*44/12</f>
        <v>1.2485345439879099E-2</v>
      </c>
      <c r="CN106" s="22">
        <f t="shared" si="66"/>
        <v>108.29895830947412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319</v>
      </c>
      <c r="CU106" s="17">
        <f>CT106*VLOOKUP('Données projet'!$B$13,Paramètres!$A$1:$I$89,3,0)*VLOOKUP('Données projet'!$B$13,Paramètres!$A$1:$I$89,5,0)</f>
        <v>253.79640000000001</v>
      </c>
      <c r="CV106" s="13">
        <f t="shared" si="95"/>
        <v>61.39816832228076</v>
      </c>
      <c r="CW106" s="20">
        <f t="shared" si="67"/>
        <v>548.96387316130563</v>
      </c>
      <c r="CX106" s="59">
        <f t="shared" si="68"/>
        <v>842.29720649463889</v>
      </c>
      <c r="CY106" s="59">
        <f ca="1">AVERAGE(OFFSET($CX$3,0,0,'Données projet'!$E$13+1,1))-AVERAGE(OFFSET($H$3,0,0,'Données projet'!$E$13+1,1))</f>
        <v>279.49721661620544</v>
      </c>
      <c r="CZ106" s="59">
        <f t="shared" si="96"/>
        <v>275.18739333988754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28.395724710465814</v>
      </c>
      <c r="DG106" s="21">
        <f>EXP(-LN(2)/25)*DG105+(1-EXP(-LN(2)/25))/(LN(2)/25)*Calculateur!DB106*Calculateur!DD106*VLOOKUP('Données projet'!$B$13,Paramètres!$A$1:$I$89,3,0)*0.475*44/12</f>
        <v>3.987814625259321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32.383539335725132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-6.3550942286383367E-14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278.5296012747549</v>
      </c>
      <c r="T107" s="59">
        <f t="shared" si="88"/>
        <v>370.55343097937077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85.886973511891227</v>
      </c>
      <c r="AA107" s="21">
        <f>EXP(-LN(2)/25)*AA106+(1-EXP(-LN(2)/25))/(LN(2)/25)*Calculateur!V107*Calculateur!X107*VLOOKUP('Données projet'!$B$9,Paramètres!$A$1:$I$89,3,0)*0.475*44/12</f>
        <v>14.806813182183246</v>
      </c>
      <c r="AB107" s="21">
        <f>EXP(-LN(2)/2)*AB106+(1-EXP(-LN(2)/2))/(LN(2)/2)*V107*Y107*VLOOKUP('Données projet'!$B$9,Paramètres!$A$1:$I$89,3,0)*0.475*44/12</f>
        <v>1.4397913047959261E-6</v>
      </c>
      <c r="AC107" s="22">
        <f t="shared" si="57"/>
        <v>100.69378813386578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10.25</v>
      </c>
      <c r="AI107" s="13">
        <f>IF('Données projet'!$A$62&gt;35,AI106+AH107-AQ106,IF(A107&lt;'Données projet'!$A$62,$AF$205^A107,IF(A107='Données projet'!$A$62,'Données projet'!$B$62,AI106+AH107-AQ106)))</f>
        <v>476.04999999999956</v>
      </c>
      <c r="AJ107" s="13">
        <f>AI107*VLOOKUP('Données projet'!$B$10,Paramètres!$A$1:$I$89,3,0)*VLOOKUP('Données projet'!$B$10,Paramètres!$A$1:$I$89,5,0)</f>
        <v>228.98004999999978</v>
      </c>
      <c r="AK107" s="13">
        <f t="shared" si="89"/>
        <v>56.062087481777006</v>
      </c>
      <c r="AL107" s="20">
        <f t="shared" si="58"/>
        <v>496.44838944742787</v>
      </c>
      <c r="AM107" s="59">
        <f t="shared" si="59"/>
        <v>789.78172278076113</v>
      </c>
      <c r="AN107" s="59">
        <f ca="1">AVERAGE(OFFSET($AM$3,0,0,'Données projet'!$E$10+1,1))-AVERAGE(OFFSET($H$3,0,0,'Données projet'!$E$10+1,1))</f>
        <v>255.05550867459038</v>
      </c>
      <c r="AO107" s="59">
        <f t="shared" si="90"/>
        <v>119.28597757550295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85.959872536516286</v>
      </c>
      <c r="AV107" s="21">
        <f>EXP(-LN(2)/25)*AV106+(1-EXP(-LN(2)/25))/(LN(2)/25)*Calculateur!AQ107*Calculateur!AS107*VLOOKUP('Données projet'!$B$10,Paramètres!$A$1:$I$89,3,0)*0.475*44/12</f>
        <v>22.79130757746443</v>
      </c>
      <c r="AW107" s="21">
        <f>EXP(-LN(2)/2)*AW106+(1-EXP(-LN(2)/2))/(LN(2)/2)*AQ107*AT107*VLOOKUP('Données projet'!$B$10,Paramètres!$A$1:$I$89,3,0)*0.475*44/12</f>
        <v>0.94583207268280811</v>
      </c>
      <c r="AX107" s="21">
        <f t="shared" si="60"/>
        <v>109.69701218666353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7.882692307692305</v>
      </c>
      <c r="BD107" s="12">
        <f>IF('Données projet'!$A$88&gt;35,BD106+BC107-BL106,IF(A107&lt;'Données projet'!$A$88,$BA$205^A107,IF(A107='Données projet'!$A$88,'Données projet'!$B$88,BD106+BC107-BL106)))</f>
        <v>373.78653846153918</v>
      </c>
      <c r="BE107" s="13">
        <f>BD107*VLOOKUP('Données projet'!$B$11,Paramètres!$A$1:$I$89,3,0)*VLOOKUP('Données projet'!$B$11,Paramètres!$A$1:$I$89,5,0)</f>
        <v>174.93210000000036</v>
      </c>
      <c r="BF107" s="13">
        <f t="shared" si="91"/>
        <v>44.192804567069899</v>
      </c>
      <c r="BG107" s="20">
        <f t="shared" si="61"/>
        <v>381.64254212098064</v>
      </c>
      <c r="BH107" s="59">
        <f t="shared" si="62"/>
        <v>674.97587545431395</v>
      </c>
      <c r="BI107" s="59">
        <f ca="1">AVERAGE(OFFSET($BH$3,0,0,'Données projet'!$E$11+1,1))-AVERAGE(OFFSET($H$3,0,0,'Données projet'!$E$11+1,1))</f>
        <v>181.79645720099597</v>
      </c>
      <c r="BJ107" s="59">
        <f t="shared" si="92"/>
        <v>120.20040029102233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52.329177029069847</v>
      </c>
      <c r="BQ107" s="21">
        <f>EXP(-LN(2)/25)*BQ106+(1-EXP(-LN(2)/25))/(LN(2)/25)*Calculateur!BL107*Calculateur!BN107*VLOOKUP('Données projet'!$B$11,Paramètres!$A$1:$I$89,3,0)*0.475*44/12</f>
        <v>17.987330213769937</v>
      </c>
      <c r="BR107" s="21">
        <f>EXP(-LN(2)/2)*BR106+(1-EXP(-LN(2)/2))/(LN(2)/2)*BL107*BO107*VLOOKUP('Données projet'!$B$11,Paramètres!$A$1:$I$89,3,0)*0.475*44/12</f>
        <v>0.50091422351502823</v>
      </c>
      <c r="BS107" s="22">
        <f t="shared" si="63"/>
        <v>70.817421466354801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-3.979039320256561E-13</v>
      </c>
      <c r="BZ107" s="13">
        <f>BY107*VLOOKUP('Données projet'!$B$12,Paramètres!$A$1:$I$89,3,0)*VLOOKUP('Données projet'!$B$12,Paramètres!$A$1:$I$89,5,0)</f>
        <v>-2.379465513513424E-13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213.18424462765137</v>
      </c>
      <c r="CE107" s="59">
        <f t="shared" si="94"/>
        <v>158.77848520346532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88.435035794683131</v>
      </c>
      <c r="CL107" s="21">
        <f>EXP(-LN(2)/25)*CL106+(1-EXP(-LN(2)/25))/(LN(2)/25)*Calculateur!CG107*Calculateur!CI107*VLOOKUP('Données projet'!$B$12,Paramètres!$A$1:$I$89,3,0)*0.475*44/12</f>
        <v>17.588124636986546</v>
      </c>
      <c r="CM107" s="21">
        <f>EXP(-LN(2)/2)*CM106+(1-EXP(-LN(2)/2))/(LN(2)/2)*CG107*CJ107*VLOOKUP('Données projet'!$B$12,Paramètres!$A$1:$I$89,3,0)*0.475*44/12</f>
        <v>8.8284724259950487E-3</v>
      </c>
      <c r="CN107" s="22">
        <f t="shared" si="66"/>
        <v>106.03198890409567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319</v>
      </c>
      <c r="CU107" s="17">
        <f>CT107*VLOOKUP('Données projet'!$B$13,Paramètres!$A$1:$I$89,3,0)*VLOOKUP('Données projet'!$B$13,Paramètres!$A$1:$I$89,5,0)</f>
        <v>253.79640000000001</v>
      </c>
      <c r="CV107" s="13">
        <f t="shared" si="95"/>
        <v>61.39816832228076</v>
      </c>
      <c r="CW107" s="20">
        <f t="shared" si="67"/>
        <v>548.96387316130563</v>
      </c>
      <c r="CX107" s="59">
        <f t="shared" si="68"/>
        <v>842.29720649463889</v>
      </c>
      <c r="CY107" s="59">
        <f ca="1">AVERAGE(OFFSET($CX$3,0,0,'Données projet'!$E$13+1,1))-AVERAGE(OFFSET($H$3,0,0,'Données projet'!$E$13+1,1))</f>
        <v>279.49721661620544</v>
      </c>
      <c r="CZ107" s="59">
        <f t="shared" si="96"/>
        <v>275.18739333988754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27.838901868575476</v>
      </c>
      <c r="DG107" s="21">
        <f>EXP(-LN(2)/25)*DG106+(1-EXP(-LN(2)/25))/(LN(2)/25)*Calculateur!DB107*Calculateur!DD107*VLOOKUP('Données projet'!$B$13,Paramètres!$A$1:$I$89,3,0)*0.475*44/12</f>
        <v>3.8787676246215481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31.717669493197025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-6.3550942286383367E-14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278.5296012747549</v>
      </c>
      <c r="T108" s="59">
        <f t="shared" si="88"/>
        <v>370.55343097937077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84.202782347204206</v>
      </c>
      <c r="AA108" s="21">
        <f>EXP(-LN(2)/25)*AA107+(1-EXP(-LN(2)/25))/(LN(2)/25)*Calculateur!V108*Calculateur!X108*VLOOKUP('Données projet'!$B$9,Paramètres!$A$1:$I$89,3,0)*0.475*44/12</f>
        <v>14.401920097059982</v>
      </c>
      <c r="AB108" s="21">
        <f>EXP(-LN(2)/2)*AB107+(1-EXP(-LN(2)/2))/(LN(2)/2)*V108*Y108*VLOOKUP('Données projet'!$B$9,Paramètres!$A$1:$I$89,3,0)*0.475*44/12</f>
        <v>1.0180861951146267E-6</v>
      </c>
      <c r="AC108" s="22">
        <f t="shared" si="57"/>
        <v>98.604703462350386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10.25</v>
      </c>
      <c r="AI108" s="13">
        <f>IF('Données projet'!$A$62&gt;35,AI107+AH108-AQ107,IF(A108&lt;'Données projet'!$A$62,$AF$205^A108,IF(A108='Données projet'!$A$62,'Données projet'!$B$62,AI107+AH108-AQ107)))</f>
        <v>486.29999999999956</v>
      </c>
      <c r="AJ108" s="13">
        <f>AI108*VLOOKUP('Données projet'!$B$10,Paramètres!$A$1:$I$89,3,0)*VLOOKUP('Données projet'!$B$10,Paramètres!$A$1:$I$89,5,0)</f>
        <v>233.91029999999981</v>
      </c>
      <c r="AK108" s="13">
        <f t="shared" si="89"/>
        <v>57.127348459633595</v>
      </c>
      <c r="AL108" s="20">
        <f t="shared" si="58"/>
        <v>506.89057106719474</v>
      </c>
      <c r="AM108" s="59">
        <f t="shared" si="59"/>
        <v>800.223904400528</v>
      </c>
      <c r="AN108" s="59">
        <f ca="1">AVERAGE(OFFSET($AM$3,0,0,'Données projet'!$E$10+1,1))-AVERAGE(OFFSET($H$3,0,0,'Données projet'!$E$10+1,1))</f>
        <v>255.05550867459038</v>
      </c>
      <c r="AO108" s="59">
        <f t="shared" si="90"/>
        <v>119.28597757550295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84.274251866420386</v>
      </c>
      <c r="AV108" s="21">
        <f>EXP(-LN(2)/25)*AV107+(1-EXP(-LN(2)/25))/(LN(2)/25)*Calculateur!AQ108*Calculateur!AS108*VLOOKUP('Données projet'!$B$10,Paramètres!$A$1:$I$89,3,0)*0.475*44/12</f>
        <v>22.168078073215888</v>
      </c>
      <c r="AW108" s="21">
        <f>EXP(-LN(2)/2)*AW107+(1-EXP(-LN(2)/2))/(LN(2)/2)*AQ108*AT108*VLOOKUP('Données projet'!$B$10,Paramètres!$A$1:$I$89,3,0)*0.475*44/12</f>
        <v>0.6688042724577411</v>
      </c>
      <c r="AX108" s="21">
        <f t="shared" si="60"/>
        <v>107.111134212094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7.882692307692305</v>
      </c>
      <c r="BD108" s="12">
        <f>IF('Données projet'!$A$88&gt;35,BD107+BC108-BL107,IF(A108&lt;'Données projet'!$A$88,$BA$205^A108,IF(A108='Données projet'!$A$88,'Données projet'!$B$88,BD107+BC108-BL107)))</f>
        <v>381.66923076923149</v>
      </c>
      <c r="BE108" s="13">
        <f>BD108*VLOOKUP('Données projet'!$B$11,Paramètres!$A$1:$I$89,3,0)*VLOOKUP('Données projet'!$B$11,Paramètres!$A$1:$I$89,5,0)</f>
        <v>178.62120000000033</v>
      </c>
      <c r="BF108" s="13">
        <f t="shared" si="91"/>
        <v>45.01529142181213</v>
      </c>
      <c r="BG108" s="20">
        <f t="shared" si="61"/>
        <v>389.50022255965672</v>
      </c>
      <c r="BH108" s="59">
        <f t="shared" si="62"/>
        <v>682.83355589299003</v>
      </c>
      <c r="BI108" s="59">
        <f ca="1">AVERAGE(OFFSET($BH$3,0,0,'Données projet'!$E$11+1,1))-AVERAGE(OFFSET($H$3,0,0,'Données projet'!$E$11+1,1))</f>
        <v>181.79645720099597</v>
      </c>
      <c r="BJ108" s="59">
        <f t="shared" si="92"/>
        <v>120.20040029102233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51.303033785176169</v>
      </c>
      <c r="BQ108" s="21">
        <f>EXP(-LN(2)/25)*BQ107+(1-EXP(-LN(2)/25))/(LN(2)/25)*Calculateur!BL108*Calculateur!BN108*VLOOKUP('Données projet'!$B$11,Paramètres!$A$1:$I$89,3,0)*0.475*44/12</f>
        <v>17.495465723161814</v>
      </c>
      <c r="BR108" s="21">
        <f>EXP(-LN(2)/2)*BR107+(1-EXP(-LN(2)/2))/(LN(2)/2)*BL108*BO108*VLOOKUP('Données projet'!$B$11,Paramètres!$A$1:$I$89,3,0)*0.475*44/12</f>
        <v>0.35419984424027046</v>
      </c>
      <c r="BS108" s="22">
        <f t="shared" si="63"/>
        <v>69.152699352578253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-3.979039320256561E-13</v>
      </c>
      <c r="BZ108" s="13">
        <f>BY108*VLOOKUP('Données projet'!$B$12,Paramètres!$A$1:$I$89,3,0)*VLOOKUP('Données projet'!$B$12,Paramètres!$A$1:$I$89,5,0)</f>
        <v>-2.379465513513424E-13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213.18424462765137</v>
      </c>
      <c r="CE108" s="59">
        <f t="shared" si="94"/>
        <v>158.77848520346532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86.700878682795093</v>
      </c>
      <c r="CL108" s="21">
        <f>EXP(-LN(2)/25)*CL107+(1-EXP(-LN(2)/25))/(LN(2)/25)*Calculateur!CG108*Calculateur!CI108*VLOOKUP('Données projet'!$B$12,Paramètres!$A$1:$I$89,3,0)*0.475*44/12</f>
        <v>17.107176443868873</v>
      </c>
      <c r="CM108" s="21">
        <f>EXP(-LN(2)/2)*CM107+(1-EXP(-LN(2)/2))/(LN(2)/2)*CG108*CJ108*VLOOKUP('Données projet'!$B$12,Paramètres!$A$1:$I$89,3,0)*0.475*44/12</f>
        <v>6.2426727199395493E-3</v>
      </c>
      <c r="CN108" s="22">
        <f t="shared" si="66"/>
        <v>103.81429779938389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319</v>
      </c>
      <c r="CU108" s="17">
        <f>CT108*VLOOKUP('Données projet'!$B$13,Paramètres!$A$1:$I$89,3,0)*VLOOKUP('Données projet'!$B$13,Paramètres!$A$1:$I$89,5,0)</f>
        <v>253.79640000000001</v>
      </c>
      <c r="CV108" s="13">
        <f t="shared" si="95"/>
        <v>61.39816832228076</v>
      </c>
      <c r="CW108" s="20">
        <f t="shared" si="67"/>
        <v>548.96387316130563</v>
      </c>
      <c r="CX108" s="59">
        <f t="shared" si="68"/>
        <v>842.29720649463889</v>
      </c>
      <c r="CY108" s="59">
        <f ca="1">AVERAGE(OFFSET($CX$3,0,0,'Données projet'!$E$13+1,1))-AVERAGE(OFFSET($H$3,0,0,'Données projet'!$E$13+1,1))</f>
        <v>279.49721661620544</v>
      </c>
      <c r="CZ108" s="59">
        <f t="shared" si="96"/>
        <v>275.18739333988754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27.292997982986211</v>
      </c>
      <c r="DG108" s="21">
        <f>EXP(-LN(2)/25)*DG107+(1-EXP(-LN(2)/25))/(LN(2)/25)*Calculateur!DB108*Calculateur!DD108*VLOOKUP('Données projet'!$B$13,Paramètres!$A$1:$I$89,3,0)*0.475*44/12</f>
        <v>3.7727025199507476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31.065700502936959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-6.3550942286383367E-14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278.5296012747549</v>
      </c>
      <c r="T109" s="59">
        <f t="shared" si="88"/>
        <v>370.55343097937077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82.551617144001526</v>
      </c>
      <c r="AA109" s="21">
        <f>EXP(-LN(2)/25)*AA108+(1-EXP(-LN(2)/25))/(LN(2)/25)*Calculateur!V109*Calculateur!X109*VLOOKUP('Données projet'!$B$9,Paramètres!$A$1:$I$89,3,0)*0.475*44/12</f>
        <v>14.008098834641816</v>
      </c>
      <c r="AB109" s="21">
        <f>EXP(-LN(2)/2)*AB108+(1-EXP(-LN(2)/2))/(LN(2)/2)*V109*Y109*VLOOKUP('Données projet'!$B$9,Paramètres!$A$1:$I$89,3,0)*0.475*44/12</f>
        <v>7.1989565239796306E-7</v>
      </c>
      <c r="AC109" s="22">
        <f t="shared" si="57"/>
        <v>96.559716698538992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10.25</v>
      </c>
      <c r="AI109" s="13">
        <f>IF('Données projet'!$A$62&gt;35,AI108+AH109-AQ108,IF(A109&lt;'Données projet'!$A$62,$AF$205^A109,IF(A109='Données projet'!$A$62,'Données projet'!$B$62,AI108+AH109-AQ108)))</f>
        <v>496.54999999999956</v>
      </c>
      <c r="AJ109" s="13">
        <f>AI109*VLOOKUP('Données projet'!$B$10,Paramètres!$A$1:$I$89,3,0)*VLOOKUP('Données projet'!$B$10,Paramètres!$A$1:$I$89,5,0)</f>
        <v>238.84054999999978</v>
      </c>
      <c r="AK109" s="13">
        <f t="shared" si="89"/>
        <v>58.189998899962063</v>
      </c>
      <c r="AL109" s="20">
        <f t="shared" si="58"/>
        <v>517.32820600076684</v>
      </c>
      <c r="AM109" s="59">
        <f t="shared" si="59"/>
        <v>810.6615393341001</v>
      </c>
      <c r="AN109" s="59">
        <f ca="1">AVERAGE(OFFSET($AM$3,0,0,'Données projet'!$E$10+1,1))-AVERAGE(OFFSET($H$3,0,0,'Données projet'!$E$10+1,1))</f>
        <v>255.05550867459038</v>
      </c>
      <c r="AO109" s="59">
        <f t="shared" si="90"/>
        <v>119.28597757550295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82.62168518953797</v>
      </c>
      <c r="AV109" s="21">
        <f>EXP(-LN(2)/25)*AV108+(1-EXP(-LN(2)/25))/(LN(2)/25)*Calculateur!AQ109*Calculateur!AS109*VLOOKUP('Données projet'!$B$10,Paramètres!$A$1:$I$89,3,0)*0.475*44/12</f>
        <v>21.561890812535239</v>
      </c>
      <c r="AW109" s="21">
        <f>EXP(-LN(2)/2)*AW108+(1-EXP(-LN(2)/2))/(LN(2)/2)*AQ109*AT109*VLOOKUP('Données projet'!$B$10,Paramètres!$A$1:$I$89,3,0)*0.475*44/12</f>
        <v>0.47291603634140406</v>
      </c>
      <c r="AX109" s="21">
        <f t="shared" si="60"/>
        <v>104.65649203841461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7.882692307692305</v>
      </c>
      <c r="BD109" s="12">
        <f>IF('Données projet'!$A$88&gt;35,BD108+BC109-BL108,IF(A109&lt;'Données projet'!$A$88,$BA$205^A109,IF(A109='Données projet'!$A$88,'Données projet'!$B$88,BD108+BC109-BL108)))</f>
        <v>389.5519230769238</v>
      </c>
      <c r="BE109" s="13">
        <f>BD109*VLOOKUP('Données projet'!$B$11,Paramètres!$A$1:$I$89,3,0)*VLOOKUP('Données projet'!$B$11,Paramètres!$A$1:$I$89,5,0)</f>
        <v>182.31030000000032</v>
      </c>
      <c r="BF109" s="13">
        <f t="shared" si="91"/>
        <v>45.835803217507902</v>
      </c>
      <c r="BG109" s="20">
        <f t="shared" si="61"/>
        <v>397.35446310382684</v>
      </c>
      <c r="BH109" s="59">
        <f t="shared" si="62"/>
        <v>690.68779643716016</v>
      </c>
      <c r="BI109" s="59">
        <f ca="1">AVERAGE(OFFSET($BH$3,0,0,'Données projet'!$E$11+1,1))-AVERAGE(OFFSET($H$3,0,0,'Données projet'!$E$11+1,1))</f>
        <v>181.79645720099597</v>
      </c>
      <c r="BJ109" s="59">
        <f t="shared" si="92"/>
        <v>120.20040029102233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50.297012584409671</v>
      </c>
      <c r="BQ109" s="21">
        <f>EXP(-LN(2)/25)*BQ108+(1-EXP(-LN(2)/25))/(LN(2)/25)*Calculateur!BL109*Calculateur!BN109*VLOOKUP('Données projet'!$B$11,Paramètres!$A$1:$I$89,3,0)*0.475*44/12</f>
        <v>17.017051292915397</v>
      </c>
      <c r="BR109" s="21">
        <f>EXP(-LN(2)/2)*BR108+(1-EXP(-LN(2)/2))/(LN(2)/2)*BL109*BO109*VLOOKUP('Données projet'!$B$11,Paramètres!$A$1:$I$89,3,0)*0.475*44/12</f>
        <v>0.25045711175751417</v>
      </c>
      <c r="BS109" s="22">
        <f t="shared" si="63"/>
        <v>67.564520989082581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-3.979039320256561E-13</v>
      </c>
      <c r="BZ109" s="13">
        <f>BY109*VLOOKUP('Données projet'!$B$12,Paramètres!$A$1:$I$89,3,0)*VLOOKUP('Données projet'!$B$12,Paramètres!$A$1:$I$89,5,0)</f>
        <v>-2.379465513513424E-13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213.18424462765137</v>
      </c>
      <c r="CE109" s="59">
        <f t="shared" si="94"/>
        <v>158.77848520346532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85.000727334139782</v>
      </c>
      <c r="CL109" s="21">
        <f>EXP(-LN(2)/25)*CL108+(1-EXP(-LN(2)/25))/(LN(2)/25)*Calculateur!CG109*Calculateur!CI109*VLOOKUP('Données projet'!$B$12,Paramètres!$A$1:$I$89,3,0)*0.475*44/12</f>
        <v>16.639379804383967</v>
      </c>
      <c r="CM109" s="21">
        <f>EXP(-LN(2)/2)*CM108+(1-EXP(-LN(2)/2))/(LN(2)/2)*CG109*CJ109*VLOOKUP('Données projet'!$B$12,Paramètres!$A$1:$I$89,3,0)*0.475*44/12</f>
        <v>4.4142362129975243E-3</v>
      </c>
      <c r="CN109" s="22">
        <f t="shared" si="66"/>
        <v>101.64452137473674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319</v>
      </c>
      <c r="CU109" s="17">
        <f>CT109*VLOOKUP('Données projet'!$B$13,Paramètres!$A$1:$I$89,3,0)*VLOOKUP('Données projet'!$B$13,Paramètres!$A$1:$I$89,5,0)</f>
        <v>253.79640000000001</v>
      </c>
      <c r="CV109" s="13">
        <f t="shared" si="95"/>
        <v>61.39816832228076</v>
      </c>
      <c r="CW109" s="20">
        <f t="shared" si="67"/>
        <v>548.96387316130563</v>
      </c>
      <c r="CX109" s="59">
        <f t="shared" si="68"/>
        <v>842.29720649463889</v>
      </c>
      <c r="CY109" s="59">
        <f ca="1">AVERAGE(OFFSET($CX$3,0,0,'Données projet'!$E$13+1,1))-AVERAGE(OFFSET($H$3,0,0,'Données projet'!$E$13+1,1))</f>
        <v>279.49721661620544</v>
      </c>
      <c r="CZ109" s="59">
        <f t="shared" si="96"/>
        <v>275.18739333988754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26.757798939624859</v>
      </c>
      <c r="DG109" s="21">
        <f>EXP(-LN(2)/25)*DG108+(1-EXP(-LN(2)/25))/(LN(2)/25)*Calculateur!DB109*Calculateur!DD109*VLOOKUP('Données projet'!$B$13,Paramètres!$A$1:$I$89,3,0)*0.475*44/12</f>
        <v>3.6695377711448915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30.427336710769751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-6.3550942286383367E-14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278.5296012747549</v>
      </c>
      <c r="T110" s="59">
        <f t="shared" si="88"/>
        <v>370.55343097937077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80.932830283322318</v>
      </c>
      <c r="AA110" s="21">
        <f>EXP(-LN(2)/25)*AA109+(1-EXP(-LN(2)/25))/(LN(2)/25)*Calculateur!V110*Calculateur!X110*VLOOKUP('Données projet'!$B$9,Paramètres!$A$1:$I$89,3,0)*0.475*44/12</f>
        <v>13.625046635354634</v>
      </c>
      <c r="AB110" s="21">
        <f>EXP(-LN(2)/2)*AB109+(1-EXP(-LN(2)/2))/(LN(2)/2)*V110*Y110*VLOOKUP('Données projet'!$B$9,Paramètres!$A$1:$I$89,3,0)*0.475*44/12</f>
        <v>5.0904309755731334E-7</v>
      </c>
      <c r="AC110" s="22">
        <f t="shared" si="57"/>
        <v>94.557877427720058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>
        <f>VLOOKUP(A110,'Données projet'!$A$61:$I$81,2,0)</f>
        <v>506.8</v>
      </c>
      <c r="AG110" s="12">
        <f>VLOOKUP(A110,'Données projet'!$A$61:$I$81,9,0)</f>
        <v>10.25</v>
      </c>
      <c r="AH110" s="12">
        <f t="array" ref="AH110">INDEX(AG:AG,MIN(IF(ISNUMBER(AG110:AG306),ROW(AG110:AG306),"")))</f>
        <v>10.25</v>
      </c>
      <c r="AI110" s="13">
        <f>IF('Données projet'!$A$62&gt;35,AI109+AH110-AQ109,IF(A110&lt;'Données projet'!$A$62,$AF$205^A110,IF(A110='Données projet'!$A$62,'Données projet'!$B$62,AI109+AH110-AQ109)))</f>
        <v>506.79999999999956</v>
      </c>
      <c r="AJ110" s="13">
        <f>AI110*VLOOKUP('Données projet'!$B$10,Paramètres!$A$1:$I$89,3,0)*VLOOKUP('Données projet'!$B$10,Paramètres!$A$1:$I$89,5,0)</f>
        <v>243.77079999999978</v>
      </c>
      <c r="AK110" s="13">
        <f t="shared" si="89"/>
        <v>59.250098899551396</v>
      </c>
      <c r="AL110" s="20">
        <f t="shared" si="58"/>
        <v>527.76139891671835</v>
      </c>
      <c r="AM110" s="59">
        <f t="shared" si="59"/>
        <v>821.09473225005172</v>
      </c>
      <c r="AN110" s="59">
        <f ca="1">AVERAGE(OFFSET($AM$3,0,0,'Données projet'!$E$10+1,1))-AVERAGE(OFFSET($H$3,0,0,'Données projet'!$E$10+1,1))</f>
        <v>255.05550867459038</v>
      </c>
      <c r="AO110" s="59">
        <f t="shared" si="90"/>
        <v>119.28597757550295</v>
      </c>
      <c r="AP110" s="15">
        <f>IF(ISNA(VLOOKUP(A110,'Données projet'!$A$61:$I$81,3,0)),0,VLOOKUP(A110,'Données projet'!$A$61:$I$81,3,0))</f>
        <v>9</v>
      </c>
      <c r="AQ110" s="15">
        <f>IF(ISNA(VLOOKUP(A110,'Données projet'!$A$61:$I$81,4,0)),0,VLOOKUP(A110,'Données projet'!$A$61:$I$81,4,0))</f>
        <v>76.3</v>
      </c>
      <c r="AR110" s="16">
        <f>IF(ISNA(VLOOKUP(A110,'Données projet'!$A$61:$I$81,5,0)),0%,VLOOKUP(A110,'Données projet'!$A$61:$I$81,5,0)*VLOOKUP('Données projet'!$B$10,Paramètres!$A$1:$I$89,7,0))</f>
        <v>0.38500000000000001</v>
      </c>
      <c r="AS110" s="16">
        <f>IF(ISNA(VLOOKUP(A110,'Données projet'!$A$61:$I$81,6,0)),0%,VLOOKUP(A110,'Données projet'!$A$61:$I$81,6,0)*VLOOKUP('Données projet'!$B$10,Paramètres!$A$1:$I$89,7,0))</f>
        <v>9.3500000000000014E-2</v>
      </c>
      <c r="AT110" s="16">
        <f>IF(ISNA(VLOOKUP(A110,'Données projet'!$A$61:$I$81,7,0)),0%,VLOOKUP(A110,'Données projet'!$A$61:$I$81,7,0))</f>
        <v>0.13</v>
      </c>
      <c r="AU110" s="21">
        <f>EXP(-LN(2)/35)*AU109+(1-EXP(-LN(2)/35))/(LN(2)/35)*AQ110*AR110*VLOOKUP('Données projet'!$B$10,Paramètres!$A$1:$I$89,3,0)*0.475*44/12</f>
        <v>99.745370028550667</v>
      </c>
      <c r="AV110" s="21">
        <f>EXP(-LN(2)/25)*AV109+(1-EXP(-LN(2)/25))/(LN(2)/25)*Calculateur!AQ110*Calculateur!AS110*VLOOKUP('Données projet'!$B$10,Paramètres!$A$1:$I$89,3,0)*0.475*44/12</f>
        <v>25.50643332424572</v>
      </c>
      <c r="AW110" s="21">
        <f>EXP(-LN(2)/2)*AW109+(1-EXP(-LN(2)/2))/(LN(2)/2)*AQ110*AT110*VLOOKUP('Données projet'!$B$10,Paramètres!$A$1:$I$89,3,0)*0.475*44/12</f>
        <v>5.7363265847872427</v>
      </c>
      <c r="AX110" s="21">
        <f t="shared" si="60"/>
        <v>130.98812993758364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7.882692307692305</v>
      </c>
      <c r="BD110" s="12">
        <f>IF('Données projet'!$A$88&gt;35,BD109+BC110-BL109,IF(A110&lt;'Données projet'!$A$88,$BA$205^A110,IF(A110='Données projet'!$A$88,'Données projet'!$B$88,BD109+BC110-BL109)))</f>
        <v>397.43461538461611</v>
      </c>
      <c r="BE110" s="13">
        <f>BD110*VLOOKUP('Données projet'!$B$11,Paramètres!$A$1:$I$89,3,0)*VLOOKUP('Données projet'!$B$11,Paramètres!$A$1:$I$89,5,0)</f>
        <v>185.99940000000032</v>
      </c>
      <c r="BF110" s="13">
        <f t="shared" si="91"/>
        <v>46.654384525692834</v>
      </c>
      <c r="BG110" s="20">
        <f t="shared" si="61"/>
        <v>405.20534138224889</v>
      </c>
      <c r="BH110" s="59">
        <f t="shared" si="62"/>
        <v>698.53867471558215</v>
      </c>
      <c r="BI110" s="59">
        <f ca="1">AVERAGE(OFFSET($BH$3,0,0,'Données projet'!$E$11+1,1))-AVERAGE(OFFSET($H$3,0,0,'Données projet'!$E$11+1,1))</f>
        <v>181.79645720099597</v>
      </c>
      <c r="BJ110" s="59">
        <f t="shared" si="92"/>
        <v>120.20040029102233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49.310718845777856</v>
      </c>
      <c r="BQ110" s="21">
        <f>EXP(-LN(2)/25)*BQ109+(1-EXP(-LN(2)/25))/(LN(2)/25)*Calculateur!BL110*Calculateur!BN110*VLOOKUP('Données projet'!$B$11,Paramètres!$A$1:$I$89,3,0)*0.475*44/12</f>
        <v>16.551719130422793</v>
      </c>
      <c r="BR110" s="21">
        <f>EXP(-LN(2)/2)*BR109+(1-EXP(-LN(2)/2))/(LN(2)/2)*BL110*BO110*VLOOKUP('Données projet'!$B$11,Paramètres!$A$1:$I$89,3,0)*0.475*44/12</f>
        <v>0.17709992212013526</v>
      </c>
      <c r="BS110" s="22">
        <f t="shared" si="63"/>
        <v>66.039537898320788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-3.979039320256561E-13</v>
      </c>
      <c r="BZ110" s="13">
        <f>BY110*VLOOKUP('Données projet'!$B$12,Paramètres!$A$1:$I$89,3,0)*VLOOKUP('Données projet'!$B$12,Paramètres!$A$1:$I$89,5,0)</f>
        <v>-2.379465513513424E-13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213.18424462765137</v>
      </c>
      <c r="CE110" s="59">
        <f t="shared" si="94"/>
        <v>158.77848520346532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83.333914916441671</v>
      </c>
      <c r="CL110" s="21">
        <f>EXP(-LN(2)/25)*CL109+(1-EXP(-LN(2)/25))/(LN(2)/25)*Calculateur!CG110*Calculateur!CI110*VLOOKUP('Données projet'!$B$12,Paramètres!$A$1:$I$89,3,0)*0.475*44/12</f>
        <v>16.184375088606135</v>
      </c>
      <c r="CM110" s="21">
        <f>EXP(-LN(2)/2)*CM109+(1-EXP(-LN(2)/2))/(LN(2)/2)*CG110*CJ110*VLOOKUP('Données projet'!$B$12,Paramètres!$A$1:$I$89,3,0)*0.475*44/12</f>
        <v>3.1213363599697746E-3</v>
      </c>
      <c r="CN110" s="22">
        <f t="shared" si="66"/>
        <v>99.52141134140777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319</v>
      </c>
      <c r="CU110" s="17">
        <f>CT110*VLOOKUP('Données projet'!$B$13,Paramètres!$A$1:$I$89,3,0)*VLOOKUP('Données projet'!$B$13,Paramètres!$A$1:$I$89,5,0)</f>
        <v>253.79640000000001</v>
      </c>
      <c r="CV110" s="13">
        <f t="shared" si="95"/>
        <v>61.39816832228076</v>
      </c>
      <c r="CW110" s="20">
        <f t="shared" si="67"/>
        <v>548.96387316130563</v>
      </c>
      <c r="CX110" s="59">
        <f t="shared" si="68"/>
        <v>842.29720649463889</v>
      </c>
      <c r="CY110" s="59">
        <f ca="1">AVERAGE(OFFSET($CX$3,0,0,'Données projet'!$E$13+1,1))-AVERAGE(OFFSET($H$3,0,0,'Données projet'!$E$13+1,1))</f>
        <v>279.49721661620544</v>
      </c>
      <c r="CZ110" s="59">
        <f t="shared" si="96"/>
        <v>275.18739333988754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26.23309482306464</v>
      </c>
      <c r="DG110" s="21">
        <f>EXP(-LN(2)/25)*DG109+(1-EXP(-LN(2)/25))/(LN(2)/25)*Calculateur!DB110*Calculateur!DD110*VLOOKUP('Données projet'!$B$13,Paramètres!$A$1:$I$89,3,0)*0.475*44/12</f>
        <v>3.5691940678203298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29.80228889088497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-6.3550942286383367E-14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278.5296012747549</v>
      </c>
      <c r="T111" s="59">
        <f t="shared" si="88"/>
        <v>370.55343097937077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79.345786845618534</v>
      </c>
      <c r="AA111" s="21">
        <f>EXP(-LN(2)/25)*AA110+(1-EXP(-LN(2)/25))/(LN(2)/25)*Calculateur!V111*Calculateur!X111*VLOOKUP('Données projet'!$B$9,Paramètres!$A$1:$I$89,3,0)*0.475*44/12</f>
        <v>13.252469018600799</v>
      </c>
      <c r="AB111" s="21">
        <f>EXP(-LN(2)/2)*AB110+(1-EXP(-LN(2)/2))/(LN(2)/2)*V111*Y111*VLOOKUP('Données projet'!$B$9,Paramètres!$A$1:$I$89,3,0)*0.475*44/12</f>
        <v>3.5994782619898153E-7</v>
      </c>
      <c r="AC111" s="22">
        <f t="shared" si="57"/>
        <v>92.598256224167159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9.1555555555555532</v>
      </c>
      <c r="AI111" s="13">
        <f>IF('Données projet'!$A$62&gt;35,AI110+AH111-AQ110,IF(A111&lt;'Données projet'!$A$62,$AF$205^A111,IF(A111='Données projet'!$A$62,'Données projet'!$B$62,AI110+AH111-AQ110)))</f>
        <v>439.65555555555505</v>
      </c>
      <c r="AJ111" s="13">
        <f>AI111*VLOOKUP('Données projet'!$B$10,Paramètres!$A$1:$I$89,3,0)*VLOOKUP('Données projet'!$B$10,Paramètres!$A$1:$I$89,5,0)</f>
        <v>211.47432222222199</v>
      </c>
      <c r="AK111" s="13">
        <f t="shared" si="89"/>
        <v>52.257630899282255</v>
      </c>
      <c r="AL111" s="20">
        <f t="shared" si="58"/>
        <v>459.33315168661989</v>
      </c>
      <c r="AM111" s="59">
        <f t="shared" si="59"/>
        <v>752.66648501995314</v>
      </c>
      <c r="AN111" s="59">
        <f ca="1">AVERAGE(OFFSET($AM$3,0,0,'Données projet'!$E$10+1,1))-AVERAGE(OFFSET($H$3,0,0,'Données projet'!$E$10+1,1))</f>
        <v>255.05550867459038</v>
      </c>
      <c r="AO111" s="59">
        <f t="shared" si="90"/>
        <v>119.28597757550295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97.789424160959186</v>
      </c>
      <c r="AV111" s="21">
        <f>EXP(-LN(2)/25)*AV110+(1-EXP(-LN(2)/25))/(LN(2)/25)*Calculateur!AQ111*Calculateur!AS111*VLOOKUP('Données projet'!$B$10,Paramètres!$A$1:$I$89,3,0)*0.475*44/12</f>
        <v>24.808958563669187</v>
      </c>
      <c r="AW111" s="21">
        <f>EXP(-LN(2)/2)*AW110+(1-EXP(-LN(2)/2))/(LN(2)/2)*AQ111*AT111*VLOOKUP('Données projet'!$B$10,Paramètres!$A$1:$I$89,3,0)*0.475*44/12</f>
        <v>4.0561954272037282</v>
      </c>
      <c r="AX111" s="21">
        <f t="shared" si="60"/>
        <v>126.65457815183211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7.882692307692305</v>
      </c>
      <c r="BD111" s="12">
        <f>IF('Données projet'!$A$88&gt;35,BD110+BC111-BL110,IF(A111&lt;'Données projet'!$A$88,$BA$205^A111,IF(A111='Données projet'!$A$88,'Données projet'!$B$88,BD110+BC111-BL110)))</f>
        <v>405.31730769230842</v>
      </c>
      <c r="BE111" s="13">
        <f>BD111*VLOOKUP('Données projet'!$B$11,Paramètres!$A$1:$I$89,3,0)*VLOOKUP('Données projet'!$B$11,Paramètres!$A$1:$I$89,5,0)</f>
        <v>189.68850000000032</v>
      </c>
      <c r="BF111" s="13">
        <f t="shared" si="91"/>
        <v>47.471078048734149</v>
      </c>
      <c r="BG111" s="20">
        <f t="shared" si="61"/>
        <v>413.05293176821243</v>
      </c>
      <c r="BH111" s="59">
        <f t="shared" si="62"/>
        <v>706.38626510154575</v>
      </c>
      <c r="BI111" s="59">
        <f ca="1">AVERAGE(OFFSET($BH$3,0,0,'Données projet'!$E$11+1,1))-AVERAGE(OFFSET($H$3,0,0,'Données projet'!$E$11+1,1))</f>
        <v>181.79645720099597</v>
      </c>
      <c r="BJ111" s="59">
        <f t="shared" si="92"/>
        <v>120.20040029102233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48.343765725780834</v>
      </c>
      <c r="BQ111" s="21">
        <f>EXP(-LN(2)/25)*BQ110+(1-EXP(-LN(2)/25))/(LN(2)/25)*Calculateur!BL111*Calculateur!BN111*VLOOKUP('Données projet'!$B$11,Paramètres!$A$1:$I$89,3,0)*0.475*44/12</f>
        <v>16.099111500384303</v>
      </c>
      <c r="BR111" s="21">
        <f>EXP(-LN(2)/2)*BR110+(1-EXP(-LN(2)/2))/(LN(2)/2)*BL111*BO111*VLOOKUP('Données projet'!$B$11,Paramètres!$A$1:$I$89,3,0)*0.475*44/12</f>
        <v>0.12522855587875709</v>
      </c>
      <c r="BS111" s="22">
        <f t="shared" si="63"/>
        <v>64.568105782043901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-3.979039320256561E-13</v>
      </c>
      <c r="BZ111" s="13">
        <f>BY111*VLOOKUP('Données projet'!$B$12,Paramètres!$A$1:$I$89,3,0)*VLOOKUP('Données projet'!$B$12,Paramètres!$A$1:$I$89,5,0)</f>
        <v>-2.379465513513424E-13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213.18424462765137</v>
      </c>
      <c r="CE111" s="59">
        <f t="shared" si="94"/>
        <v>158.77848520346532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81.699787673599431</v>
      </c>
      <c r="CL111" s="21">
        <f>EXP(-LN(2)/25)*CL110+(1-EXP(-LN(2)/25))/(LN(2)/25)*Calculateur!CG111*Calculateur!CI111*VLOOKUP('Données projet'!$B$12,Paramètres!$A$1:$I$89,3,0)*0.475*44/12</f>
        <v>15.741812500708905</v>
      </c>
      <c r="CM111" s="21">
        <f>EXP(-LN(2)/2)*CM110+(1-EXP(-LN(2)/2))/(LN(2)/2)*CG111*CJ111*VLOOKUP('Données projet'!$B$12,Paramètres!$A$1:$I$89,3,0)*0.475*44/12</f>
        <v>2.2071181064987622E-3</v>
      </c>
      <c r="CN111" s="22">
        <f t="shared" si="66"/>
        <v>97.443807292414832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319</v>
      </c>
      <c r="CU111" s="17">
        <f>CT111*VLOOKUP('Données projet'!$B$13,Paramètres!$A$1:$I$89,3,0)*VLOOKUP('Données projet'!$B$13,Paramètres!$A$1:$I$89,5,0)</f>
        <v>253.79640000000001</v>
      </c>
      <c r="CV111" s="13">
        <f t="shared" si="95"/>
        <v>61.39816832228076</v>
      </c>
      <c r="CW111" s="20">
        <f t="shared" si="67"/>
        <v>548.96387316130563</v>
      </c>
      <c r="CX111" s="59">
        <f t="shared" si="68"/>
        <v>842.29720649463889</v>
      </c>
      <c r="CY111" s="59">
        <f ca="1">AVERAGE(OFFSET($CX$3,0,0,'Données projet'!$E$13+1,1))-AVERAGE(OFFSET($H$3,0,0,'Données projet'!$E$13+1,1))</f>
        <v>279.49721661620544</v>
      </c>
      <c r="CZ111" s="59">
        <f t="shared" si="96"/>
        <v>275.18739333988754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25.718679834192255</v>
      </c>
      <c r="DG111" s="21">
        <f>EXP(-LN(2)/25)*DG110+(1-EXP(-LN(2)/25))/(LN(2)/25)*Calculateur!DB111*Calculateur!DD111*VLOOKUP('Données projet'!$B$13,Paramètres!$A$1:$I$89,3,0)*0.475*44/12</f>
        <v>3.4715942683400245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29.190274102532278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-6.3550942286383367E-14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278.5296012747549</v>
      </c>
      <c r="T112" s="59">
        <f t="shared" si="88"/>
        <v>370.55343097937077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77.789864361727211</v>
      </c>
      <c r="AA112" s="21">
        <f>EXP(-LN(2)/25)*AA111+(1-EXP(-LN(2)/25))/(LN(2)/25)*Calculateur!V112*Calculateur!X112*VLOOKUP('Données projet'!$B$9,Paramètres!$A$1:$I$89,3,0)*0.475*44/12</f>
        <v>12.890079556370104</v>
      </c>
      <c r="AB112" s="21">
        <f>EXP(-LN(2)/2)*AB111+(1-EXP(-LN(2)/2))/(LN(2)/2)*V112*Y112*VLOOKUP('Données projet'!$B$9,Paramètres!$A$1:$I$89,3,0)*0.475*44/12</f>
        <v>2.5452154877865667E-7</v>
      </c>
      <c r="AC112" s="22">
        <f t="shared" si="57"/>
        <v>90.67994417261886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9.1555555555555532</v>
      </c>
      <c r="AI112" s="13">
        <f>IF('Données projet'!$A$62&gt;35,AI111+AH112-AQ111,IF(A112&lt;'Données projet'!$A$62,$AF$205^A112,IF(A112='Données projet'!$A$62,'Données projet'!$B$62,AI111+AH112-AQ111)))</f>
        <v>448.81111111111062</v>
      </c>
      <c r="AJ112" s="13">
        <f>AI112*VLOOKUP('Données projet'!$B$10,Paramètres!$A$1:$I$89,3,0)*VLOOKUP('Données projet'!$B$10,Paramètres!$A$1:$I$89,5,0)</f>
        <v>215.87814444444422</v>
      </c>
      <c r="AK112" s="13">
        <f t="shared" si="89"/>
        <v>53.218037034280393</v>
      </c>
      <c r="AL112" s="20">
        <f t="shared" si="58"/>
        <v>468.67584940877867</v>
      </c>
      <c r="AM112" s="59">
        <f t="shared" si="59"/>
        <v>762.00918274211199</v>
      </c>
      <c r="AN112" s="59">
        <f ca="1">AVERAGE(OFFSET($AM$3,0,0,'Données projet'!$E$10+1,1))-AVERAGE(OFFSET($H$3,0,0,'Données projet'!$E$10+1,1))</f>
        <v>255.05550867459038</v>
      </c>
      <c r="AO112" s="59">
        <f t="shared" si="90"/>
        <v>119.28597757550295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95.871833198821989</v>
      </c>
      <c r="AV112" s="21">
        <f>EXP(-LN(2)/25)*AV111+(1-EXP(-LN(2)/25))/(LN(2)/25)*Calculateur!AQ112*Calculateur!AS112*VLOOKUP('Données projet'!$B$10,Paramètres!$A$1:$I$89,3,0)*0.475*44/12</f>
        <v>24.130556287099225</v>
      </c>
      <c r="AW112" s="21">
        <f>EXP(-LN(2)/2)*AW111+(1-EXP(-LN(2)/2))/(LN(2)/2)*AQ112*AT112*VLOOKUP('Données projet'!$B$10,Paramètres!$A$1:$I$89,3,0)*0.475*44/12</f>
        <v>2.8681632923936213</v>
      </c>
      <c r="AX112" s="21">
        <f t="shared" si="60"/>
        <v>122.87055277831483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>
        <f>VLOOKUP(A112,'Données projet'!$A$87:$I$107,2,0)</f>
        <v>413.2</v>
      </c>
      <c r="BB112" s="12">
        <f>VLOOKUP(A112,'Données projet'!$A$87:$I$107,9,0)</f>
        <v>7.882692307692305</v>
      </c>
      <c r="BC112" s="12">
        <f t="array" ref="BC112">INDEX(BB:BB,MIN(IF(ISNUMBER(BB112:BB308),ROW(BB112:BB308),"")))</f>
        <v>7.882692307692305</v>
      </c>
      <c r="BD112" s="12">
        <f>IF('Données projet'!$A$88&gt;35,BD111+BC112-BL111,IF(A112&lt;'Données projet'!$A$88,$BA$205^A112,IF(A112='Données projet'!$A$88,'Données projet'!$B$88,BD111+BC112-BL111)))</f>
        <v>413.20000000000073</v>
      </c>
      <c r="BE112" s="13">
        <f>BD112*VLOOKUP('Données projet'!$B$11,Paramètres!$A$1:$I$89,3,0)*VLOOKUP('Données projet'!$B$11,Paramètres!$A$1:$I$89,5,0)</f>
        <v>193.37760000000034</v>
      </c>
      <c r="BF112" s="13">
        <f t="shared" si="91"/>
        <v>48.285924733018319</v>
      </c>
      <c r="BG112" s="20">
        <f t="shared" si="61"/>
        <v>420.89730557667417</v>
      </c>
      <c r="BH112" s="59">
        <f t="shared" si="62"/>
        <v>714.23063891000743</v>
      </c>
      <c r="BI112" s="59">
        <f ca="1">AVERAGE(OFFSET($BH$3,0,0,'Données projet'!$E$11+1,1))-AVERAGE(OFFSET($H$3,0,0,'Données projet'!$E$11+1,1))</f>
        <v>181.79645720099597</v>
      </c>
      <c r="BJ112" s="59">
        <f t="shared" si="92"/>
        <v>120.20040029102233</v>
      </c>
      <c r="BK112" s="15">
        <f>IF(ISNA(VLOOKUP(A112,'Données projet'!$A$87:$I$107,3,0)),0,VLOOKUP(A112,'Données projet'!$A$87:$I$107,3,0))</f>
        <v>6</v>
      </c>
      <c r="BL112" s="15">
        <f>IF(ISNA(VLOOKUP(A112,'Données projet'!$A$87:$I$107,4,0)),0,VLOOKUP(A112,'Données projet'!$A$87:$I$107,4,0))</f>
        <v>80.653846153846146</v>
      </c>
      <c r="BM112" s="16">
        <f>IF(ISNA(VLOOKUP(A112,'Données projet'!$A$87:$I$107,5,0)),0%,VLOOKUP(A112,'Données projet'!$A$87:$I$107,5,0)*VLOOKUP('Données projet'!$B$11,Paramètres!$A$1:$I$89,7,0))</f>
        <v>0.38500000000000001</v>
      </c>
      <c r="BN112" s="16">
        <f>IF(ISNA(VLOOKUP(A112,'Données projet'!$A$87:$I$107,6,0)),0%,VLOOKUP(A112,'Données projet'!$A$87:$I$107,6,0)*VLOOKUP('Données projet'!$B$11,Paramètres!$A$1:$I$89,7,0))</f>
        <v>9.240000000000001E-2</v>
      </c>
      <c r="BO112" s="16">
        <f>IF(ISNA(VLOOKUP(A112,'Données projet'!$A$87:$I$107,7,0)),0%,VLOOKUP(A112,'Données projet'!$A$87:$I$107,7,0))</f>
        <v>0.13200000000000001</v>
      </c>
      <c r="BP112" s="21">
        <f>EXP(-LN(2)/35)*BP111+(1-EXP(-LN(2)/35))/(LN(2)/35)*BL112*BM112*VLOOKUP('Données projet'!$B$11,Paramètres!$A$1:$I$89,3,0)*0.475*44/12</f>
        <v>66.673687211666817</v>
      </c>
      <c r="BQ112" s="21">
        <f>EXP(-LN(2)/25)*BQ111+(1-EXP(-LN(2)/25))/(LN(2)/25)*Calculateur!BL112*Calculateur!BN112*VLOOKUP('Données projet'!$B$11,Paramètres!$A$1:$I$89,3,0)*0.475*44/12</f>
        <v>20.267362551009228</v>
      </c>
      <c r="BR112" s="21">
        <f>EXP(-LN(2)/2)*BR111+(1-EXP(-LN(2)/2))/(LN(2)/2)*BL112*BO112*VLOOKUP('Données projet'!$B$11,Paramètres!$A$1:$I$89,3,0)*0.475*44/12</f>
        <v>5.7298656809813524</v>
      </c>
      <c r="BS112" s="22">
        <f t="shared" si="63"/>
        <v>92.670915443657393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-3.979039320256561E-13</v>
      </c>
      <c r="BZ112" s="13">
        <f>BY112*VLOOKUP('Données projet'!$B$12,Paramètres!$A$1:$I$89,3,0)*VLOOKUP('Données projet'!$B$12,Paramètres!$A$1:$I$89,5,0)</f>
        <v>-2.379465513513424E-13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213.18424462765137</v>
      </c>
      <c r="CE112" s="59">
        <f t="shared" si="94"/>
        <v>158.77848520346532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80.097704669270129</v>
      </c>
      <c r="CL112" s="21">
        <f>EXP(-LN(2)/25)*CL111+(1-EXP(-LN(2)/25))/(LN(2)/25)*Calculateur!CG112*Calculateur!CI112*VLOOKUP('Données projet'!$B$12,Paramètres!$A$1:$I$89,3,0)*0.475*44/12</f>
        <v>15.311351810051079</v>
      </c>
      <c r="CM112" s="21">
        <f>EXP(-LN(2)/2)*CM111+(1-EXP(-LN(2)/2))/(LN(2)/2)*CG112*CJ112*VLOOKUP('Données projet'!$B$12,Paramètres!$A$1:$I$89,3,0)*0.475*44/12</f>
        <v>1.5606681799848873E-3</v>
      </c>
      <c r="CN112" s="22">
        <f t="shared" si="66"/>
        <v>95.410617147501199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319</v>
      </c>
      <c r="CU112" s="17">
        <f>CT112*VLOOKUP('Données projet'!$B$13,Paramètres!$A$1:$I$89,3,0)*VLOOKUP('Données projet'!$B$13,Paramètres!$A$1:$I$89,5,0)</f>
        <v>253.79640000000001</v>
      </c>
      <c r="CV112" s="13">
        <f t="shared" si="95"/>
        <v>61.39816832228076</v>
      </c>
      <c r="CW112" s="20">
        <f t="shared" si="67"/>
        <v>548.96387316130563</v>
      </c>
      <c r="CX112" s="59">
        <f t="shared" si="68"/>
        <v>842.29720649463889</v>
      </c>
      <c r="CY112" s="59">
        <f ca="1">AVERAGE(OFFSET($CX$3,0,0,'Données projet'!$E$13+1,1))-AVERAGE(OFFSET($H$3,0,0,'Données projet'!$E$13+1,1))</f>
        <v>279.49721661620544</v>
      </c>
      <c r="CZ112" s="59">
        <f t="shared" si="96"/>
        <v>275.18739333988754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25.214352209489498</v>
      </c>
      <c r="DG112" s="21">
        <f>EXP(-LN(2)/25)*DG111+(1-EXP(-LN(2)/25))/(LN(2)/25)*Calculateur!DB112*Calculateur!DD112*VLOOKUP('Données projet'!$B$13,Paramètres!$A$1:$I$89,3,0)*0.475*44/12</f>
        <v>3.3766633405090585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28.591015549998556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-6.3550942286383367E-14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278.5296012747549</v>
      </c>
      <c r="T113" s="59">
        <f t="shared" si="88"/>
        <v>370.55343097937077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76.264452568725986</v>
      </c>
      <c r="AA113" s="21">
        <f>EXP(-LN(2)/25)*AA112+(1-EXP(-LN(2)/25))/(LN(2)/25)*Calculateur!V113*Calculateur!X113*VLOOKUP('Données projet'!$B$9,Paramètres!$A$1:$I$89,3,0)*0.475*44/12</f>
        <v>12.53759965304134</v>
      </c>
      <c r="AB113" s="21">
        <f>EXP(-LN(2)/2)*AB112+(1-EXP(-LN(2)/2))/(LN(2)/2)*V113*Y113*VLOOKUP('Données projet'!$B$9,Paramètres!$A$1:$I$89,3,0)*0.475*44/12</f>
        <v>1.7997391309949077E-7</v>
      </c>
      <c r="AC113" s="22">
        <f t="shared" si="57"/>
        <v>88.802052401741236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9.1555555555555532</v>
      </c>
      <c r="AI113" s="13">
        <f>IF('Données projet'!$A$62&gt;35,AI112+AH113-AQ112,IF(A113&lt;'Données projet'!$A$62,$AF$205^A113,IF(A113='Données projet'!$A$62,'Données projet'!$B$62,AI112+AH113-AQ112)))</f>
        <v>457.96666666666619</v>
      </c>
      <c r="AJ113" s="13">
        <f>AI113*VLOOKUP('Données projet'!$B$10,Paramètres!$A$1:$I$89,3,0)*VLOOKUP('Données projet'!$B$10,Paramètres!$A$1:$I$89,5,0)</f>
        <v>220.28196666666645</v>
      </c>
      <c r="AK113" s="13">
        <f t="shared" si="89"/>
        <v>54.176165213270195</v>
      </c>
      <c r="AL113" s="20">
        <f t="shared" si="58"/>
        <v>478.0145796908896</v>
      </c>
      <c r="AM113" s="59">
        <f t="shared" si="59"/>
        <v>771.34791302422286</v>
      </c>
      <c r="AN113" s="59">
        <f ca="1">AVERAGE(OFFSET($AM$3,0,0,'Données projet'!$E$10+1,1))-AVERAGE(OFFSET($H$3,0,0,'Données projet'!$E$10+1,1))</f>
        <v>255.05550867459038</v>
      </c>
      <c r="AO113" s="59">
        <f t="shared" si="90"/>
        <v>119.28597757550295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93.991845025837307</v>
      </c>
      <c r="AV113" s="21">
        <f>EXP(-LN(2)/25)*AV112+(1-EXP(-LN(2)/25))/(LN(2)/25)*Calculateur!AQ113*Calculateur!AS113*VLOOKUP('Données projet'!$B$10,Paramètres!$A$1:$I$89,3,0)*0.475*44/12</f>
        <v>23.470704956457691</v>
      </c>
      <c r="AW113" s="21">
        <f>EXP(-LN(2)/2)*AW112+(1-EXP(-LN(2)/2))/(LN(2)/2)*AQ113*AT113*VLOOKUP('Données projet'!$B$10,Paramètres!$A$1:$I$89,3,0)*0.475*44/12</f>
        <v>2.0280977136018641</v>
      </c>
      <c r="AX113" s="21">
        <f t="shared" si="60"/>
        <v>119.49064769589687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7.0884615384615346</v>
      </c>
      <c r="BD113" s="12">
        <f>IF('Données projet'!$A$88&gt;35,BD112+BC113-BL112,IF(A113&lt;'Données projet'!$A$88,$BA$205^A113,IF(A113='Données projet'!$A$88,'Données projet'!$B$88,BD112+BC113-BL112)))</f>
        <v>339.63461538461615</v>
      </c>
      <c r="BE113" s="13">
        <f>BD113*VLOOKUP('Données projet'!$B$11,Paramètres!$A$1:$I$89,3,0)*VLOOKUP('Données projet'!$B$11,Paramètres!$A$1:$I$89,5,0)</f>
        <v>158.94900000000035</v>
      </c>
      <c r="BF113" s="13">
        <f t="shared" si="91"/>
        <v>40.605368573899682</v>
      </c>
      <c r="BG113" s="20">
        <f t="shared" si="61"/>
        <v>347.55719193287587</v>
      </c>
      <c r="BH113" s="59">
        <f t="shared" si="62"/>
        <v>640.89052526620912</v>
      </c>
      <c r="BI113" s="59">
        <f ca="1">AVERAGE(OFFSET($BH$3,0,0,'Données projet'!$E$11+1,1))-AVERAGE(OFFSET($H$3,0,0,'Données projet'!$E$11+1,1))</f>
        <v>181.79645720099597</v>
      </c>
      <c r="BJ113" s="59">
        <f t="shared" si="92"/>
        <v>120.20040029102233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65.366256872379708</v>
      </c>
      <c r="BQ113" s="21">
        <f>EXP(-LN(2)/25)*BQ112+(1-EXP(-LN(2)/25))/(LN(2)/25)*Calculateur!BL113*Calculateur!BN113*VLOOKUP('Données projet'!$B$11,Paramètres!$A$1:$I$89,3,0)*0.475*44/12</f>
        <v>19.713150456237607</v>
      </c>
      <c r="BR113" s="21">
        <f>EXP(-LN(2)/2)*BR112+(1-EXP(-LN(2)/2))/(LN(2)/2)*BL113*BO113*VLOOKUP('Données projet'!$B$11,Paramètres!$A$1:$I$89,3,0)*0.475*44/12</f>
        <v>4.0516268783099898</v>
      </c>
      <c r="BS113" s="22">
        <f t="shared" si="63"/>
        <v>89.13103420692731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-3.979039320256561E-13</v>
      </c>
      <c r="BZ113" s="13">
        <f>BY113*VLOOKUP('Données projet'!$B$12,Paramètres!$A$1:$I$89,3,0)*VLOOKUP('Données projet'!$B$12,Paramètres!$A$1:$I$89,5,0)</f>
        <v>-2.379465513513424E-13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213.18424462765137</v>
      </c>
      <c r="CE113" s="59">
        <f t="shared" si="94"/>
        <v>158.77848520346532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78.527037535481583</v>
      </c>
      <c r="CL113" s="21">
        <f>EXP(-LN(2)/25)*CL112+(1-EXP(-LN(2)/25))/(LN(2)/25)*Calculateur!CG113*Calculateur!CI113*VLOOKUP('Données projet'!$B$12,Paramètres!$A$1:$I$89,3,0)*0.475*44/12</f>
        <v>14.892662089616234</v>
      </c>
      <c r="CM113" s="21">
        <f>EXP(-LN(2)/2)*CM112+(1-EXP(-LN(2)/2))/(LN(2)/2)*CG113*CJ113*VLOOKUP('Données projet'!$B$12,Paramètres!$A$1:$I$89,3,0)*0.475*44/12</f>
        <v>1.1035590532493811E-3</v>
      </c>
      <c r="CN113" s="22">
        <f t="shared" si="66"/>
        <v>93.420803184151069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319</v>
      </c>
      <c r="CU113" s="17">
        <f>CT113*VLOOKUP('Données projet'!$B$13,Paramètres!$A$1:$I$89,3,0)*VLOOKUP('Données projet'!$B$13,Paramètres!$A$1:$I$89,5,0)</f>
        <v>253.79640000000001</v>
      </c>
      <c r="CV113" s="13">
        <f t="shared" si="95"/>
        <v>61.39816832228076</v>
      </c>
      <c r="CW113" s="20">
        <f t="shared" si="67"/>
        <v>548.96387316130563</v>
      </c>
      <c r="CX113" s="59">
        <f t="shared" si="68"/>
        <v>842.29720649463889</v>
      </c>
      <c r="CY113" s="59">
        <f ca="1">AVERAGE(OFFSET($CX$3,0,0,'Données projet'!$E$13+1,1))-AVERAGE(OFFSET($H$3,0,0,'Données projet'!$E$13+1,1))</f>
        <v>279.49721661620544</v>
      </c>
      <c r="CZ113" s="59">
        <f t="shared" si="96"/>
        <v>275.18739333988754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24.719914141897682</v>
      </c>
      <c r="DG113" s="21">
        <f>EXP(-LN(2)/25)*DG112+(1-EXP(-LN(2)/25))/(LN(2)/25)*Calculateur!DB113*Calculateur!DD113*VLOOKUP('Données projet'!$B$13,Paramètres!$A$1:$I$89,3,0)*0.475*44/12</f>
        <v>3.2843283038918307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28.004242445789512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-6.3550942286383367E-14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278.5296012747549</v>
      </c>
      <c r="T114" s="59">
        <f t="shared" si="88"/>
        <v>370.55343097937077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74.768953170576196</v>
      </c>
      <c r="AA114" s="21">
        <f>EXP(-LN(2)/25)*AA113+(1-EXP(-LN(2)/25))/(LN(2)/25)*Calculateur!V114*Calculateur!X114*VLOOKUP('Données projet'!$B$9,Paramètres!$A$1:$I$89,3,0)*0.475*44/12</f>
        <v>12.194758331205215</v>
      </c>
      <c r="AB114" s="21">
        <f>EXP(-LN(2)/2)*AB113+(1-EXP(-LN(2)/2))/(LN(2)/2)*V114*Y114*VLOOKUP('Données projet'!$B$9,Paramètres!$A$1:$I$89,3,0)*0.475*44/12</f>
        <v>1.2726077438932834E-7</v>
      </c>
      <c r="AC114" s="22">
        <f t="shared" si="57"/>
        <v>86.96371162904218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9.1555555555555532</v>
      </c>
      <c r="AI114" s="13">
        <f>IF('Données projet'!$A$62&gt;35,AI113+AH114-AQ113,IF(A114&lt;'Données projet'!$A$62,$AF$205^A114,IF(A114='Données projet'!$A$62,'Données projet'!$B$62,AI113+AH114-AQ113)))</f>
        <v>467.12222222222175</v>
      </c>
      <c r="AJ114" s="13">
        <f>AI114*VLOOKUP('Données projet'!$B$10,Paramètres!$A$1:$I$89,3,0)*VLOOKUP('Données projet'!$B$10,Paramètres!$A$1:$I$89,5,0)</f>
        <v>224.68578888888868</v>
      </c>
      <c r="AK114" s="13">
        <f t="shared" si="89"/>
        <v>55.132066225194428</v>
      </c>
      <c r="AL114" s="20">
        <f t="shared" si="58"/>
        <v>487.34943099036133</v>
      </c>
      <c r="AM114" s="59">
        <f t="shared" si="59"/>
        <v>780.68276432369464</v>
      </c>
      <c r="AN114" s="59">
        <f ca="1">AVERAGE(OFFSET($AM$3,0,0,'Données projet'!$E$10+1,1))-AVERAGE(OFFSET($H$3,0,0,'Données projet'!$E$10+1,1))</f>
        <v>255.05550867459038</v>
      </c>
      <c r="AO114" s="59">
        <f t="shared" si="90"/>
        <v>119.28597757550295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92.148722274245301</v>
      </c>
      <c r="AV114" s="21">
        <f>EXP(-LN(2)/25)*AV113+(1-EXP(-LN(2)/25))/(LN(2)/25)*Calculateur!AQ114*Calculateur!AS114*VLOOKUP('Données projet'!$B$10,Paramètres!$A$1:$I$89,3,0)*0.475*44/12</f>
        <v>22.828897295152625</v>
      </c>
      <c r="AW114" s="21">
        <f>EXP(-LN(2)/2)*AW113+(1-EXP(-LN(2)/2))/(LN(2)/2)*AQ114*AT114*VLOOKUP('Données projet'!$B$10,Paramètres!$A$1:$I$89,3,0)*0.475*44/12</f>
        <v>1.4340816461968107</v>
      </c>
      <c r="AX114" s="21">
        <f t="shared" si="60"/>
        <v>116.41170121559475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7.0884615384615346</v>
      </c>
      <c r="BD114" s="12">
        <f>IF('Données projet'!$A$88&gt;35,BD113+BC114-BL113,IF(A114&lt;'Données projet'!$A$88,$BA$205^A114,IF(A114='Données projet'!$A$88,'Données projet'!$B$88,BD113+BC114-BL113)))</f>
        <v>346.72307692307771</v>
      </c>
      <c r="BE114" s="13">
        <f>BD114*VLOOKUP('Données projet'!$B$11,Paramètres!$A$1:$I$89,3,0)*VLOOKUP('Données projet'!$B$11,Paramètres!$A$1:$I$89,5,0)</f>
        <v>162.26640000000037</v>
      </c>
      <c r="BF114" s="13">
        <f t="shared" si="91"/>
        <v>41.35328902901945</v>
      </c>
      <c r="BG114" s="20">
        <f t="shared" si="61"/>
        <v>354.63762505887615</v>
      </c>
      <c r="BH114" s="59">
        <f t="shared" si="62"/>
        <v>647.97095839220947</v>
      </c>
      <c r="BI114" s="59">
        <f ca="1">AVERAGE(OFFSET($BH$3,0,0,'Données projet'!$E$11+1,1))-AVERAGE(OFFSET($H$3,0,0,'Données projet'!$E$11+1,1))</f>
        <v>181.79645720099597</v>
      </c>
      <c r="BJ114" s="59">
        <f t="shared" si="92"/>
        <v>120.20040029102233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64.084464444592257</v>
      </c>
      <c r="BQ114" s="21">
        <f>EXP(-LN(2)/25)*BQ113+(1-EXP(-LN(2)/25))/(LN(2)/25)*Calculateur!BL114*Calculateur!BN114*VLOOKUP('Données projet'!$B$11,Paramètres!$A$1:$I$89,3,0)*0.475*44/12</f>
        <v>19.174093320342262</v>
      </c>
      <c r="BR114" s="21">
        <f>EXP(-LN(2)/2)*BR113+(1-EXP(-LN(2)/2))/(LN(2)/2)*BL114*BO114*VLOOKUP('Données projet'!$B$11,Paramètres!$A$1:$I$89,3,0)*0.475*44/12</f>
        <v>2.8649328404906766</v>
      </c>
      <c r="BS114" s="22">
        <f t="shared" si="63"/>
        <v>86.123490605425204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-3.979039320256561E-13</v>
      </c>
      <c r="BZ114" s="13">
        <f>BY114*VLOOKUP('Données projet'!$B$12,Paramètres!$A$1:$I$89,3,0)*VLOOKUP('Données projet'!$B$12,Paramètres!$A$1:$I$89,5,0)</f>
        <v>-2.379465513513424E-13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213.18424462765137</v>
      </c>
      <c r="CE114" s="59">
        <f t="shared" si="94"/>
        <v>158.77848520346532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76.987170226174271</v>
      </c>
      <c r="CL114" s="21">
        <f>EXP(-LN(2)/25)*CL113+(1-EXP(-LN(2)/25))/(LN(2)/25)*Calculateur!CG114*Calculateur!CI114*VLOOKUP('Données projet'!$B$12,Paramètres!$A$1:$I$89,3,0)*0.475*44/12</f>
        <v>14.485421461604616</v>
      </c>
      <c r="CM114" s="21">
        <f>EXP(-LN(2)/2)*CM113+(1-EXP(-LN(2)/2))/(LN(2)/2)*CG114*CJ114*VLOOKUP('Données projet'!$B$12,Paramètres!$A$1:$I$89,3,0)*0.475*44/12</f>
        <v>7.8033408999244366E-4</v>
      </c>
      <c r="CN114" s="22">
        <f t="shared" si="66"/>
        <v>91.473372021868883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319</v>
      </c>
      <c r="CU114" s="17">
        <f>CT114*VLOOKUP('Données projet'!$B$13,Paramètres!$A$1:$I$89,3,0)*VLOOKUP('Données projet'!$B$13,Paramètres!$A$1:$I$89,5,0)</f>
        <v>253.79640000000001</v>
      </c>
      <c r="CV114" s="13">
        <f t="shared" si="95"/>
        <v>61.39816832228076</v>
      </c>
      <c r="CW114" s="20">
        <f t="shared" si="67"/>
        <v>548.96387316130563</v>
      </c>
      <c r="CX114" s="59">
        <f t="shared" si="68"/>
        <v>842.29720649463889</v>
      </c>
      <c r="CY114" s="59">
        <f ca="1">AVERAGE(OFFSET($CX$3,0,0,'Données projet'!$E$13+1,1))-AVERAGE(OFFSET($H$3,0,0,'Données projet'!$E$13+1,1))</f>
        <v>279.49721661620544</v>
      </c>
      <c r="CZ114" s="59">
        <f t="shared" si="96"/>
        <v>275.18739333988754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24.235171703233899</v>
      </c>
      <c r="DG114" s="21">
        <f>EXP(-LN(2)/25)*DG113+(1-EXP(-LN(2)/25))/(LN(2)/25)*Calculateur!DB114*Calculateur!DD114*VLOOKUP('Données projet'!$B$13,Paramètres!$A$1:$I$89,3,0)*0.475*44/12</f>
        <v>3.1945181737065895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27.42968987694049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-6.3550942286383367E-14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278.5296012747549</v>
      </c>
      <c r="T115" s="59">
        <f t="shared" si="88"/>
        <v>370.55343097937077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73.302779603459555</v>
      </c>
      <c r="AA115" s="21">
        <f>EXP(-LN(2)/25)*AA114+(1-EXP(-LN(2)/25))/(LN(2)/25)*Calculateur!V115*Calculateur!X115*VLOOKUP('Données projet'!$B$9,Paramètres!$A$1:$I$89,3,0)*0.475*44/12</f>
        <v>11.861292023343939</v>
      </c>
      <c r="AB115" s="21">
        <f>EXP(-LN(2)/2)*AB114+(1-EXP(-LN(2)/2))/(LN(2)/2)*V115*Y115*VLOOKUP('Données projet'!$B$9,Paramètres!$A$1:$I$89,3,0)*0.475*44/12</f>
        <v>8.9986956549745383E-8</v>
      </c>
      <c r="AC115" s="22">
        <f t="shared" si="57"/>
        <v>85.164071716790446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9.1555555555555532</v>
      </c>
      <c r="AI115" s="13">
        <f>IF('Données projet'!$A$62&gt;35,AI114+AH115-AQ114,IF(A115&lt;'Données projet'!$A$62,$AF$205^A115,IF(A115='Données projet'!$A$62,'Données projet'!$B$62,AI114+AH115-AQ114)))</f>
        <v>476.27777777777732</v>
      </c>
      <c r="AJ115" s="13">
        <f>AI115*VLOOKUP('Données projet'!$B$10,Paramètres!$A$1:$I$89,3,0)*VLOOKUP('Données projet'!$B$10,Paramètres!$A$1:$I$89,5,0)</f>
        <v>229.08961111111088</v>
      </c>
      <c r="AK115" s="13">
        <f t="shared" si="89"/>
        <v>56.085788754203698</v>
      </c>
      <c r="AL115" s="20">
        <f t="shared" si="58"/>
        <v>496.68048809875626</v>
      </c>
      <c r="AM115" s="59">
        <f t="shared" si="59"/>
        <v>790.01382143208957</v>
      </c>
      <c r="AN115" s="59">
        <f ca="1">AVERAGE(OFFSET($AM$3,0,0,'Données projet'!$E$10+1,1))-AVERAGE(OFFSET($H$3,0,0,'Données projet'!$E$10+1,1))</f>
        <v>255.05550867459038</v>
      </c>
      <c r="AO115" s="59">
        <f t="shared" si="90"/>
        <v>119.28597757550295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90.34174203561814</v>
      </c>
      <c r="AV115" s="21">
        <f>EXP(-LN(2)/25)*AV114+(1-EXP(-LN(2)/25))/(LN(2)/25)*Calculateur!AQ115*Calculateur!AS115*VLOOKUP('Données projet'!$B$10,Paramètres!$A$1:$I$89,3,0)*0.475*44/12</f>
        <v>22.204639898097145</v>
      </c>
      <c r="AW115" s="21">
        <f>EXP(-LN(2)/2)*AW114+(1-EXP(-LN(2)/2))/(LN(2)/2)*AQ115*AT115*VLOOKUP('Données projet'!$B$10,Paramètres!$A$1:$I$89,3,0)*0.475*44/12</f>
        <v>1.014048856800932</v>
      </c>
      <c r="AX115" s="21">
        <f t="shared" si="60"/>
        <v>113.56043079051621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7.0884615384615346</v>
      </c>
      <c r="BD115" s="12">
        <f>IF('Données projet'!$A$88&gt;35,BD114+BC115-BL114,IF(A115&lt;'Données projet'!$A$88,$BA$205^A115,IF(A115='Données projet'!$A$88,'Données projet'!$B$88,BD114+BC115-BL114)))</f>
        <v>353.81153846153927</v>
      </c>
      <c r="BE115" s="13">
        <f>BD115*VLOOKUP('Données projet'!$B$11,Paramètres!$A$1:$I$89,3,0)*VLOOKUP('Données projet'!$B$11,Paramètres!$A$1:$I$89,5,0)</f>
        <v>165.58380000000037</v>
      </c>
      <c r="BF115" s="13">
        <f t="shared" si="91"/>
        <v>42.099431642932551</v>
      </c>
      <c r="BG115" s="20">
        <f t="shared" si="61"/>
        <v>361.71496177810815</v>
      </c>
      <c r="BH115" s="59">
        <f t="shared" si="62"/>
        <v>655.04829511144146</v>
      </c>
      <c r="BI115" s="59">
        <f ca="1">AVERAGE(OFFSET($BH$3,0,0,'Données projet'!$E$11+1,1))-AVERAGE(OFFSET($H$3,0,0,'Données projet'!$E$11+1,1))</f>
        <v>181.79645720099597</v>
      </c>
      <c r="BJ115" s="59">
        <f t="shared" si="92"/>
        <v>120.20040029102233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62.82780718449753</v>
      </c>
      <c r="BQ115" s="21">
        <f>EXP(-LN(2)/25)*BQ114+(1-EXP(-LN(2)/25))/(LN(2)/25)*Calculateur!BL115*Calculateur!BN115*VLOOKUP('Données projet'!$B$11,Paramètres!$A$1:$I$89,3,0)*0.475*44/12</f>
        <v>18.649776730175759</v>
      </c>
      <c r="BR115" s="21">
        <f>EXP(-LN(2)/2)*BR114+(1-EXP(-LN(2)/2))/(LN(2)/2)*BL115*BO115*VLOOKUP('Données projet'!$B$11,Paramètres!$A$1:$I$89,3,0)*0.475*44/12</f>
        <v>2.0258134391549949</v>
      </c>
      <c r="BS115" s="22">
        <f t="shared" si="63"/>
        <v>83.503397353828291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-3.979039320256561E-13</v>
      </c>
      <c r="BZ115" s="13">
        <f>BY115*VLOOKUP('Données projet'!$B$12,Paramètres!$A$1:$I$89,3,0)*VLOOKUP('Données projet'!$B$12,Paramètres!$A$1:$I$89,5,0)</f>
        <v>-2.379465513513424E-13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213.18424462765137</v>
      </c>
      <c r="CE115" s="59">
        <f t="shared" si="94"/>
        <v>158.77848520346532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75.477498775576166</v>
      </c>
      <c r="CL115" s="21">
        <f>EXP(-LN(2)/25)*CL114+(1-EXP(-LN(2)/25))/(LN(2)/25)*Calculateur!CG115*Calculateur!CI115*VLOOKUP('Données projet'!$B$12,Paramètres!$A$1:$I$89,3,0)*0.475*44/12</f>
        <v>14.089316849981831</v>
      </c>
      <c r="CM115" s="21">
        <f>EXP(-LN(2)/2)*CM114+(1-EXP(-LN(2)/2))/(LN(2)/2)*CG115*CJ115*VLOOKUP('Données projet'!$B$12,Paramètres!$A$1:$I$89,3,0)*0.475*44/12</f>
        <v>5.5177952662469054E-4</v>
      </c>
      <c r="CN115" s="22">
        <f t="shared" si="66"/>
        <v>89.567367405084624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319</v>
      </c>
      <c r="CU115" s="17">
        <f>CT115*VLOOKUP('Données projet'!$B$13,Paramètres!$A$1:$I$89,3,0)*VLOOKUP('Données projet'!$B$13,Paramètres!$A$1:$I$89,5,0)</f>
        <v>253.79640000000001</v>
      </c>
      <c r="CV115" s="13">
        <f t="shared" si="95"/>
        <v>61.39816832228076</v>
      </c>
      <c r="CW115" s="20">
        <f t="shared" si="67"/>
        <v>548.96387316130563</v>
      </c>
      <c r="CX115" s="59">
        <f t="shared" si="68"/>
        <v>842.29720649463889</v>
      </c>
      <c r="CY115" s="59">
        <f ca="1">AVERAGE(OFFSET($CX$3,0,0,'Données projet'!$E$13+1,1))-AVERAGE(OFFSET($H$3,0,0,'Données projet'!$E$13+1,1))</f>
        <v>279.49721661620544</v>
      </c>
      <c r="CZ115" s="59">
        <f t="shared" si="96"/>
        <v>275.18739333988754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23.75993476812862</v>
      </c>
      <c r="DG115" s="21">
        <f>EXP(-LN(2)/25)*DG114+(1-EXP(-LN(2)/25))/(LN(2)/25)*Calculateur!DB115*Calculateur!DD115*VLOOKUP('Données projet'!$B$13,Paramètres!$A$1:$I$89,3,0)*0.475*44/12</f>
        <v>3.1071639062541734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26.867098674382792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-6.3550942286383367E-14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278.5296012747549</v>
      </c>
      <c r="T116" s="59">
        <f t="shared" si="88"/>
        <v>370.55343097937077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71.865356805716502</v>
      </c>
      <c r="AA116" s="21">
        <f>EXP(-LN(2)/25)*AA115+(1-EXP(-LN(2)/25))/(LN(2)/25)*Calculateur!V116*Calculateur!X116*VLOOKUP('Données projet'!$B$9,Paramètres!$A$1:$I$89,3,0)*0.475*44/12</f>
        <v>11.536944369207362</v>
      </c>
      <c r="AB116" s="21">
        <f>EXP(-LN(2)/2)*AB115+(1-EXP(-LN(2)/2))/(LN(2)/2)*V116*Y116*VLOOKUP('Données projet'!$B$9,Paramètres!$A$1:$I$89,3,0)*0.475*44/12</f>
        <v>6.3630387194664168E-8</v>
      </c>
      <c r="AC116" s="22">
        <f t="shared" si="57"/>
        <v>83.402301238554244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9.1555555555555532</v>
      </c>
      <c r="AI116" s="13">
        <f>IF('Données projet'!$A$62&gt;35,AI115+AH116-AQ115,IF(A116&lt;'Données projet'!$A$62,$AF$205^A116,IF(A116='Données projet'!$A$62,'Données projet'!$B$62,AI115+AH116-AQ115)))</f>
        <v>485.43333333333288</v>
      </c>
      <c r="AJ116" s="13">
        <f>AI116*VLOOKUP('Données projet'!$B$10,Paramètres!$A$1:$I$89,3,0)*VLOOKUP('Données projet'!$B$10,Paramètres!$A$1:$I$89,5,0)</f>
        <v>233.49343333333312</v>
      </c>
      <c r="AK116" s="13">
        <f t="shared" si="89"/>
        <v>57.037379505638803</v>
      </c>
      <c r="AL116" s="20">
        <f t="shared" si="58"/>
        <v>506.00783236120947</v>
      </c>
      <c r="AM116" s="59">
        <f t="shared" si="59"/>
        <v>799.34116569454272</v>
      </c>
      <c r="AN116" s="59">
        <f ca="1">AVERAGE(OFFSET($AM$3,0,0,'Données projet'!$E$10+1,1))-AVERAGE(OFFSET($H$3,0,0,'Données projet'!$E$10+1,1))</f>
        <v>255.05550867459038</v>
      </c>
      <c r="AO116" s="59">
        <f t="shared" si="90"/>
        <v>119.28597757550295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88.570195577321343</v>
      </c>
      <c r="AV116" s="21">
        <f>EXP(-LN(2)/25)*AV115+(1-EXP(-LN(2)/25))/(LN(2)/25)*Calculateur!AQ116*Calculateur!AS116*VLOOKUP('Données projet'!$B$10,Paramètres!$A$1:$I$89,3,0)*0.475*44/12</f>
        <v>21.597452852392415</v>
      </c>
      <c r="AW116" s="21">
        <f>EXP(-LN(2)/2)*AW115+(1-EXP(-LN(2)/2))/(LN(2)/2)*AQ116*AT116*VLOOKUP('Données projet'!$B$10,Paramètres!$A$1:$I$89,3,0)*0.475*44/12</f>
        <v>0.71704082309840533</v>
      </c>
      <c r="AX116" s="21">
        <f t="shared" si="60"/>
        <v>110.88468925281215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7.0884615384615346</v>
      </c>
      <c r="BD116" s="12">
        <f>IF('Données projet'!$A$88&gt;35,BD115+BC116-BL115,IF(A116&lt;'Données projet'!$A$88,$BA$205^A116,IF(A116='Données projet'!$A$88,'Données projet'!$B$88,BD115+BC116-BL115)))</f>
        <v>360.90000000000083</v>
      </c>
      <c r="BE116" s="13">
        <f>BD116*VLOOKUP('Données projet'!$B$11,Paramètres!$A$1:$I$89,3,0)*VLOOKUP('Données projet'!$B$11,Paramètres!$A$1:$I$89,5,0)</f>
        <v>168.90120000000039</v>
      </c>
      <c r="BF116" s="13">
        <f t="shared" si="91"/>
        <v>42.843836138922327</v>
      </c>
      <c r="BG116" s="20">
        <f t="shared" si="61"/>
        <v>368.78927127529045</v>
      </c>
      <c r="BH116" s="59">
        <f t="shared" si="62"/>
        <v>662.12260460862376</v>
      </c>
      <c r="BI116" s="59">
        <f ca="1">AVERAGE(OFFSET($BH$3,0,0,'Données projet'!$E$11+1,1))-AVERAGE(OFFSET($H$3,0,0,'Données projet'!$E$11+1,1))</f>
        <v>181.79645720099597</v>
      </c>
      <c r="BJ116" s="59">
        <f t="shared" si="92"/>
        <v>120.20040029102233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61.595792206788012</v>
      </c>
      <c r="BQ116" s="21">
        <f>EXP(-LN(2)/25)*BQ115+(1-EXP(-LN(2)/25))/(LN(2)/25)*Calculateur!BL116*Calculateur!BN116*VLOOKUP('Données projet'!$B$11,Paramètres!$A$1:$I$89,3,0)*0.475*44/12</f>
        <v>18.139797604739968</v>
      </c>
      <c r="BR116" s="21">
        <f>EXP(-LN(2)/2)*BR115+(1-EXP(-LN(2)/2))/(LN(2)/2)*BL116*BO116*VLOOKUP('Données projet'!$B$11,Paramètres!$A$1:$I$89,3,0)*0.475*44/12</f>
        <v>1.4324664202453383</v>
      </c>
      <c r="BS116" s="22">
        <f t="shared" si="63"/>
        <v>81.168056231773306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-3.979039320256561E-13</v>
      </c>
      <c r="BZ116" s="13">
        <f>BY116*VLOOKUP('Données projet'!$B$12,Paramètres!$A$1:$I$89,3,0)*VLOOKUP('Données projet'!$B$12,Paramètres!$A$1:$I$89,5,0)</f>
        <v>-2.379465513513424E-13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213.18424462765137</v>
      </c>
      <c r="CE116" s="59">
        <f t="shared" si="94"/>
        <v>158.77848520346532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73.997431061315623</v>
      </c>
      <c r="CL116" s="21">
        <f>EXP(-LN(2)/25)*CL115+(1-EXP(-LN(2)/25))/(LN(2)/25)*Calculateur!CG116*Calculateur!CI116*VLOOKUP('Données projet'!$B$12,Paramètres!$A$1:$I$89,3,0)*0.475*44/12</f>
        <v>13.704043739794106</v>
      </c>
      <c r="CM116" s="21">
        <f>EXP(-LN(2)/2)*CM115+(1-EXP(-LN(2)/2))/(LN(2)/2)*CG116*CJ116*VLOOKUP('Données projet'!$B$12,Paramètres!$A$1:$I$89,3,0)*0.475*44/12</f>
        <v>3.9016704499622183E-4</v>
      </c>
      <c r="CN116" s="22">
        <f t="shared" si="66"/>
        <v>87.701864968154723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319</v>
      </c>
      <c r="CU116" s="17">
        <f>CT116*VLOOKUP('Données projet'!$B$13,Paramètres!$A$1:$I$89,3,0)*VLOOKUP('Données projet'!$B$13,Paramètres!$A$1:$I$89,5,0)</f>
        <v>253.79640000000001</v>
      </c>
      <c r="CV116" s="13">
        <f t="shared" si="95"/>
        <v>61.39816832228076</v>
      </c>
      <c r="CW116" s="20">
        <f t="shared" si="67"/>
        <v>548.96387316130563</v>
      </c>
      <c r="CX116" s="59">
        <f t="shared" si="68"/>
        <v>842.29720649463889</v>
      </c>
      <c r="CY116" s="59">
        <f ca="1">AVERAGE(OFFSET($CX$3,0,0,'Données projet'!$E$13+1,1))-AVERAGE(OFFSET($H$3,0,0,'Données projet'!$E$13+1,1))</f>
        <v>279.49721661620544</v>
      </c>
      <c r="CZ116" s="59">
        <f t="shared" si="96"/>
        <v>275.18739333988754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23.294016939454846</v>
      </c>
      <c r="DG116" s="21">
        <f>EXP(-LN(2)/25)*DG115+(1-EXP(-LN(2)/25))/(LN(2)/25)*Calculateur!DB116*Calculateur!DD116*VLOOKUP('Données projet'!$B$13,Paramètres!$A$1:$I$89,3,0)*0.475*44/12</f>
        <v>3.0221983458390045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26.31621528529385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-6.3550942286383367E-14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278.5296012747549</v>
      </c>
      <c r="T117" s="59">
        <f t="shared" si="88"/>
        <v>370.55343097937077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70.456120992295851</v>
      </c>
      <c r="AA117" s="21">
        <f>EXP(-LN(2)/25)*AA116+(1-EXP(-LN(2)/25))/(LN(2)/25)*Calculateur!V117*Calculateur!X117*VLOOKUP('Données projet'!$B$9,Paramètres!$A$1:$I$89,3,0)*0.475*44/12</f>
        <v>11.221466018729849</v>
      </c>
      <c r="AB117" s="21">
        <f>EXP(-LN(2)/2)*AB116+(1-EXP(-LN(2)/2))/(LN(2)/2)*V117*Y117*VLOOKUP('Données projet'!$B$9,Paramètres!$A$1:$I$89,3,0)*0.475*44/12</f>
        <v>4.4993478274872691E-8</v>
      </c>
      <c r="AC117" s="22">
        <f t="shared" si="57"/>
        <v>81.677587056019192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9.1555555555555532</v>
      </c>
      <c r="AI117" s="13">
        <f>IF('Données projet'!$A$62&gt;35,AI116+AH117-AQ116,IF(A117&lt;'Données projet'!$A$62,$AF$205^A117,IF(A117='Données projet'!$A$62,'Données projet'!$B$62,AI116+AH117-AQ116)))</f>
        <v>494.58888888888845</v>
      </c>
      <c r="AJ117" s="13">
        <f>AI117*VLOOKUP('Données projet'!$B$10,Paramètres!$A$1:$I$89,3,0)*VLOOKUP('Données projet'!$B$10,Paramètres!$A$1:$I$89,5,0)</f>
        <v>237.89725555555535</v>
      </c>
      <c r="AK117" s="13">
        <f t="shared" si="89"/>
        <v>57.986883322238874</v>
      </c>
      <c r="AL117" s="20">
        <f t="shared" si="58"/>
        <v>515.33154187882485</v>
      </c>
      <c r="AM117" s="59">
        <f t="shared" si="59"/>
        <v>808.66487521215822</v>
      </c>
      <c r="AN117" s="59">
        <f ca="1">AVERAGE(OFFSET($AM$3,0,0,'Données projet'!$E$10+1,1))-AVERAGE(OFFSET($H$3,0,0,'Données projet'!$E$10+1,1))</f>
        <v>255.05550867459038</v>
      </c>
      <c r="AO117" s="59">
        <f t="shared" si="90"/>
        <v>119.28597757550295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86.8333880645351</v>
      </c>
      <c r="AV117" s="21">
        <f>EXP(-LN(2)/25)*AV116+(1-EXP(-LN(2)/25))/(LN(2)/25)*Calculateur!AQ117*Calculateur!AS117*VLOOKUP('Données projet'!$B$10,Paramètres!$A$1:$I$89,3,0)*0.475*44/12</f>
        <v>21.006869368383061</v>
      </c>
      <c r="AW117" s="21">
        <f>EXP(-LN(2)/2)*AW116+(1-EXP(-LN(2)/2))/(LN(2)/2)*AQ117*AT117*VLOOKUP('Données projet'!$B$10,Paramètres!$A$1:$I$89,3,0)*0.475*44/12</f>
        <v>0.50702442840046602</v>
      </c>
      <c r="AX117" s="21">
        <f t="shared" si="60"/>
        <v>108.34728186131863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7.0884615384615346</v>
      </c>
      <c r="BD117" s="12">
        <f>IF('Données projet'!$A$88&gt;35,BD116+BC117-BL116,IF(A117&lt;'Données projet'!$A$88,$BA$205^A117,IF(A117='Données projet'!$A$88,'Données projet'!$B$88,BD116+BC117-BL116)))</f>
        <v>367.98846153846239</v>
      </c>
      <c r="BE117" s="13">
        <f>BD117*VLOOKUP('Données projet'!$B$11,Paramètres!$A$1:$I$89,3,0)*VLOOKUP('Données projet'!$B$11,Paramètres!$A$1:$I$89,5,0)</f>
        <v>172.21860000000038</v>
      </c>
      <c r="BF117" s="13">
        <f t="shared" si="91"/>
        <v>43.586540590608692</v>
      </c>
      <c r="BG117" s="20">
        <f t="shared" si="61"/>
        <v>375.86061986197745</v>
      </c>
      <c r="BH117" s="59">
        <f t="shared" si="62"/>
        <v>669.19395319531077</v>
      </c>
      <c r="BI117" s="59">
        <f ca="1">AVERAGE(OFFSET($BH$3,0,0,'Données projet'!$E$11+1,1))-AVERAGE(OFFSET($H$3,0,0,'Données projet'!$E$11+1,1))</f>
        <v>181.79645720099597</v>
      </c>
      <c r="BJ117" s="59">
        <f t="shared" si="92"/>
        <v>120.20040029102233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60.387936291336445</v>
      </c>
      <c r="BQ117" s="21">
        <f>EXP(-LN(2)/25)*BQ116+(1-EXP(-LN(2)/25))/(LN(2)/25)*Calculateur!BL117*Calculateur!BN117*VLOOKUP('Données projet'!$B$11,Paramètres!$A$1:$I$89,3,0)*0.475*44/12</f>
        <v>17.643763885307855</v>
      </c>
      <c r="BR117" s="21">
        <f>EXP(-LN(2)/2)*BR116+(1-EXP(-LN(2)/2))/(LN(2)/2)*BL117*BO117*VLOOKUP('Données projet'!$B$11,Paramètres!$A$1:$I$89,3,0)*0.475*44/12</f>
        <v>1.0129067195774974</v>
      </c>
      <c r="BS117" s="22">
        <f t="shared" si="63"/>
        <v>79.044606896221808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-3.979039320256561E-13</v>
      </c>
      <c r="BZ117" s="13">
        <f>BY117*VLOOKUP('Données projet'!$B$12,Paramètres!$A$1:$I$89,3,0)*VLOOKUP('Données projet'!$B$12,Paramètres!$A$1:$I$89,5,0)</f>
        <v>-2.379465513513424E-13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213.18424462765137</v>
      </c>
      <c r="CE117" s="59">
        <f t="shared" si="94"/>
        <v>158.77848520346532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72.546386572179557</v>
      </c>
      <c r="CL117" s="21">
        <f>EXP(-LN(2)/25)*CL116+(1-EXP(-LN(2)/25))/(LN(2)/25)*Calculateur!CG117*Calculateur!CI117*VLOOKUP('Données projet'!$B$12,Paramètres!$A$1:$I$89,3,0)*0.475*44/12</f>
        <v>13.329305943065096</v>
      </c>
      <c r="CM117" s="21">
        <f>EXP(-LN(2)/2)*CM116+(1-EXP(-LN(2)/2))/(LN(2)/2)*CG117*CJ117*VLOOKUP('Données projet'!$B$12,Paramètres!$A$1:$I$89,3,0)*0.475*44/12</f>
        <v>2.7588976331234527E-4</v>
      </c>
      <c r="CN117" s="22">
        <f t="shared" si="66"/>
        <v>85.875968405007967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319</v>
      </c>
      <c r="CU117" s="17">
        <f>CT117*VLOOKUP('Données projet'!$B$13,Paramètres!$A$1:$I$89,3,0)*VLOOKUP('Données projet'!$B$13,Paramètres!$A$1:$I$89,5,0)</f>
        <v>253.79640000000001</v>
      </c>
      <c r="CV117" s="13">
        <f t="shared" si="95"/>
        <v>61.39816832228076</v>
      </c>
      <c r="CW117" s="20">
        <f t="shared" si="67"/>
        <v>548.96387316130563</v>
      </c>
      <c r="CX117" s="59">
        <f t="shared" si="68"/>
        <v>842.29720649463889</v>
      </c>
      <c r="CY117" s="59">
        <f ca="1">AVERAGE(OFFSET($CX$3,0,0,'Données projet'!$E$13+1,1))-AVERAGE(OFFSET($H$3,0,0,'Données projet'!$E$13+1,1))</f>
        <v>279.49721661620544</v>
      </c>
      <c r="CZ117" s="59">
        <f t="shared" si="96"/>
        <v>275.18739333988754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22.837235475219551</v>
      </c>
      <c r="DG117" s="21">
        <f>EXP(-LN(2)/25)*DG116+(1-EXP(-LN(2)/25))/(LN(2)/25)*Calculateur!DB117*Calculateur!DD117*VLOOKUP('Données projet'!$B$13,Paramètres!$A$1:$I$89,3,0)*0.475*44/12</f>
        <v>2.9395561731415332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25.776791648361083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-6.3550942286383367E-14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278.5296012747549</v>
      </c>
      <c r="T118" s="59">
        <f t="shared" si="88"/>
        <v>370.55343097937077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69.074519433627401</v>
      </c>
      <c r="AA118" s="21">
        <f>EXP(-LN(2)/25)*AA117+(1-EXP(-LN(2)/25))/(LN(2)/25)*Calculateur!V118*Calculateur!X118*VLOOKUP('Données projet'!$B$9,Paramètres!$A$1:$I$89,3,0)*0.475*44/12</f>
        <v>10.914614440336431</v>
      </c>
      <c r="AB118" s="21">
        <f>EXP(-LN(2)/2)*AB117+(1-EXP(-LN(2)/2))/(LN(2)/2)*V118*Y118*VLOOKUP('Données projet'!$B$9,Paramètres!$A$1:$I$89,3,0)*0.475*44/12</f>
        <v>3.1815193597332084E-8</v>
      </c>
      <c r="AC118" s="22">
        <f t="shared" si="57"/>
        <v>79.989133905779028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9.1555555555555532</v>
      </c>
      <c r="AI118" s="13">
        <f>IF('Données projet'!$A$62&gt;35,AI117+AH118-AQ117,IF(A118&lt;'Données projet'!$A$62,$AF$205^A118,IF(A118='Données projet'!$A$62,'Données projet'!$B$62,AI117+AH118-AQ117)))</f>
        <v>503.74444444444401</v>
      </c>
      <c r="AJ118" s="13">
        <f>AI118*VLOOKUP('Données projet'!$B$10,Paramètres!$A$1:$I$89,3,0)*VLOOKUP('Données projet'!$B$10,Paramètres!$A$1:$I$89,5,0)</f>
        <v>242.30107777777758</v>
      </c>
      <c r="AK118" s="13">
        <f t="shared" si="89"/>
        <v>58.93434329150238</v>
      </c>
      <c r="AL118" s="20">
        <f t="shared" si="58"/>
        <v>524.65169169566263</v>
      </c>
      <c r="AM118" s="59">
        <f t="shared" si="59"/>
        <v>817.98502502899601</v>
      </c>
      <c r="AN118" s="59">
        <f ca="1">AVERAGE(OFFSET($AM$3,0,0,'Données projet'!$E$10+1,1))-AVERAGE(OFFSET($H$3,0,0,'Données projet'!$E$10+1,1))</f>
        <v>255.05550867459038</v>
      </c>
      <c r="AO118" s="59">
        <f t="shared" si="90"/>
        <v>119.28597757550295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85.130638287726612</v>
      </c>
      <c r="AV118" s="21">
        <f>EXP(-LN(2)/25)*AV117+(1-EXP(-LN(2)/25))/(LN(2)/25)*Calculateur!AQ118*Calculateur!AS118*VLOOKUP('Données projet'!$B$10,Paramètres!$A$1:$I$89,3,0)*0.475*44/12</f>
        <v>20.432435420801379</v>
      </c>
      <c r="AW118" s="21">
        <f>EXP(-LN(2)/2)*AW117+(1-EXP(-LN(2)/2))/(LN(2)/2)*AQ118*AT118*VLOOKUP('Données projet'!$B$10,Paramètres!$A$1:$I$89,3,0)*0.475*44/12</f>
        <v>0.35852041154920267</v>
      </c>
      <c r="AX118" s="21">
        <f t="shared" si="60"/>
        <v>105.9215941200772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7.0884615384615346</v>
      </c>
      <c r="BD118" s="12">
        <f>IF('Données projet'!$A$88&gt;35,BD117+BC118-BL117,IF(A118&lt;'Données projet'!$A$88,$BA$205^A118,IF(A118='Données projet'!$A$88,'Données projet'!$B$88,BD117+BC118-BL117)))</f>
        <v>375.07692307692395</v>
      </c>
      <c r="BE118" s="13">
        <f>BD118*VLOOKUP('Données projet'!$B$11,Paramètres!$A$1:$I$89,3,0)*VLOOKUP('Données projet'!$B$11,Paramètres!$A$1:$I$89,5,0)</f>
        <v>175.5360000000004</v>
      </c>
      <c r="BF118" s="13">
        <f t="shared" si="91"/>
        <v>44.327581520891201</v>
      </c>
      <c r="BG118" s="20">
        <f t="shared" si="61"/>
        <v>382.92907114888618</v>
      </c>
      <c r="BH118" s="59">
        <f t="shared" si="62"/>
        <v>676.26240448221949</v>
      </c>
      <c r="BI118" s="59">
        <f ca="1">AVERAGE(OFFSET($BH$3,0,0,'Données projet'!$E$11+1,1))-AVERAGE(OFFSET($H$3,0,0,'Données projet'!$E$11+1,1))</f>
        <v>181.79645720099597</v>
      </c>
      <c r="BJ118" s="59">
        <f t="shared" si="92"/>
        <v>120.20040029102233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59.203765693667521</v>
      </c>
      <c r="BQ118" s="21">
        <f>EXP(-LN(2)/25)*BQ117+(1-EXP(-LN(2)/25))/(LN(2)/25)*Calculateur!BL118*Calculateur!BN118*VLOOKUP('Données projet'!$B$11,Paramètres!$A$1:$I$89,3,0)*0.475*44/12</f>
        <v>17.161294234018893</v>
      </c>
      <c r="BR118" s="21">
        <f>EXP(-LN(2)/2)*BR117+(1-EXP(-LN(2)/2))/(LN(2)/2)*BL118*BO118*VLOOKUP('Données projet'!$B$11,Paramètres!$A$1:$I$89,3,0)*0.475*44/12</f>
        <v>0.71623321012266916</v>
      </c>
      <c r="BS118" s="22">
        <f t="shared" si="63"/>
        <v>77.081293137809084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-3.979039320256561E-13</v>
      </c>
      <c r="BZ118" s="13">
        <f>BY118*VLOOKUP('Données projet'!$B$12,Paramètres!$A$1:$I$89,3,0)*VLOOKUP('Données projet'!$B$12,Paramètres!$A$1:$I$89,5,0)</f>
        <v>-2.379465513513424E-13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213.18424462765137</v>
      </c>
      <c r="CE118" s="59">
        <f t="shared" si="94"/>
        <v>158.77848520346532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71.1237961804257</v>
      </c>
      <c r="CL118" s="21">
        <f>EXP(-LN(2)/25)*CL117+(1-EXP(-LN(2)/25))/(LN(2)/25)*Calculateur!CG118*Calculateur!CI118*VLOOKUP('Données projet'!$B$12,Paramètres!$A$1:$I$89,3,0)*0.475*44/12</f>
        <v>12.964815371094247</v>
      </c>
      <c r="CM118" s="21">
        <f>EXP(-LN(2)/2)*CM117+(1-EXP(-LN(2)/2))/(LN(2)/2)*CG118*CJ118*VLOOKUP('Données projet'!$B$12,Paramètres!$A$1:$I$89,3,0)*0.475*44/12</f>
        <v>1.9508352249811091E-4</v>
      </c>
      <c r="CN118" s="22">
        <f t="shared" si="66"/>
        <v>84.088806635042445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319</v>
      </c>
      <c r="CU118" s="17">
        <f>CT118*VLOOKUP('Données projet'!$B$13,Paramètres!$A$1:$I$89,3,0)*VLOOKUP('Données projet'!$B$13,Paramètres!$A$1:$I$89,5,0)</f>
        <v>253.79640000000001</v>
      </c>
      <c r="CV118" s="13">
        <f t="shared" si="95"/>
        <v>61.39816832228076</v>
      </c>
      <c r="CW118" s="20">
        <f t="shared" si="67"/>
        <v>548.96387316130563</v>
      </c>
      <c r="CX118" s="59">
        <f t="shared" si="68"/>
        <v>842.29720649463889</v>
      </c>
      <c r="CY118" s="59">
        <f ca="1">AVERAGE(OFFSET($CX$3,0,0,'Données projet'!$E$13+1,1))-AVERAGE(OFFSET($H$3,0,0,'Données projet'!$E$13+1,1))</f>
        <v>279.49721661620544</v>
      </c>
      <c r="CZ118" s="59">
        <f t="shared" si="96"/>
        <v>275.18739333988754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22.389411216888728</v>
      </c>
      <c r="DG118" s="21">
        <f>EXP(-LN(2)/25)*DG117+(1-EXP(-LN(2)/25))/(LN(2)/25)*Calculateur!DB118*Calculateur!DD118*VLOOKUP('Données projet'!$B$13,Paramètres!$A$1:$I$89,3,0)*0.475*44/12</f>
        <v>2.859173855002437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25.248585071891164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-6.3550942286383367E-14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278.5296012747549</v>
      </c>
      <c r="T119" s="59">
        <f t="shared" si="88"/>
        <v>370.55343097937077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67.720010238830696</v>
      </c>
      <c r="AA119" s="21">
        <f>EXP(-LN(2)/25)*AA118+(1-EXP(-LN(2)/25))/(LN(2)/25)*Calculateur!V119*Calculateur!X119*VLOOKUP('Données projet'!$B$9,Paramètres!$A$1:$I$89,3,0)*0.475*44/12</f>
        <v>10.616153734490803</v>
      </c>
      <c r="AB119" s="21">
        <f>EXP(-LN(2)/2)*AB118+(1-EXP(-LN(2)/2))/(LN(2)/2)*V119*Y119*VLOOKUP('Données projet'!$B$9,Paramètres!$A$1:$I$89,3,0)*0.475*44/12</f>
        <v>2.2496739137436346E-8</v>
      </c>
      <c r="AC119" s="22">
        <f t="shared" si="57"/>
        <v>78.336163995818239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>
        <f>VLOOKUP(A119,'Données projet'!$A$61:$I$81,2,0)</f>
        <v>512.9</v>
      </c>
      <c r="AG119" s="12">
        <f>VLOOKUP(A119,'Données projet'!$A$61:$I$81,9,0)</f>
        <v>9.1555555555555532</v>
      </c>
      <c r="AH119" s="12">
        <f t="array" ref="AH119">INDEX(AG:AG,MIN(IF(ISNUMBER(AG119:AG315),ROW(AG119:AG315),"")))</f>
        <v>9.1555555555555532</v>
      </c>
      <c r="AI119" s="13">
        <f>IF('Données projet'!$A$62&gt;35,AI118+AH119-AQ118,IF(A119&lt;'Données projet'!$A$62,$AF$205^A119,IF(A119='Données projet'!$A$62,'Données projet'!$B$62,AI118+AH119-AQ118)))</f>
        <v>512.89999999999952</v>
      </c>
      <c r="AJ119" s="13">
        <f>AI119*VLOOKUP('Données projet'!$B$10,Paramètres!$A$1:$I$89,3,0)*VLOOKUP('Données projet'!$B$10,Paramètres!$A$1:$I$89,5,0)</f>
        <v>246.70489999999978</v>
      </c>
      <c r="AK119" s="13">
        <f t="shared" si="89"/>
        <v>59.879800845021499</v>
      </c>
      <c r="AL119" s="20">
        <f t="shared" si="58"/>
        <v>533.96835397174539</v>
      </c>
      <c r="AM119" s="59">
        <f t="shared" si="59"/>
        <v>827.30168730507876</v>
      </c>
      <c r="AN119" s="59">
        <f ca="1">AVERAGE(OFFSET($AM$3,0,0,'Données projet'!$E$10+1,1))-AVERAGE(OFFSET($H$3,0,0,'Données projet'!$E$10+1,1))</f>
        <v>255.05550867459038</v>
      </c>
      <c r="AO119" s="59">
        <f t="shared" si="90"/>
        <v>119.28597757550295</v>
      </c>
      <c r="AP119" s="15">
        <f>IF(ISNA(VLOOKUP(A119,'Données projet'!$A$61:$I$81,3,0)),0,VLOOKUP(A119,'Données projet'!$A$61:$I$81,3,0))</f>
        <v>10</v>
      </c>
      <c r="AQ119" s="15">
        <f>IF(ISNA(VLOOKUP(A119,'Données projet'!$A$61:$I$81,4,0)),0,VLOOKUP(A119,'Données projet'!$A$61:$I$81,4,0))</f>
        <v>78.099999999999994</v>
      </c>
      <c r="AR119" s="16">
        <f>IF(ISNA(VLOOKUP(A119,'Données projet'!$A$61:$I$81,5,0)),0%,VLOOKUP(A119,'Données projet'!$A$61:$I$81,5,0)*VLOOKUP('Données projet'!$B$10,Paramètres!$A$1:$I$89,7,0))</f>
        <v>0.38500000000000001</v>
      </c>
      <c r="AS119" s="16">
        <f>IF(ISNA(VLOOKUP(A119,'Données projet'!$A$61:$I$81,6,0)),0%,VLOOKUP(A119,'Données projet'!$A$61:$I$81,6,0)*VLOOKUP('Données projet'!$B$10,Paramètres!$A$1:$I$89,7,0))</f>
        <v>9.3500000000000014E-2</v>
      </c>
      <c r="AT119" s="16">
        <f>IF(ISNA(VLOOKUP(A119,'Données projet'!$A$61:$I$81,7,0)),0%,VLOOKUP(A119,'Données projet'!$A$61:$I$81,7,0))</f>
        <v>0.13</v>
      </c>
      <c r="AU119" s="21">
        <f>EXP(-LN(2)/35)*AU118+(1-EXP(-LN(2)/35))/(LN(2)/35)*AQ119*AR119*VLOOKUP('Données projet'!$B$10,Paramètres!$A$1:$I$89,3,0)*0.475*44/12</f>
        <v>102.64731179641913</v>
      </c>
      <c r="AV119" s="21">
        <f>EXP(-LN(2)/25)*AV118+(1-EXP(-LN(2)/25))/(LN(2)/25)*Calculateur!AQ119*Calculateur!AS119*VLOOKUP('Données projet'!$B$10,Paramètres!$A$1:$I$89,3,0)*0.475*44/12</f>
        <v>24.514828564139066</v>
      </c>
      <c r="AW119" s="21">
        <f>EXP(-LN(2)/2)*AW118+(1-EXP(-LN(2)/2))/(LN(2)/2)*AQ119*AT119*VLOOKUP('Données projet'!$B$10,Paramètres!$A$1:$I$89,3,0)*0.475*44/12</f>
        <v>5.7828739367743989</v>
      </c>
      <c r="AX119" s="21">
        <f t="shared" si="60"/>
        <v>132.94501429733259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7.0884615384615346</v>
      </c>
      <c r="BD119" s="12">
        <f>IF('Données projet'!$A$88&gt;35,BD118+BC119-BL118,IF(A119&lt;'Données projet'!$A$88,$BA$205^A119,IF(A119='Données projet'!$A$88,'Données projet'!$B$88,BD118+BC119-BL118)))</f>
        <v>382.16538461538551</v>
      </c>
      <c r="BE119" s="13">
        <f>BD119*VLOOKUP('Données projet'!$B$11,Paramètres!$A$1:$I$89,3,0)*VLOOKUP('Données projet'!$B$11,Paramètres!$A$1:$I$89,5,0)</f>
        <v>178.85340000000042</v>
      </c>
      <c r="BF119" s="13">
        <f t="shared" si="91"/>
        <v>45.066993993201848</v>
      </c>
      <c r="BG119" s="20">
        <f t="shared" si="61"/>
        <v>389.99468620482725</v>
      </c>
      <c r="BH119" s="59">
        <f t="shared" si="62"/>
        <v>683.32801953816056</v>
      </c>
      <c r="BI119" s="59">
        <f ca="1">AVERAGE(OFFSET($BH$3,0,0,'Données projet'!$E$11+1,1))-AVERAGE(OFFSET($H$3,0,0,'Données projet'!$E$11+1,1))</f>
        <v>181.79645720099597</v>
      </c>
      <c r="BJ119" s="59">
        <f t="shared" si="92"/>
        <v>120.20040029102233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58.042815959146132</v>
      </c>
      <c r="BQ119" s="21">
        <f>EXP(-LN(2)/25)*BQ118+(1-EXP(-LN(2)/25))/(LN(2)/25)*Calculateur!BL119*Calculateur!BN119*VLOOKUP('Données projet'!$B$11,Paramètres!$A$1:$I$89,3,0)*0.475*44/12</f>
        <v>16.692017740716405</v>
      </c>
      <c r="BR119" s="21">
        <f>EXP(-LN(2)/2)*BR118+(1-EXP(-LN(2)/2))/(LN(2)/2)*BL119*BO119*VLOOKUP('Données projet'!$B$11,Paramètres!$A$1:$I$89,3,0)*0.475*44/12</f>
        <v>0.50645335978874872</v>
      </c>
      <c r="BS119" s="22">
        <f t="shared" si="63"/>
        <v>75.241287059651285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-3.979039320256561E-13</v>
      </c>
      <c r="BZ119" s="13">
        <f>BY119*VLOOKUP('Données projet'!$B$12,Paramètres!$A$1:$I$89,3,0)*VLOOKUP('Données projet'!$B$12,Paramètres!$A$1:$I$89,5,0)</f>
        <v>-2.379465513513424E-13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213.18424462765137</v>
      </c>
      <c r="CE119" s="59">
        <f t="shared" si="94"/>
        <v>158.77848520346532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69.729101918559678</v>
      </c>
      <c r="CL119" s="21">
        <f>EXP(-LN(2)/25)*CL118+(1-EXP(-LN(2)/25))/(LN(2)/25)*Calculateur!CG119*Calculateur!CI119*VLOOKUP('Données projet'!$B$12,Paramètres!$A$1:$I$89,3,0)*0.475*44/12</f>
        <v>12.610291812981666</v>
      </c>
      <c r="CM119" s="21">
        <f>EXP(-LN(2)/2)*CM118+(1-EXP(-LN(2)/2))/(LN(2)/2)*CG119*CJ119*VLOOKUP('Données projet'!$B$12,Paramètres!$A$1:$I$89,3,0)*0.475*44/12</f>
        <v>1.3794488165617264E-4</v>
      </c>
      <c r="CN119" s="22">
        <f t="shared" si="66"/>
        <v>82.339531676423007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319</v>
      </c>
      <c r="CU119" s="17">
        <f>CT119*VLOOKUP('Données projet'!$B$13,Paramètres!$A$1:$I$89,3,0)*VLOOKUP('Données projet'!$B$13,Paramètres!$A$1:$I$89,5,0)</f>
        <v>253.79640000000001</v>
      </c>
      <c r="CV119" s="13">
        <f t="shared" si="95"/>
        <v>61.39816832228076</v>
      </c>
      <c r="CW119" s="20">
        <f t="shared" si="67"/>
        <v>548.96387316130563</v>
      </c>
      <c r="CX119" s="59">
        <f t="shared" si="68"/>
        <v>842.29720649463889</v>
      </c>
      <c r="CY119" s="59">
        <f ca="1">AVERAGE(OFFSET($CX$3,0,0,'Données projet'!$E$13+1,1))-AVERAGE(OFFSET($H$3,0,0,'Données projet'!$E$13+1,1))</f>
        <v>279.49721661620544</v>
      </c>
      <c r="CZ119" s="59">
        <f t="shared" si="96"/>
        <v>275.18739333988754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21.950368519117944</v>
      </c>
      <c r="DG119" s="21">
        <f>EXP(-LN(2)/25)*DG118+(1-EXP(-LN(2)/25))/(LN(2)/25)*Calculateur!DB119*Calculateur!DD119*VLOOKUP('Données projet'!$B$13,Paramètres!$A$1:$I$89,3,0)*0.475*44/12</f>
        <v>2.7809895955799773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24.731358114697922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-6.3550942286383367E-14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278.5296012747549</v>
      </c>
      <c r="T120" s="59">
        <f t="shared" si="88"/>
        <v>370.55343097937077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66.392062143174925</v>
      </c>
      <c r="AA120" s="21">
        <f>EXP(-LN(2)/25)*AA119+(1-EXP(-LN(2)/25))/(LN(2)/25)*Calculateur!V120*Calculateur!X120*VLOOKUP('Données projet'!$B$9,Paramètres!$A$1:$I$89,3,0)*0.475*44/12</f>
        <v>10.32585445234189</v>
      </c>
      <c r="AB120" s="21">
        <f>EXP(-LN(2)/2)*AB119+(1-EXP(-LN(2)/2))/(LN(2)/2)*V120*Y120*VLOOKUP('Données projet'!$B$9,Paramètres!$A$1:$I$89,3,0)*0.475*44/12</f>
        <v>1.5907596798666042E-8</v>
      </c>
      <c r="AC120" s="22">
        <f t="shared" si="57"/>
        <v>76.717916611424414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8.0888888888888957</v>
      </c>
      <c r="AI120" s="13">
        <f>IF('Données projet'!$A$62&gt;35,AI119+AH120-AQ119,IF(A120&lt;'Données projet'!$A$62,$AF$205^A120,IF(A120='Données projet'!$A$62,'Données projet'!$B$62,AI119+AH120-AQ119)))</f>
        <v>442.88888888888835</v>
      </c>
      <c r="AJ120" s="13">
        <f>AI120*VLOOKUP('Données projet'!$B$10,Paramètres!$A$1:$I$89,3,0)*VLOOKUP('Données projet'!$B$10,Paramètres!$A$1:$I$89,5,0)</f>
        <v>213.02955555555528</v>
      </c>
      <c r="AK120" s="13">
        <f t="shared" si="89"/>
        <v>52.597066914404834</v>
      </c>
      <c r="AL120" s="20">
        <f t="shared" si="58"/>
        <v>462.63303413518059</v>
      </c>
      <c r="AM120" s="59">
        <f t="shared" si="59"/>
        <v>755.96636746851391</v>
      </c>
      <c r="AN120" s="59">
        <f ca="1">AVERAGE(OFFSET($AM$3,0,0,'Données projet'!$E$10+1,1))-AVERAGE(OFFSET($H$3,0,0,'Données projet'!$E$10+1,1))</f>
        <v>255.05550867459038</v>
      </c>
      <c r="AO120" s="59">
        <f t="shared" si="90"/>
        <v>119.28597757550295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100.63446062076946</v>
      </c>
      <c r="AV120" s="21">
        <f>EXP(-LN(2)/25)*AV119+(1-EXP(-LN(2)/25))/(LN(2)/25)*Calculateur!AQ120*Calculateur!AS120*VLOOKUP('Données projet'!$B$10,Paramètres!$A$1:$I$89,3,0)*0.475*44/12</f>
        <v>23.844469287873878</v>
      </c>
      <c r="AW120" s="21">
        <f>EXP(-LN(2)/2)*AW119+(1-EXP(-LN(2)/2))/(LN(2)/2)*AQ120*AT120*VLOOKUP('Données projet'!$B$10,Paramètres!$A$1:$I$89,3,0)*0.475*44/12</f>
        <v>4.089109375440124</v>
      </c>
      <c r="AX120" s="21">
        <f t="shared" si="60"/>
        <v>128.56803928408345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7.0884615384615346</v>
      </c>
      <c r="BD120" s="12">
        <f>IF('Données projet'!$A$88&gt;35,BD119+BC120-BL119,IF(A120&lt;'Données projet'!$A$88,$BA$205^A120,IF(A120='Données projet'!$A$88,'Données projet'!$B$88,BD119+BC120-BL119)))</f>
        <v>389.25384615384706</v>
      </c>
      <c r="BE120" s="13">
        <f>BD120*VLOOKUP('Données projet'!$B$11,Paramètres!$A$1:$I$89,3,0)*VLOOKUP('Données projet'!$B$11,Paramètres!$A$1:$I$89,5,0)</f>
        <v>182.17080000000044</v>
      </c>
      <c r="BF120" s="13">
        <f t="shared" si="91"/>
        <v>45.804811695795308</v>
      </c>
      <c r="BG120" s="20">
        <f t="shared" si="61"/>
        <v>397.05752370351092</v>
      </c>
      <c r="BH120" s="59">
        <f t="shared" si="62"/>
        <v>690.39085703684418</v>
      </c>
      <c r="BI120" s="59">
        <f ca="1">AVERAGE(OFFSET($BH$3,0,0,'Données projet'!$E$11+1,1))-AVERAGE(OFFSET($H$3,0,0,'Données projet'!$E$11+1,1))</f>
        <v>181.79645720099597</v>
      </c>
      <c r="BJ120" s="59">
        <f t="shared" si="92"/>
        <v>120.20040029102233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56.904631740809293</v>
      </c>
      <c r="BQ120" s="21">
        <f>EXP(-LN(2)/25)*BQ119+(1-EXP(-LN(2)/25))/(LN(2)/25)*Calculateur!BL120*Calculateur!BN120*VLOOKUP('Données projet'!$B$11,Paramètres!$A$1:$I$89,3,0)*0.475*44/12</f>
        <v>16.235573637801451</v>
      </c>
      <c r="BR120" s="21">
        <f>EXP(-LN(2)/2)*BR119+(1-EXP(-LN(2)/2))/(LN(2)/2)*BL120*BO120*VLOOKUP('Données projet'!$B$11,Paramètres!$A$1:$I$89,3,0)*0.475*44/12</f>
        <v>0.35811660506133458</v>
      </c>
      <c r="BS120" s="22">
        <f t="shared" si="63"/>
        <v>73.498321983672085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-3.979039320256561E-13</v>
      </c>
      <c r="BZ120" s="13">
        <f>BY120*VLOOKUP('Données projet'!$B$12,Paramètres!$A$1:$I$89,3,0)*VLOOKUP('Données projet'!$B$12,Paramètres!$A$1:$I$89,5,0)</f>
        <v>-2.379465513513424E-13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213.18424462765137</v>
      </c>
      <c r="CE120" s="59">
        <f t="shared" si="94"/>
        <v>158.77848520346532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68.361756760489357</v>
      </c>
      <c r="CL120" s="21">
        <f>EXP(-LN(2)/25)*CL119+(1-EXP(-LN(2)/25))/(LN(2)/25)*Calculateur!CG120*Calculateur!CI120*VLOOKUP('Données projet'!$B$12,Paramètres!$A$1:$I$89,3,0)*0.475*44/12</f>
        <v>12.265462720209257</v>
      </c>
      <c r="CM120" s="21">
        <f>EXP(-LN(2)/2)*CM119+(1-EXP(-LN(2)/2))/(LN(2)/2)*CG120*CJ120*VLOOKUP('Données projet'!$B$12,Paramètres!$A$1:$I$89,3,0)*0.475*44/12</f>
        <v>9.7541761249055457E-5</v>
      </c>
      <c r="CN120" s="22">
        <f t="shared" si="66"/>
        <v>80.627317022459863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319</v>
      </c>
      <c r="CU120" s="17">
        <f>CT120*VLOOKUP('Données projet'!$B$13,Paramètres!$A$1:$I$89,3,0)*VLOOKUP('Données projet'!$B$13,Paramètres!$A$1:$I$89,5,0)</f>
        <v>253.79640000000001</v>
      </c>
      <c r="CV120" s="13">
        <f t="shared" si="95"/>
        <v>61.39816832228076</v>
      </c>
      <c r="CW120" s="20">
        <f t="shared" si="67"/>
        <v>548.96387316130563</v>
      </c>
      <c r="CX120" s="59">
        <f t="shared" si="68"/>
        <v>842.29720649463889</v>
      </c>
      <c r="CY120" s="59">
        <f ca="1">AVERAGE(OFFSET($CX$3,0,0,'Données projet'!$E$13+1,1))-AVERAGE(OFFSET($H$3,0,0,'Données projet'!$E$13+1,1))</f>
        <v>279.49721661620544</v>
      </c>
      <c r="CZ120" s="59">
        <f t="shared" si="96"/>
        <v>275.18739333988754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21.519935180860845</v>
      </c>
      <c r="DG120" s="21">
        <f>EXP(-LN(2)/25)*DG119+(1-EXP(-LN(2)/25))/(LN(2)/25)*Calculateur!DB120*Calculateur!DD120*VLOOKUP('Données projet'!$B$13,Paramètres!$A$1:$I$89,3,0)*0.475*44/12</f>
        <v>2.7049432888429559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24.2248784697038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-6.3550942286383367E-14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278.5296012747549</v>
      </c>
      <c r="T121" s="59">
        <f t="shared" si="88"/>
        <v>370.55343097937077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65.090154299706612</v>
      </c>
      <c r="AA121" s="21">
        <f>EXP(-LN(2)/25)*AA120+(1-EXP(-LN(2)/25))/(LN(2)/25)*Calculateur!V121*Calculateur!X121*VLOOKUP('Données projet'!$B$9,Paramètres!$A$1:$I$89,3,0)*0.475*44/12</f>
        <v>10.043493419329515</v>
      </c>
      <c r="AB121" s="21">
        <f>EXP(-LN(2)/2)*AB120+(1-EXP(-LN(2)/2))/(LN(2)/2)*V121*Y121*VLOOKUP('Données projet'!$B$9,Paramètres!$A$1:$I$89,3,0)*0.475*44/12</f>
        <v>1.1248369568718173E-8</v>
      </c>
      <c r="AC121" s="22">
        <f t="shared" si="57"/>
        <v>75.133647730284508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8.0888888888888957</v>
      </c>
      <c r="AI121" s="13">
        <f>IF('Données projet'!$A$62&gt;35,AI120+AH121-AQ120,IF(A121&lt;'Données projet'!$A$62,$AF$205^A121,IF(A121='Données projet'!$A$62,'Données projet'!$B$62,AI120+AH121-AQ120)))</f>
        <v>450.97777777777725</v>
      </c>
      <c r="AJ121" s="13">
        <f>AI121*VLOOKUP('Données projet'!$B$10,Paramètres!$A$1:$I$89,3,0)*VLOOKUP('Données projet'!$B$10,Paramètres!$A$1:$I$89,5,0)</f>
        <v>216.92031111111086</v>
      </c>
      <c r="AK121" s="13">
        <f t="shared" si="89"/>
        <v>53.444982359178496</v>
      </c>
      <c r="AL121" s="20">
        <f t="shared" si="58"/>
        <v>470.88621946075403</v>
      </c>
      <c r="AM121" s="59">
        <f t="shared" si="59"/>
        <v>764.21955279408735</v>
      </c>
      <c r="AN121" s="59">
        <f ca="1">AVERAGE(OFFSET($AM$3,0,0,'Données projet'!$E$10+1,1))-AVERAGE(OFFSET($H$3,0,0,'Données projet'!$E$10+1,1))</f>
        <v>255.05550867459038</v>
      </c>
      <c r="AO121" s="59">
        <f t="shared" si="90"/>
        <v>119.28597757550295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98.66108022895628</v>
      </c>
      <c r="AV121" s="21">
        <f>EXP(-LN(2)/25)*AV120+(1-EXP(-LN(2)/25))/(LN(2)/25)*Calculateur!AQ121*Calculateur!AS121*VLOOKUP('Données projet'!$B$10,Paramètres!$A$1:$I$89,3,0)*0.475*44/12</f>
        <v>23.192441021270824</v>
      </c>
      <c r="AW121" s="21">
        <f>EXP(-LN(2)/2)*AW120+(1-EXP(-LN(2)/2))/(LN(2)/2)*AQ121*AT121*VLOOKUP('Données projet'!$B$10,Paramètres!$A$1:$I$89,3,0)*0.475*44/12</f>
        <v>2.8914369683871999</v>
      </c>
      <c r="AX121" s="21">
        <f t="shared" si="60"/>
        <v>124.7449582186143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7.0884615384615346</v>
      </c>
      <c r="BD121" s="12">
        <f>IF('Données projet'!$A$88&gt;35,BD120+BC121-BL120,IF(A121&lt;'Données projet'!$A$88,$BA$205^A121,IF(A121='Données projet'!$A$88,'Données projet'!$B$88,BD120+BC121-BL120)))</f>
        <v>396.34230769230862</v>
      </c>
      <c r="BE121" s="13">
        <f>BD121*VLOOKUP('Données projet'!$B$11,Paramètres!$A$1:$I$89,3,0)*VLOOKUP('Données projet'!$B$11,Paramètres!$A$1:$I$89,5,0)</f>
        <v>185.48820000000043</v>
      </c>
      <c r="BF121" s="13">
        <f t="shared" si="91"/>
        <v>46.541067019726086</v>
      </c>
      <c r="BG121" s="20">
        <f t="shared" si="61"/>
        <v>404.11764005935697</v>
      </c>
      <c r="BH121" s="59">
        <f t="shared" si="62"/>
        <v>697.45097339269023</v>
      </c>
      <c r="BI121" s="59">
        <f ca="1">AVERAGE(OFFSET($BH$3,0,0,'Données projet'!$E$11+1,1))-AVERAGE(OFFSET($H$3,0,0,'Données projet'!$E$11+1,1))</f>
        <v>181.79645720099597</v>
      </c>
      <c r="BJ121" s="59">
        <f t="shared" si="92"/>
        <v>120.20040029102233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55.788766620770218</v>
      </c>
      <c r="BQ121" s="21">
        <f>EXP(-LN(2)/25)*BQ120+(1-EXP(-LN(2)/25))/(LN(2)/25)*Calculateur!BL121*Calculateur!BN121*VLOOKUP('Données projet'!$B$11,Paramètres!$A$1:$I$89,3,0)*0.475*44/12</f>
        <v>15.79161102288406</v>
      </c>
      <c r="BR121" s="21">
        <f>EXP(-LN(2)/2)*BR120+(1-EXP(-LN(2)/2))/(LN(2)/2)*BL121*BO121*VLOOKUP('Données projet'!$B$11,Paramètres!$A$1:$I$89,3,0)*0.475*44/12</f>
        <v>0.25322667989437436</v>
      </c>
      <c r="BS121" s="22">
        <f t="shared" si="63"/>
        <v>71.833604323548641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-3.979039320256561E-13</v>
      </c>
      <c r="BZ121" s="13">
        <f>BY121*VLOOKUP('Données projet'!$B$12,Paramètres!$A$1:$I$89,3,0)*VLOOKUP('Données projet'!$B$12,Paramètres!$A$1:$I$89,5,0)</f>
        <v>-2.379465513513424E-13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213.18424462765137</v>
      </c>
      <c r="CE121" s="59">
        <f t="shared" si="94"/>
        <v>158.77848520346532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67.021224406970589</v>
      </c>
      <c r="CL121" s="21">
        <f>EXP(-LN(2)/25)*CL120+(1-EXP(-LN(2)/25))/(LN(2)/25)*Calculateur!CG121*Calculateur!CI121*VLOOKUP('Données projet'!$B$12,Paramètres!$A$1:$I$89,3,0)*0.475*44/12</f>
        <v>11.930062997112483</v>
      </c>
      <c r="CM121" s="21">
        <f>EXP(-LN(2)/2)*CM120+(1-EXP(-LN(2)/2))/(LN(2)/2)*CG121*CJ121*VLOOKUP('Données projet'!$B$12,Paramètres!$A$1:$I$89,3,0)*0.475*44/12</f>
        <v>6.8972440828086318E-5</v>
      </c>
      <c r="CN121" s="22">
        <f t="shared" si="66"/>
        <v>78.951356376523904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319</v>
      </c>
      <c r="CU121" s="17">
        <f>CT121*VLOOKUP('Données projet'!$B$13,Paramètres!$A$1:$I$89,3,0)*VLOOKUP('Données projet'!$B$13,Paramètres!$A$1:$I$89,5,0)</f>
        <v>253.79640000000001</v>
      </c>
      <c r="CV121" s="13">
        <f t="shared" si="95"/>
        <v>61.39816832228076</v>
      </c>
      <c r="CW121" s="20">
        <f t="shared" si="67"/>
        <v>548.96387316130563</v>
      </c>
      <c r="CX121" s="59">
        <f t="shared" si="68"/>
        <v>842.29720649463889</v>
      </c>
      <c r="CY121" s="59">
        <f ca="1">AVERAGE(OFFSET($CX$3,0,0,'Données projet'!$E$13+1,1))-AVERAGE(OFFSET($H$3,0,0,'Données projet'!$E$13+1,1))</f>
        <v>279.49721661620544</v>
      </c>
      <c r="CZ121" s="59">
        <f t="shared" si="96"/>
        <v>275.18739333988754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21.097942377828552</v>
      </c>
      <c r="DG121" s="21">
        <f>EXP(-LN(2)/25)*DG120+(1-EXP(-LN(2)/25))/(LN(2)/25)*Calculateur!DB121*Calculateur!DD121*VLOOKUP('Données projet'!$B$13,Paramètres!$A$1:$I$89,3,0)*0.475*44/12</f>
        <v>2.63097647236276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23.728918850191313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-6.3550942286383367E-14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278.5296012747549</v>
      </c>
      <c r="T122" s="59">
        <f t="shared" si="88"/>
        <v>370.55343097937077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63.813776074963336</v>
      </c>
      <c r="AA122" s="21">
        <f>EXP(-LN(2)/25)*AA121+(1-EXP(-LN(2)/25))/(LN(2)/25)*Calculateur!V122*Calculateur!X122*VLOOKUP('Données projet'!$B$9,Paramètres!$A$1:$I$89,3,0)*0.475*44/12</f>
        <v>9.7688535636135843</v>
      </c>
      <c r="AB122" s="21">
        <f>EXP(-LN(2)/2)*AB121+(1-EXP(-LN(2)/2))/(LN(2)/2)*V122*Y122*VLOOKUP('Données projet'!$B$9,Paramètres!$A$1:$I$89,3,0)*0.475*44/12</f>
        <v>7.953798399333021E-9</v>
      </c>
      <c r="AC122" s="22">
        <f t="shared" si="57"/>
        <v>73.582629646530719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8.0888888888888957</v>
      </c>
      <c r="AI122" s="13">
        <f>IF('Données projet'!$A$62&gt;35,AI121+AH122-AQ121,IF(A122&lt;'Données projet'!$A$62,$AF$205^A122,IF(A122='Données projet'!$A$62,'Données projet'!$B$62,AI121+AH122-AQ121)))</f>
        <v>459.06666666666615</v>
      </c>
      <c r="AJ122" s="13">
        <f>AI122*VLOOKUP('Données projet'!$B$10,Paramètres!$A$1:$I$89,3,0)*VLOOKUP('Données projet'!$B$10,Paramètres!$A$1:$I$89,5,0)</f>
        <v>220.81106666666642</v>
      </c>
      <c r="AK122" s="13">
        <f t="shared" si="89"/>
        <v>54.291129281435616</v>
      </c>
      <c r="AL122" s="20">
        <f t="shared" si="58"/>
        <v>479.13632460961099</v>
      </c>
      <c r="AM122" s="59">
        <f t="shared" si="59"/>
        <v>772.46965794294431</v>
      </c>
      <c r="AN122" s="59">
        <f ca="1">AVERAGE(OFFSET($AM$3,0,0,'Données projet'!$E$10+1,1))-AVERAGE(OFFSET($H$3,0,0,'Données projet'!$E$10+1,1))</f>
        <v>255.05550867459038</v>
      </c>
      <c r="AO122" s="59">
        <f t="shared" si="90"/>
        <v>119.28597757550295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96.726396622983373</v>
      </c>
      <c r="AV122" s="21">
        <f>EXP(-LN(2)/25)*AV121+(1-EXP(-LN(2)/25))/(LN(2)/25)*Calculateur!AQ122*Calculateur!AS122*VLOOKUP('Données projet'!$B$10,Paramètres!$A$1:$I$89,3,0)*0.475*44/12</f>
        <v>22.558242501906708</v>
      </c>
      <c r="AW122" s="21">
        <f>EXP(-LN(2)/2)*AW121+(1-EXP(-LN(2)/2))/(LN(2)/2)*AQ122*AT122*VLOOKUP('Données projet'!$B$10,Paramètres!$A$1:$I$89,3,0)*0.475*44/12</f>
        <v>2.0445546877200624</v>
      </c>
      <c r="AX122" s="21">
        <f t="shared" si="60"/>
        <v>121.32919381261014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7.0884615384615346</v>
      </c>
      <c r="BD122" s="12">
        <f>IF('Données projet'!$A$88&gt;35,BD121+BC122-BL121,IF(A122&lt;'Données projet'!$A$88,$BA$205^A122,IF(A122='Données projet'!$A$88,'Données projet'!$B$88,BD121+BC122-BL121)))</f>
        <v>403.43076923077018</v>
      </c>
      <c r="BE122" s="13">
        <f>BD122*VLOOKUP('Données projet'!$B$11,Paramètres!$A$1:$I$89,3,0)*VLOOKUP('Données projet'!$B$11,Paramètres!$A$1:$I$89,5,0)</f>
        <v>188.80560000000045</v>
      </c>
      <c r="BF122" s="13">
        <f t="shared" si="91"/>
        <v>47.275791131089136</v>
      </c>
      <c r="BG122" s="20">
        <f t="shared" si="61"/>
        <v>411.17508955331436</v>
      </c>
      <c r="BH122" s="59">
        <f t="shared" si="62"/>
        <v>704.50842288664762</v>
      </c>
      <c r="BI122" s="59">
        <f ca="1">AVERAGE(OFFSET($BH$3,0,0,'Données projet'!$E$11+1,1))-AVERAGE(OFFSET($H$3,0,0,'Données projet'!$E$11+1,1))</f>
        <v>181.79645720099597</v>
      </c>
      <c r="BJ122" s="59">
        <f t="shared" si="92"/>
        <v>120.20040029102233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54.694782935124586</v>
      </c>
      <c r="BQ122" s="21">
        <f>EXP(-LN(2)/25)*BQ121+(1-EXP(-LN(2)/25))/(LN(2)/25)*Calculateur!BL122*Calculateur!BN122*VLOOKUP('Données projet'!$B$11,Paramètres!$A$1:$I$89,3,0)*0.475*44/12</f>
        <v>15.359788589018564</v>
      </c>
      <c r="BR122" s="21">
        <f>EXP(-LN(2)/2)*BR121+(1-EXP(-LN(2)/2))/(LN(2)/2)*BL122*BO122*VLOOKUP('Données projet'!$B$11,Paramètres!$A$1:$I$89,3,0)*0.475*44/12</f>
        <v>0.17905830253066729</v>
      </c>
      <c r="BS122" s="22">
        <f t="shared" si="63"/>
        <v>70.233629826673805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-3.979039320256561E-13</v>
      </c>
      <c r="BZ122" s="13">
        <f>BY122*VLOOKUP('Données projet'!$B$12,Paramètres!$A$1:$I$89,3,0)*VLOOKUP('Données projet'!$B$12,Paramètres!$A$1:$I$89,5,0)</f>
        <v>-2.379465513513424E-13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213.18424462765137</v>
      </c>
      <c r="CE122" s="59">
        <f t="shared" si="94"/>
        <v>158.77848520346532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65.706979075260321</v>
      </c>
      <c r="CL122" s="21">
        <f>EXP(-LN(2)/25)*CL121+(1-EXP(-LN(2)/25))/(LN(2)/25)*Calculateur!CG122*Calculateur!CI122*VLOOKUP('Données projet'!$B$12,Paramètres!$A$1:$I$89,3,0)*0.475*44/12</f>
        <v>11.603834797081696</v>
      </c>
      <c r="CM122" s="21">
        <f>EXP(-LN(2)/2)*CM121+(1-EXP(-LN(2)/2))/(LN(2)/2)*CG122*CJ122*VLOOKUP('Données projet'!$B$12,Paramètres!$A$1:$I$89,3,0)*0.475*44/12</f>
        <v>4.8770880624527729E-5</v>
      </c>
      <c r="CN122" s="22">
        <f t="shared" si="66"/>
        <v>77.310862643222634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319</v>
      </c>
      <c r="CU122" s="17">
        <f>CT122*VLOOKUP('Données projet'!$B$13,Paramètres!$A$1:$I$89,3,0)*VLOOKUP('Données projet'!$B$13,Paramètres!$A$1:$I$89,5,0)</f>
        <v>253.79640000000001</v>
      </c>
      <c r="CV122" s="13">
        <f t="shared" si="95"/>
        <v>61.39816832228076</v>
      </c>
      <c r="CW122" s="20">
        <f t="shared" si="67"/>
        <v>548.96387316130563</v>
      </c>
      <c r="CX122" s="59">
        <f t="shared" si="68"/>
        <v>842.29720649463889</v>
      </c>
      <c r="CY122" s="59">
        <f ca="1">AVERAGE(OFFSET($CX$3,0,0,'Données projet'!$E$13+1,1))-AVERAGE(OFFSET($H$3,0,0,'Données projet'!$E$13+1,1))</f>
        <v>279.49721661620544</v>
      </c>
      <c r="CZ122" s="59">
        <f t="shared" si="96"/>
        <v>275.18739333988754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20.684224596273527</v>
      </c>
      <c r="DG122" s="21">
        <f>EXP(-LN(2)/25)*DG121+(1-EXP(-LN(2)/25))/(LN(2)/25)*Calculateur!DB122*Calculateur!DD122*VLOOKUP('Données projet'!$B$13,Paramètres!$A$1:$I$89,3,0)*0.475*44/12</f>
        <v>2.5590322823689609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23.243256878642487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-6.3550942286383367E-14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278.5296012747549</v>
      </c>
      <c r="T123" s="59">
        <f t="shared" si="88"/>
        <v>370.55343097937077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62.562426848693427</v>
      </c>
      <c r="AA123" s="21">
        <f>EXP(-LN(2)/25)*AA122+(1-EXP(-LN(2)/25))/(LN(2)/25)*Calculateur!V123*Calculateur!X123*VLOOKUP('Données projet'!$B$9,Paramètres!$A$1:$I$89,3,0)*0.475*44/12</f>
        <v>9.5017237491948894</v>
      </c>
      <c r="AB123" s="21">
        <f>EXP(-LN(2)/2)*AB122+(1-EXP(-LN(2)/2))/(LN(2)/2)*V123*Y123*VLOOKUP('Données projet'!$B$9,Paramètres!$A$1:$I$89,3,0)*0.475*44/12</f>
        <v>5.6241847843590864E-9</v>
      </c>
      <c r="AC123" s="22">
        <f t="shared" si="57"/>
        <v>72.064150603512502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8.0888888888888957</v>
      </c>
      <c r="AI123" s="13">
        <f>IF('Données projet'!$A$62&gt;35,AI122+AH123-AQ122,IF(A123&lt;'Données projet'!$A$62,$AF$205^A123,IF(A123='Données projet'!$A$62,'Données projet'!$B$62,AI122+AH123-AQ122)))</f>
        <v>467.15555555555505</v>
      </c>
      <c r="AJ123" s="13">
        <f>AI123*VLOOKUP('Données projet'!$B$10,Paramètres!$A$1:$I$89,3,0)*VLOOKUP('Données projet'!$B$10,Paramètres!$A$1:$I$89,5,0)</f>
        <v>224.70182222222201</v>
      </c>
      <c r="AK123" s="13">
        <f t="shared" si="89"/>
        <v>55.135542438277291</v>
      </c>
      <c r="AL123" s="20">
        <f t="shared" si="58"/>
        <v>487.38341011703619</v>
      </c>
      <c r="AM123" s="59">
        <f t="shared" si="59"/>
        <v>780.71674345036945</v>
      </c>
      <c r="AN123" s="59">
        <f ca="1">AVERAGE(OFFSET($AM$3,0,0,'Données projet'!$E$10+1,1))-AVERAGE(OFFSET($H$3,0,0,'Données projet'!$E$10+1,1))</f>
        <v>255.05550867459038</v>
      </c>
      <c r="AO123" s="59">
        <f t="shared" si="90"/>
        <v>119.28597757550295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94.829650982483116</v>
      </c>
      <c r="AV123" s="21">
        <f>EXP(-LN(2)/25)*AV122+(1-EXP(-LN(2)/25))/(LN(2)/25)*Calculateur!AQ123*Calculateur!AS123*VLOOKUP('Données projet'!$B$10,Paramètres!$A$1:$I$89,3,0)*0.475*44/12</f>
        <v>21.941386174405654</v>
      </c>
      <c r="AW123" s="21">
        <f>EXP(-LN(2)/2)*AW122+(1-EXP(-LN(2)/2))/(LN(2)/2)*AQ123*AT123*VLOOKUP('Données projet'!$B$10,Paramètres!$A$1:$I$89,3,0)*0.475*44/12</f>
        <v>1.4457184841936004</v>
      </c>
      <c r="AX123" s="21">
        <f t="shared" si="60"/>
        <v>118.21675564108237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7.0884615384615346</v>
      </c>
      <c r="BD123" s="12">
        <f>IF('Données projet'!$A$88&gt;35,BD122+BC123-BL122,IF(A123&lt;'Données projet'!$A$88,$BA$205^A123,IF(A123='Données projet'!$A$88,'Données projet'!$B$88,BD122+BC123-BL122)))</f>
        <v>410.51923076923174</v>
      </c>
      <c r="BE123" s="13">
        <f>BD123*VLOOKUP('Données projet'!$B$11,Paramètres!$A$1:$I$89,3,0)*VLOOKUP('Données projet'!$B$11,Paramètres!$A$1:$I$89,5,0)</f>
        <v>192.12300000000045</v>
      </c>
      <c r="BF123" s="13">
        <f t="shared" si="91"/>
        <v>48.009014038039808</v>
      </c>
      <c r="BG123" s="20">
        <f t="shared" si="61"/>
        <v>418.2299244495868</v>
      </c>
      <c r="BH123" s="59">
        <f t="shared" si="62"/>
        <v>711.56325778292012</v>
      </c>
      <c r="BI123" s="59">
        <f ca="1">AVERAGE(OFFSET($BH$3,0,0,'Données projet'!$E$11+1,1))-AVERAGE(OFFSET($H$3,0,0,'Données projet'!$E$11+1,1))</f>
        <v>181.79645720099597</v>
      </c>
      <c r="BJ123" s="59">
        <f t="shared" si="92"/>
        <v>120.20040029102233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53.622251602290305</v>
      </c>
      <c r="BQ123" s="21">
        <f>EXP(-LN(2)/25)*BQ122+(1-EXP(-LN(2)/25))/(LN(2)/25)*Calculateur!BL123*Calculateur!BN123*VLOOKUP('Données projet'!$B$11,Paramètres!$A$1:$I$89,3,0)*0.475*44/12</f>
        <v>14.939774362315674</v>
      </c>
      <c r="BR123" s="21">
        <f>EXP(-LN(2)/2)*BR122+(1-EXP(-LN(2)/2))/(LN(2)/2)*BL123*BO123*VLOOKUP('Données projet'!$B$11,Paramètres!$A$1:$I$89,3,0)*0.475*44/12</f>
        <v>0.12661333994718718</v>
      </c>
      <c r="BS123" s="22">
        <f t="shared" si="63"/>
        <v>68.688639304553163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-3.979039320256561E-13</v>
      </c>
      <c r="BZ123" s="13">
        <f>BY123*VLOOKUP('Données projet'!$B$12,Paramètres!$A$1:$I$89,3,0)*VLOOKUP('Données projet'!$B$12,Paramètres!$A$1:$I$89,5,0)</f>
        <v>-2.379465513513424E-13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213.18424462765137</v>
      </c>
      <c r="CE123" s="59">
        <f t="shared" si="94"/>
        <v>158.77848520346532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64.418505292894395</v>
      </c>
      <c r="CL123" s="21">
        <f>EXP(-LN(2)/25)*CL122+(1-EXP(-LN(2)/25))/(LN(2)/25)*Calculateur!CG123*Calculateur!CI123*VLOOKUP('Données projet'!$B$12,Paramètres!$A$1:$I$89,3,0)*0.475*44/12</f>
        <v>11.286527324336346</v>
      </c>
      <c r="CM123" s="21">
        <f>EXP(-LN(2)/2)*CM122+(1-EXP(-LN(2)/2))/(LN(2)/2)*CG123*CJ123*VLOOKUP('Données projet'!$B$12,Paramètres!$A$1:$I$89,3,0)*0.475*44/12</f>
        <v>3.4486220414043159E-5</v>
      </c>
      <c r="CN123" s="22">
        <f t="shared" si="66"/>
        <v>75.705067103451157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319</v>
      </c>
      <c r="CU123" s="17">
        <f>CT123*VLOOKUP('Données projet'!$B$13,Paramètres!$A$1:$I$89,3,0)*VLOOKUP('Données projet'!$B$13,Paramètres!$A$1:$I$89,5,0)</f>
        <v>253.79640000000001</v>
      </c>
      <c r="CV123" s="13">
        <f t="shared" si="95"/>
        <v>61.39816832228076</v>
      </c>
      <c r="CW123" s="20">
        <f t="shared" si="67"/>
        <v>548.96387316130563</v>
      </c>
      <c r="CX123" s="59">
        <f t="shared" si="68"/>
        <v>842.29720649463889</v>
      </c>
      <c r="CY123" s="59">
        <f ca="1">AVERAGE(OFFSET($CX$3,0,0,'Données projet'!$E$13+1,1))-AVERAGE(OFFSET($H$3,0,0,'Données projet'!$E$13+1,1))</f>
        <v>279.49721661620544</v>
      </c>
      <c r="CZ123" s="59">
        <f t="shared" si="96"/>
        <v>275.18739333988754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20.278619568071868</v>
      </c>
      <c r="DG123" s="21">
        <f>EXP(-LN(2)/25)*DG122+(1-EXP(-LN(2)/25))/(LN(2)/25)*Calculateur!DB123*Calculateur!DD123*VLOOKUP('Données projet'!$B$13,Paramètres!$A$1:$I$89,3,0)*0.475*44/12</f>
        <v>2.4890554100339228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22.767674978105791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-6.3550942286383367E-14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278.5296012747549</v>
      </c>
      <c r="T124" s="59">
        <f t="shared" si="88"/>
        <v>370.55343097937077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61.335615817503005</v>
      </c>
      <c r="AA124" s="21">
        <f>EXP(-LN(2)/25)*AA123+(1-EXP(-LN(2)/25))/(LN(2)/25)*Calculateur!V124*Calculateur!X124*VLOOKUP('Données projet'!$B$9,Paramètres!$A$1:$I$89,3,0)*0.475*44/12</f>
        <v>9.2418986135992203</v>
      </c>
      <c r="AB124" s="21">
        <f>EXP(-LN(2)/2)*AB123+(1-EXP(-LN(2)/2))/(LN(2)/2)*V124*Y124*VLOOKUP('Données projet'!$B$9,Paramètres!$A$1:$I$89,3,0)*0.475*44/12</f>
        <v>3.9768991996665105E-9</v>
      </c>
      <c r="AC124" s="22">
        <f t="shared" si="57"/>
        <v>70.577514435079124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8.0888888888888957</v>
      </c>
      <c r="AI124" s="13">
        <f>IF('Données projet'!$A$62&gt;35,AI123+AH124-AQ123,IF(A124&lt;'Données projet'!$A$62,$AF$205^A124,IF(A124='Données projet'!$A$62,'Données projet'!$B$62,AI123+AH124-AQ123)))</f>
        <v>475.24444444444396</v>
      </c>
      <c r="AJ124" s="13">
        <f>AI124*VLOOKUP('Données projet'!$B$10,Paramètres!$A$1:$I$89,3,0)*VLOOKUP('Données projet'!$B$10,Paramètres!$A$1:$I$89,5,0)</f>
        <v>228.59257777777756</v>
      </c>
      <c r="AK124" s="13">
        <f t="shared" si="89"/>
        <v>55.978255314192602</v>
      </c>
      <c r="AL124" s="20">
        <f t="shared" si="58"/>
        <v>495.62753430184802</v>
      </c>
      <c r="AM124" s="59">
        <f t="shared" si="59"/>
        <v>788.96086763518133</v>
      </c>
      <c r="AN124" s="59">
        <f ca="1">AVERAGE(OFFSET($AM$3,0,0,'Données projet'!$E$10+1,1))-AVERAGE(OFFSET($H$3,0,0,'Données projet'!$E$10+1,1))</f>
        <v>255.05550867459038</v>
      </c>
      <c r="AO124" s="59">
        <f t="shared" si="90"/>
        <v>119.28597757550295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92.970099367092459</v>
      </c>
      <c r="AV124" s="21">
        <f>EXP(-LN(2)/25)*AV123+(1-EXP(-LN(2)/25))/(LN(2)/25)*Calculateur!AQ124*Calculateur!AS124*VLOOKUP('Données projet'!$B$10,Paramètres!$A$1:$I$89,3,0)*0.475*44/12</f>
        <v>21.341397815619182</v>
      </c>
      <c r="AW124" s="21">
        <f>EXP(-LN(2)/2)*AW123+(1-EXP(-LN(2)/2))/(LN(2)/2)*AQ124*AT124*VLOOKUP('Données projet'!$B$10,Paramètres!$A$1:$I$89,3,0)*0.475*44/12</f>
        <v>1.0222773438600314</v>
      </c>
      <c r="AX124" s="21">
        <f t="shared" si="60"/>
        <v>115.33377452657166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>
        <f>VLOOKUP(A124,'Données projet'!$A$87:$I$107,2,0)</f>
        <v>417.60769230769228</v>
      </c>
      <c r="BB124" s="12">
        <f>VLOOKUP(A124,'Données projet'!$A$87:$I$107,9,0)</f>
        <v>7.0884615384615346</v>
      </c>
      <c r="BC124" s="12">
        <f t="array" ref="BC124">INDEX(BB:BB,MIN(IF(ISNUMBER(BB124:BB320),ROW(BB124:BB320),"")))</f>
        <v>7.0884615384615346</v>
      </c>
      <c r="BD124" s="12">
        <f>IF('Données projet'!$A$88&gt;35,BD123+BC124-BL123,IF(A124&lt;'Données projet'!$A$88,$BA$205^A124,IF(A124='Données projet'!$A$88,'Données projet'!$B$88,BD123+BC124-BL123)))</f>
        <v>417.6076923076933</v>
      </c>
      <c r="BE124" s="13">
        <f>BD124*VLOOKUP('Données projet'!$B$11,Paramètres!$A$1:$I$89,3,0)*VLOOKUP('Données projet'!$B$11,Paramètres!$A$1:$I$89,5,0)</f>
        <v>195.44040000000044</v>
      </c>
      <c r="BF124" s="13">
        <f t="shared" si="91"/>
        <v>48.740764653053404</v>
      </c>
      <c r="BG124" s="20">
        <f t="shared" si="61"/>
        <v>425.28219510406871</v>
      </c>
      <c r="BH124" s="59">
        <f t="shared" si="62"/>
        <v>718.61552843740196</v>
      </c>
      <c r="BI124" s="59">
        <f ca="1">AVERAGE(OFFSET($BH$3,0,0,'Données projet'!$E$11+1,1))-AVERAGE(OFFSET($H$3,0,0,'Données projet'!$E$11+1,1))</f>
        <v>181.79645720099597</v>
      </c>
      <c r="BJ124" s="59">
        <f t="shared" si="92"/>
        <v>120.20040029102233</v>
      </c>
      <c r="BK124" s="15">
        <f>IF(ISNA(VLOOKUP(A124,'Données projet'!$A$87:$I$107,3,0)),0,VLOOKUP(A124,'Données projet'!$A$87:$I$107,3,0))</f>
        <v>7</v>
      </c>
      <c r="BL124" s="15">
        <f>IF(ISNA(VLOOKUP(A124,'Données projet'!$A$87:$I$107,4,0)),0,VLOOKUP(A124,'Données projet'!$A$87:$I$107,4,0))</f>
        <v>207.07692307692307</v>
      </c>
      <c r="BM124" s="16">
        <f>IF(ISNA(VLOOKUP(A124,'Données projet'!$A$87:$I$107,5,0)),0%,VLOOKUP(A124,'Données projet'!$A$87:$I$107,5,0)*VLOOKUP('Données projet'!$B$11,Paramètres!$A$1:$I$89,7,0))</f>
        <v>0.38500000000000001</v>
      </c>
      <c r="BN124" s="16">
        <f>IF(ISNA(VLOOKUP(A124,'Données projet'!$A$87:$I$107,6,0)),0%,VLOOKUP(A124,'Données projet'!$A$87:$I$107,6,0)*VLOOKUP('Données projet'!$B$11,Paramètres!$A$1:$I$89,7,0))</f>
        <v>9.240000000000001E-2</v>
      </c>
      <c r="BO124" s="16">
        <f>IF(ISNA(VLOOKUP(A124,'Données projet'!$A$87:$I$107,7,0)),0%,VLOOKUP(A124,'Données projet'!$A$87:$I$107,7,0))</f>
        <v>0.13200000000000001</v>
      </c>
      <c r="BP124" s="21">
        <f>EXP(-LN(2)/35)*BP123+(1-EXP(-LN(2)/35))/(LN(2)/35)*BL124*BM124*VLOOKUP('Données projet'!$B$11,Paramètres!$A$1:$I$89,3,0)*0.475*44/12</f>
        <v>102.06635753935271</v>
      </c>
      <c r="BQ124" s="21">
        <f>EXP(-LN(2)/25)*BQ123+(1-EXP(-LN(2)/25))/(LN(2)/25)*Calculateur!BL124*Calculateur!BN124*VLOOKUP('Données projet'!$B$11,Paramètres!$A$1:$I$89,3,0)*0.475*44/12</f>
        <v>26.363418853005165</v>
      </c>
      <c r="BR124" s="21">
        <f>EXP(-LN(2)/2)*BR123+(1-EXP(-LN(2)/2))/(LN(2)/2)*BL124*BO124*VLOOKUP('Données projet'!$B$11,Paramètres!$A$1:$I$89,3,0)*0.475*44/12</f>
        <v>14.573479478426137</v>
      </c>
      <c r="BS124" s="22">
        <f t="shared" si="63"/>
        <v>143.00325587078402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-3.979039320256561E-13</v>
      </c>
      <c r="BZ124" s="13">
        <f>BY124*VLOOKUP('Données projet'!$B$12,Paramètres!$A$1:$I$89,3,0)*VLOOKUP('Données projet'!$B$12,Paramètres!$A$1:$I$89,5,0)</f>
        <v>-2.379465513513424E-13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213.18424462765137</v>
      </c>
      <c r="CE124" s="59">
        <f t="shared" si="94"/>
        <v>158.77848520346532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63.155297695509262</v>
      </c>
      <c r="CL124" s="21">
        <f>EXP(-LN(2)/25)*CL123+(1-EXP(-LN(2)/25))/(LN(2)/25)*Calculateur!CG124*Calculateur!CI124*VLOOKUP('Données projet'!$B$12,Paramètres!$A$1:$I$89,3,0)*0.475*44/12</f>
        <v>10.977896641119692</v>
      </c>
      <c r="CM124" s="21">
        <f>EXP(-LN(2)/2)*CM123+(1-EXP(-LN(2)/2))/(LN(2)/2)*CG124*CJ124*VLOOKUP('Données projet'!$B$12,Paramètres!$A$1:$I$89,3,0)*0.475*44/12</f>
        <v>2.4385440312263864E-5</v>
      </c>
      <c r="CN124" s="22">
        <f t="shared" si="66"/>
        <v>74.133218722069259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319</v>
      </c>
      <c r="CU124" s="17">
        <f>CT124*VLOOKUP('Données projet'!$B$13,Paramètres!$A$1:$I$89,3,0)*VLOOKUP('Données projet'!$B$13,Paramètres!$A$1:$I$89,5,0)</f>
        <v>253.79640000000001</v>
      </c>
      <c r="CV124" s="13">
        <f t="shared" si="95"/>
        <v>61.39816832228076</v>
      </c>
      <c r="CW124" s="20">
        <f t="shared" si="67"/>
        <v>548.96387316130563</v>
      </c>
      <c r="CX124" s="59">
        <f t="shared" si="68"/>
        <v>842.29720649463889</v>
      </c>
      <c r="CY124" s="59">
        <f ca="1">AVERAGE(OFFSET($CX$3,0,0,'Données projet'!$E$13+1,1))-AVERAGE(OFFSET($H$3,0,0,'Données projet'!$E$13+1,1))</f>
        <v>279.49721661620544</v>
      </c>
      <c r="CZ124" s="59">
        <f t="shared" si="96"/>
        <v>275.18739333988754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19.880968207078602</v>
      </c>
      <c r="DG124" s="21">
        <f>EXP(-LN(2)/25)*DG123+(1-EXP(-LN(2)/25))/(LN(2)/25)*Calculateur!DB124*Calculateur!DD124*VLOOKUP('Données projet'!$B$13,Paramètres!$A$1:$I$89,3,0)*0.475*44/12</f>
        <v>2.4209920589528102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22.301960266031411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-6.3550942286383367E-14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278.5296012747549</v>
      </c>
      <c r="T125" s="59">
        <f t="shared" si="88"/>
        <v>370.55343097937077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60.132861802353389</v>
      </c>
      <c r="AA125" s="21">
        <f>EXP(-LN(2)/25)*AA124+(1-EXP(-LN(2)/25))/(LN(2)/25)*Calculateur!V125*Calculateur!X125*VLOOKUP('Données projet'!$B$9,Paramètres!$A$1:$I$89,3,0)*0.475*44/12</f>
        <v>8.989178410000024</v>
      </c>
      <c r="AB125" s="21">
        <f>EXP(-LN(2)/2)*AB124+(1-EXP(-LN(2)/2))/(LN(2)/2)*V125*Y125*VLOOKUP('Données projet'!$B$9,Paramètres!$A$1:$I$89,3,0)*0.475*44/12</f>
        <v>2.8120923921795432E-9</v>
      </c>
      <c r="AC125" s="22">
        <f t="shared" si="57"/>
        <v>69.122040215165498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8.0888888888888957</v>
      </c>
      <c r="AI125" s="13">
        <f>IF('Données projet'!$A$62&gt;35,AI124+AH125-AQ124,IF(A125&lt;'Données projet'!$A$62,$AF$205^A125,IF(A125='Données projet'!$A$62,'Données projet'!$B$62,AI124+AH125-AQ124)))</f>
        <v>483.33333333333286</v>
      </c>
      <c r="AJ125" s="13">
        <f>AI125*VLOOKUP('Données projet'!$B$10,Paramètres!$A$1:$I$89,3,0)*VLOOKUP('Données projet'!$B$10,Paramètres!$A$1:$I$89,5,0)</f>
        <v>232.48333333333309</v>
      </c>
      <c r="AK125" s="13">
        <f t="shared" si="89"/>
        <v>56.819300188507562</v>
      </c>
      <c r="AL125" s="20">
        <f t="shared" si="58"/>
        <v>503.8687533838725</v>
      </c>
      <c r="AM125" s="59">
        <f t="shared" si="59"/>
        <v>797.20208671720582</v>
      </c>
      <c r="AN125" s="59">
        <f ca="1">AVERAGE(OFFSET($AM$3,0,0,'Données projet'!$E$10+1,1))-AVERAGE(OFFSET($H$3,0,0,'Données projet'!$E$10+1,1))</f>
        <v>255.05550867459038</v>
      </c>
      <c r="AO125" s="59">
        <f t="shared" si="90"/>
        <v>119.28597757550295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91.147012424665121</v>
      </c>
      <c r="AV125" s="21">
        <f>EXP(-LN(2)/25)*AV124+(1-EXP(-LN(2)/25))/(LN(2)/25)*Calculateur!AQ125*Calculateur!AS125*VLOOKUP('Données projet'!$B$10,Paramètres!$A$1:$I$89,3,0)*0.475*44/12</f>
        <v>20.75781617005574</v>
      </c>
      <c r="AW125" s="21">
        <f>EXP(-LN(2)/2)*AW124+(1-EXP(-LN(2)/2))/(LN(2)/2)*AQ125*AT125*VLOOKUP('Données projet'!$B$10,Paramètres!$A$1:$I$89,3,0)*0.475*44/12</f>
        <v>0.7228592420968003</v>
      </c>
      <c r="AX125" s="21">
        <f t="shared" si="60"/>
        <v>112.62768783681767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4.9084615384615375</v>
      </c>
      <c r="BD125" s="12">
        <f>IF('Données projet'!$A$88&gt;35,BD124+BC125-BL124,IF(A125&lt;'Données projet'!$A$88,$BA$205^A125,IF(A125='Données projet'!$A$88,'Données projet'!$B$88,BD124+BC125-BL124)))</f>
        <v>215.43923076923178</v>
      </c>
      <c r="BE125" s="13">
        <f>BD125*VLOOKUP('Données projet'!$B$11,Paramètres!$A$1:$I$89,3,0)*VLOOKUP('Données projet'!$B$11,Paramètres!$A$1:$I$89,5,0)</f>
        <v>100.82556000000046</v>
      </c>
      <c r="BF125" s="13">
        <f t="shared" si="91"/>
        <v>27.158581624033999</v>
      </c>
      <c r="BG125" s="20">
        <f t="shared" si="61"/>
        <v>222.90571332852667</v>
      </c>
      <c r="BH125" s="59">
        <f t="shared" si="62"/>
        <v>516.23904666186002</v>
      </c>
      <c r="BI125" s="59">
        <f ca="1">AVERAGE(OFFSET($BH$3,0,0,'Données projet'!$E$11+1,1))-AVERAGE(OFFSET($H$3,0,0,'Données projet'!$E$11+1,1))</f>
        <v>181.79645720099597</v>
      </c>
      <c r="BJ125" s="59">
        <f t="shared" si="92"/>
        <v>120.20040029102233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100.06489852233699</v>
      </c>
      <c r="BQ125" s="21">
        <f>EXP(-LN(2)/25)*BQ124+(1-EXP(-LN(2)/25))/(LN(2)/25)*Calculateur!BL125*Calculateur!BN125*VLOOKUP('Données projet'!$B$11,Paramètres!$A$1:$I$89,3,0)*0.475*44/12</f>
        <v>25.642509778077795</v>
      </c>
      <c r="BR125" s="21">
        <f>EXP(-LN(2)/2)*BR124+(1-EXP(-LN(2)/2))/(LN(2)/2)*BL125*BO125*VLOOKUP('Données projet'!$B$11,Paramètres!$A$1:$I$89,3,0)*0.475*44/12</f>
        <v>10.305006164678112</v>
      </c>
      <c r="BS125" s="22">
        <f t="shared" si="63"/>
        <v>136.01241446509289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-3.979039320256561E-13</v>
      </c>
      <c r="BZ125" s="13">
        <f>BY125*VLOOKUP('Données projet'!$B$12,Paramètres!$A$1:$I$89,3,0)*VLOOKUP('Données projet'!$B$12,Paramètres!$A$1:$I$89,5,0)</f>
        <v>-2.379465513513424E-13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213.18424462765137</v>
      </c>
      <c r="CE125" s="59">
        <f t="shared" si="94"/>
        <v>158.77848520346532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61.916860828628295</v>
      </c>
      <c r="CL125" s="21">
        <f>EXP(-LN(2)/25)*CL124+(1-EXP(-LN(2)/25))/(LN(2)/25)*Calculateur!CG125*Calculateur!CI125*VLOOKUP('Données projet'!$B$12,Paramètres!$A$1:$I$89,3,0)*0.475*44/12</f>
        <v>10.67770548016578</v>
      </c>
      <c r="CM125" s="21">
        <f>EXP(-LN(2)/2)*CM124+(1-EXP(-LN(2)/2))/(LN(2)/2)*CG125*CJ125*VLOOKUP('Données projet'!$B$12,Paramètres!$A$1:$I$89,3,0)*0.475*44/12</f>
        <v>1.7243110207021579E-5</v>
      </c>
      <c r="CN125" s="22">
        <f t="shared" si="66"/>
        <v>72.594583551904279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319</v>
      </c>
      <c r="CU125" s="17">
        <f>CT125*VLOOKUP('Données projet'!$B$13,Paramètres!$A$1:$I$89,3,0)*VLOOKUP('Données projet'!$B$13,Paramètres!$A$1:$I$89,5,0)</f>
        <v>253.79640000000001</v>
      </c>
      <c r="CV125" s="13">
        <f t="shared" si="95"/>
        <v>61.39816832228076</v>
      </c>
      <c r="CW125" s="20">
        <f t="shared" si="67"/>
        <v>548.96387316130563</v>
      </c>
      <c r="CX125" s="59">
        <f t="shared" si="68"/>
        <v>842.29720649463889</v>
      </c>
      <c r="CY125" s="59">
        <f ca="1">AVERAGE(OFFSET($CX$3,0,0,'Données projet'!$E$13+1,1))-AVERAGE(OFFSET($H$3,0,0,'Données projet'!$E$13+1,1))</f>
        <v>279.49721661620544</v>
      </c>
      <c r="CZ125" s="59">
        <f t="shared" si="96"/>
        <v>275.18739333988754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19.491114546731037</v>
      </c>
      <c r="DG125" s="21">
        <f>EXP(-LN(2)/25)*DG124+(1-EXP(-LN(2)/25))/(LN(2)/25)*Calculateur!DB125*Calculateur!DD125*VLOOKUP('Données projet'!$B$13,Paramètres!$A$1:$I$89,3,0)*0.475*44/12</f>
        <v>2.3547899037863065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21.845904450517345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-6.3550942286383367E-14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278.5296012747549</v>
      </c>
      <c r="T126" s="59">
        <f t="shared" si="88"/>
        <v>370.55343097937077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58.953693059833341</v>
      </c>
      <c r="AA126" s="21">
        <f>EXP(-LN(2)/25)*AA125+(1-EXP(-LN(2)/25))/(LN(2)/25)*Calculateur!V126*Calculateur!X126*VLOOKUP('Données projet'!$B$9,Paramètres!$A$1:$I$89,3,0)*0.475*44/12</f>
        <v>8.7433688536582252</v>
      </c>
      <c r="AB126" s="21">
        <f>EXP(-LN(2)/2)*AB125+(1-EXP(-LN(2)/2))/(LN(2)/2)*V126*Y126*VLOOKUP('Données projet'!$B$9,Paramètres!$A$1:$I$89,3,0)*0.475*44/12</f>
        <v>1.9884495998332552E-9</v>
      </c>
      <c r="AC126" s="22">
        <f t="shared" si="57"/>
        <v>67.69706191548002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8.0888888888888957</v>
      </c>
      <c r="AI126" s="13">
        <f>IF('Données projet'!$A$62&gt;35,AI125+AH126-AQ125,IF(A126&lt;'Données projet'!$A$62,$AF$205^A126,IF(A126='Données projet'!$A$62,'Données projet'!$B$62,AI125+AH126-AQ125)))</f>
        <v>491.42222222222176</v>
      </c>
      <c r="AJ126" s="13">
        <f>AI126*VLOOKUP('Données projet'!$B$10,Paramètres!$A$1:$I$89,3,0)*VLOOKUP('Données projet'!$B$10,Paramètres!$A$1:$I$89,5,0)</f>
        <v>236.37408888888865</v>
      </c>
      <c r="AK126" s="13">
        <f t="shared" si="89"/>
        <v>57.658708198190809</v>
      </c>
      <c r="AL126" s="20">
        <f t="shared" si="58"/>
        <v>512.10712159333013</v>
      </c>
      <c r="AM126" s="59">
        <f t="shared" si="59"/>
        <v>805.44045492666351</v>
      </c>
      <c r="AN126" s="59">
        <f ca="1">AVERAGE(OFFSET($AM$3,0,0,'Données projet'!$E$10+1,1))-AVERAGE(OFFSET($H$3,0,0,'Données projet'!$E$10+1,1))</f>
        <v>255.05550867459038</v>
      </c>
      <c r="AO126" s="59">
        <f t="shared" si="90"/>
        <v>119.28597757550295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89.359675105205554</v>
      </c>
      <c r="AV126" s="21">
        <f>EXP(-LN(2)/25)*AV125+(1-EXP(-LN(2)/25))/(LN(2)/25)*Calculateur!AQ126*Calculateur!AS126*VLOOKUP('Données projet'!$B$10,Paramètres!$A$1:$I$89,3,0)*0.475*44/12</f>
        <v>20.190192595279456</v>
      </c>
      <c r="AW126" s="21">
        <f>EXP(-LN(2)/2)*AW125+(1-EXP(-LN(2)/2))/(LN(2)/2)*AQ126*AT126*VLOOKUP('Données projet'!$B$10,Paramètres!$A$1:$I$89,3,0)*0.475*44/12</f>
        <v>0.51113867193001583</v>
      </c>
      <c r="AX126" s="21">
        <f t="shared" si="60"/>
        <v>110.06100637241502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4.9084615384615375</v>
      </c>
      <c r="BD126" s="12">
        <f>IF('Données projet'!$A$88&gt;35,BD125+BC126-BL125,IF(A126&lt;'Données projet'!$A$88,$BA$205^A126,IF(A126='Données projet'!$A$88,'Données projet'!$B$88,BD125+BC126-BL125)))</f>
        <v>220.34769230769331</v>
      </c>
      <c r="BE126" s="13">
        <f>BD126*VLOOKUP('Données projet'!$B$11,Paramètres!$A$1:$I$89,3,0)*VLOOKUP('Données projet'!$B$11,Paramètres!$A$1:$I$89,5,0)</f>
        <v>103.12272000000047</v>
      </c>
      <c r="BF126" s="13">
        <f t="shared" si="91"/>
        <v>27.70460592159175</v>
      </c>
      <c r="BG126" s="20">
        <f t="shared" si="61"/>
        <v>227.8575926467731</v>
      </c>
      <c r="BH126" s="59">
        <f t="shared" si="62"/>
        <v>521.19092598010639</v>
      </c>
      <c r="BI126" s="59">
        <f ca="1">AVERAGE(OFFSET($BH$3,0,0,'Données projet'!$E$11+1,1))-AVERAGE(OFFSET($H$3,0,0,'Données projet'!$E$11+1,1))</f>
        <v>181.79645720099597</v>
      </c>
      <c r="BJ126" s="59">
        <f t="shared" si="92"/>
        <v>120.20040029102233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98.102686895875493</v>
      </c>
      <c r="BQ126" s="21">
        <f>EXP(-LN(2)/25)*BQ125+(1-EXP(-LN(2)/25))/(LN(2)/25)*Calculateur!BL126*Calculateur!BN126*VLOOKUP('Données projet'!$B$11,Paramètres!$A$1:$I$89,3,0)*0.475*44/12</f>
        <v>24.941313999715273</v>
      </c>
      <c r="BR126" s="21">
        <f>EXP(-LN(2)/2)*BR125+(1-EXP(-LN(2)/2))/(LN(2)/2)*BL126*BO126*VLOOKUP('Données projet'!$B$11,Paramètres!$A$1:$I$89,3,0)*0.475*44/12</f>
        <v>7.2867397392130693</v>
      </c>
      <c r="BS126" s="22">
        <f t="shared" si="63"/>
        <v>130.33074063480385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-3.979039320256561E-13</v>
      </c>
      <c r="BZ126" s="13">
        <f>BY126*VLOOKUP('Données projet'!$B$12,Paramètres!$A$1:$I$89,3,0)*VLOOKUP('Données projet'!$B$12,Paramètres!$A$1:$I$89,5,0)</f>
        <v>-2.379465513513424E-13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213.18424462765137</v>
      </c>
      <c r="CE126" s="59">
        <f t="shared" si="94"/>
        <v>158.77848520346532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60.702708953334962</v>
      </c>
      <c r="CL126" s="21">
        <f>EXP(-LN(2)/25)*CL125+(1-EXP(-LN(2)/25))/(LN(2)/25)*Calculateur!CG126*Calculateur!CI126*VLOOKUP('Données projet'!$B$12,Paramètres!$A$1:$I$89,3,0)*0.475*44/12</f>
        <v>10.38572306229452</v>
      </c>
      <c r="CM126" s="21">
        <f>EXP(-LN(2)/2)*CM125+(1-EXP(-LN(2)/2))/(LN(2)/2)*CG126*CJ126*VLOOKUP('Données projet'!$B$12,Paramètres!$A$1:$I$89,3,0)*0.475*44/12</f>
        <v>1.2192720156131932E-5</v>
      </c>
      <c r="CN126" s="22">
        <f t="shared" si="66"/>
        <v>71.088444208349628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319</v>
      </c>
      <c r="CU126" s="17">
        <f>CT126*VLOOKUP('Données projet'!$B$13,Paramètres!$A$1:$I$89,3,0)*VLOOKUP('Données projet'!$B$13,Paramètres!$A$1:$I$89,5,0)</f>
        <v>253.79640000000001</v>
      </c>
      <c r="CV126" s="13">
        <f t="shared" si="95"/>
        <v>61.39816832228076</v>
      </c>
      <c r="CW126" s="20">
        <f t="shared" si="67"/>
        <v>548.96387316130563</v>
      </c>
      <c r="CX126" s="59">
        <f t="shared" si="68"/>
        <v>842.29720649463889</v>
      </c>
      <c r="CY126" s="59">
        <f ca="1">AVERAGE(OFFSET($CX$3,0,0,'Données projet'!$E$13+1,1))-AVERAGE(OFFSET($H$3,0,0,'Données projet'!$E$13+1,1))</f>
        <v>279.49721661620544</v>
      </c>
      <c r="CZ126" s="59">
        <f t="shared" si="96"/>
        <v>275.18739333988754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19.108905678875633</v>
      </c>
      <c r="DG126" s="21">
        <f>EXP(-LN(2)/25)*DG125+(1-EXP(-LN(2)/25))/(LN(2)/25)*Calculateur!DB126*Calculateur!DD126*VLOOKUP('Données projet'!$B$13,Paramètres!$A$1:$I$89,3,0)*0.475*44/12</f>
        <v>2.2903980500342507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21.399303728909885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-6.3550942286383367E-14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278.5296012747549</v>
      </c>
      <c r="T127" s="59">
        <f t="shared" si="88"/>
        <v>370.55343097937077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57.797647097132199</v>
      </c>
      <c r="AA127" s="21">
        <f>EXP(-LN(2)/25)*AA126+(1-EXP(-LN(2)/25))/(LN(2)/25)*Calculateur!V127*Calculateur!X127*VLOOKUP('Données projet'!$B$9,Paramètres!$A$1:$I$89,3,0)*0.475*44/12</f>
        <v>8.5042809725611566</v>
      </c>
      <c r="AB127" s="21">
        <f>EXP(-LN(2)/2)*AB126+(1-EXP(-LN(2)/2))/(LN(2)/2)*V127*Y127*VLOOKUP('Données projet'!$B$9,Paramètres!$A$1:$I$89,3,0)*0.475*44/12</f>
        <v>1.4060461960897716E-9</v>
      </c>
      <c r="AC127" s="22">
        <f t="shared" si="57"/>
        <v>66.301928071099411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8.0888888888888957</v>
      </c>
      <c r="AI127" s="13">
        <f>IF('Données projet'!$A$62&gt;35,AI126+AH127-AQ126,IF(A127&lt;'Données projet'!$A$62,$AF$205^A127,IF(A127='Données projet'!$A$62,'Données projet'!$B$62,AI126+AH127-AQ126)))</f>
        <v>499.51111111111067</v>
      </c>
      <c r="AJ127" s="13">
        <f>AI127*VLOOKUP('Données projet'!$B$10,Paramètres!$A$1:$I$89,3,0)*VLOOKUP('Données projet'!$B$10,Paramètres!$A$1:$I$89,5,0)</f>
        <v>240.26484444444424</v>
      </c>
      <c r="AK127" s="13">
        <f t="shared" si="89"/>
        <v>58.496509396406765</v>
      </c>
      <c r="AL127" s="20">
        <f t="shared" si="58"/>
        <v>520.3426912728155</v>
      </c>
      <c r="AM127" s="59">
        <f t="shared" si="59"/>
        <v>813.67602460614876</v>
      </c>
      <c r="AN127" s="59">
        <f ca="1">AVERAGE(OFFSET($AM$3,0,0,'Données projet'!$E$10+1,1))-AVERAGE(OFFSET($H$3,0,0,'Données projet'!$E$10+1,1))</f>
        <v>255.05550867459038</v>
      </c>
      <c r="AO127" s="59">
        <f t="shared" si="90"/>
        <v>119.28597757550295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87.607386380412464</v>
      </c>
      <c r="AV127" s="21">
        <f>EXP(-LN(2)/25)*AV126+(1-EXP(-LN(2)/25))/(LN(2)/25)*Calculateur!AQ127*Calculateur!AS127*VLOOKUP('Données projet'!$B$10,Paramètres!$A$1:$I$89,3,0)*0.475*44/12</f>
        <v>19.638090717005454</v>
      </c>
      <c r="AW127" s="21">
        <f>EXP(-LN(2)/2)*AW126+(1-EXP(-LN(2)/2))/(LN(2)/2)*AQ127*AT127*VLOOKUP('Données projet'!$B$10,Paramètres!$A$1:$I$89,3,0)*0.475*44/12</f>
        <v>0.36142962104840021</v>
      </c>
      <c r="AX127" s="21">
        <f t="shared" si="60"/>
        <v>107.60690671846632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4.9084615384615375</v>
      </c>
      <c r="BD127" s="12">
        <f>IF('Données projet'!$A$88&gt;35,BD126+BC127-BL126,IF(A127&lt;'Données projet'!$A$88,$BA$205^A127,IF(A127='Données projet'!$A$88,'Données projet'!$B$88,BD126+BC127-BL126)))</f>
        <v>225.25615384615486</v>
      </c>
      <c r="BE127" s="13">
        <f>BD127*VLOOKUP('Données projet'!$B$11,Paramètres!$A$1:$I$89,3,0)*VLOOKUP('Données projet'!$B$11,Paramètres!$A$1:$I$89,5,0)</f>
        <v>105.41988000000046</v>
      </c>
      <c r="BF127" s="13">
        <f t="shared" si="91"/>
        <v>28.249216129722416</v>
      </c>
      <c r="BG127" s="20">
        <f t="shared" si="61"/>
        <v>232.80700909260065</v>
      </c>
      <c r="BH127" s="59">
        <f t="shared" si="62"/>
        <v>526.14034242593402</v>
      </c>
      <c r="BI127" s="59">
        <f ca="1">AVERAGE(OFFSET($BH$3,0,0,'Données projet'!$E$11+1,1))-AVERAGE(OFFSET($H$3,0,0,'Données projet'!$E$11+1,1))</f>
        <v>181.79645720099597</v>
      </c>
      <c r="BJ127" s="59">
        <f t="shared" si="92"/>
        <v>120.20040029102233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96.178953042578001</v>
      </c>
      <c r="BQ127" s="21">
        <f>EXP(-LN(2)/25)*BQ126+(1-EXP(-LN(2)/25))/(LN(2)/25)*Calculateur!BL127*Calculateur!BN127*VLOOKUP('Données projet'!$B$11,Paramètres!$A$1:$I$89,3,0)*0.475*44/12</f>
        <v>24.259292456786358</v>
      </c>
      <c r="BR127" s="21">
        <f>EXP(-LN(2)/2)*BR126+(1-EXP(-LN(2)/2))/(LN(2)/2)*BL127*BO127*VLOOKUP('Données projet'!$B$11,Paramètres!$A$1:$I$89,3,0)*0.475*44/12</f>
        <v>5.1525030823390567</v>
      </c>
      <c r="BS127" s="22">
        <f t="shared" si="63"/>
        <v>125.59074858170341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-3.979039320256561E-13</v>
      </c>
      <c r="BZ127" s="13">
        <f>BY127*VLOOKUP('Données projet'!$B$12,Paramètres!$A$1:$I$89,3,0)*VLOOKUP('Données projet'!$B$12,Paramètres!$A$1:$I$89,5,0)</f>
        <v>-2.379465513513424E-13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213.18424462765137</v>
      </c>
      <c r="CE127" s="59">
        <f t="shared" si="94"/>
        <v>158.77848520346532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59.512365855756613</v>
      </c>
      <c r="CL127" s="21">
        <f>EXP(-LN(2)/25)*CL126+(1-EXP(-LN(2)/25))/(LN(2)/25)*Calculateur!CG127*Calculateur!CI127*VLOOKUP('Données projet'!$B$12,Paramètres!$A$1:$I$89,3,0)*0.475*44/12</f>
        <v>10.101724918994638</v>
      </c>
      <c r="CM127" s="21">
        <f>EXP(-LN(2)/2)*CM126+(1-EXP(-LN(2)/2))/(LN(2)/2)*CG127*CJ127*VLOOKUP('Données projet'!$B$12,Paramètres!$A$1:$I$89,3,0)*0.475*44/12</f>
        <v>8.6215551035107897E-6</v>
      </c>
      <c r="CN127" s="22">
        <f t="shared" si="66"/>
        <v>69.614099396306344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319</v>
      </c>
      <c r="CU127" s="17">
        <f>CT127*VLOOKUP('Données projet'!$B$13,Paramètres!$A$1:$I$89,3,0)*VLOOKUP('Données projet'!$B$13,Paramètres!$A$1:$I$89,5,0)</f>
        <v>253.79640000000001</v>
      </c>
      <c r="CV127" s="13">
        <f t="shared" si="95"/>
        <v>61.39816832228076</v>
      </c>
      <c r="CW127" s="20">
        <f t="shared" si="67"/>
        <v>548.96387316130563</v>
      </c>
      <c r="CX127" s="59">
        <f t="shared" si="68"/>
        <v>842.29720649463889</v>
      </c>
      <c r="CY127" s="59">
        <f ca="1">AVERAGE(OFFSET($CX$3,0,0,'Données projet'!$E$13+1,1))-AVERAGE(OFFSET($H$3,0,0,'Données projet'!$E$13+1,1))</f>
        <v>279.49721661620544</v>
      </c>
      <c r="CZ127" s="59">
        <f t="shared" si="96"/>
        <v>275.18739333988754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18.734191693794482</v>
      </c>
      <c r="DG127" s="21">
        <f>EXP(-LN(2)/25)*DG126+(1-EXP(-LN(2)/25))/(LN(2)/25)*Calculateur!DB127*Calculateur!DD127*VLOOKUP('Données projet'!$B$13,Paramètres!$A$1:$I$89,3,0)*0.475*44/12</f>
        <v>2.2277669949092656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20.961958688703749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-6.3550942286383367E-14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278.5296012747549</v>
      </c>
      <c r="T128" s="59">
        <f t="shared" si="88"/>
        <v>370.55343097937077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56.664270490641215</v>
      </c>
      <c r="AA128" s="21">
        <f>EXP(-LN(2)/25)*AA127+(1-EXP(-LN(2)/25))/(LN(2)/25)*Calculateur!V128*Calculateur!X128*VLOOKUP('Données projet'!$B$9,Paramètres!$A$1:$I$89,3,0)*0.475*44/12</f>
        <v>8.2717309621457726</v>
      </c>
      <c r="AB128" s="21">
        <f>EXP(-LN(2)/2)*AB127+(1-EXP(-LN(2)/2))/(LN(2)/2)*V128*Y128*VLOOKUP('Données projet'!$B$9,Paramètres!$A$1:$I$89,3,0)*0.475*44/12</f>
        <v>9.9422479991662762E-10</v>
      </c>
      <c r="AC128" s="22">
        <f t="shared" si="57"/>
        <v>64.936001453781202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507.6</v>
      </c>
      <c r="AG128" s="12">
        <f>VLOOKUP(A128,'Données projet'!$A$61:$I$81,9,0)</f>
        <v>8.0888888888888957</v>
      </c>
      <c r="AH128" s="12">
        <f t="array" ref="AH128">INDEX(AG:AG,MIN(IF(ISNUMBER(AG128:AG324),ROW(AG128:AG324),"")))</f>
        <v>8.0888888888888957</v>
      </c>
      <c r="AI128" s="13">
        <f>IF('Données projet'!$A$62&gt;35,AI127+AH128-AQ127,IF(A128&lt;'Données projet'!$A$62,$AF$205^A128,IF(A128='Données projet'!$A$62,'Données projet'!$B$62,AI127+AH128-AQ127)))</f>
        <v>507.59999999999957</v>
      </c>
      <c r="AJ128" s="13">
        <f>AI128*VLOOKUP('Données projet'!$B$10,Paramètres!$A$1:$I$89,3,0)*VLOOKUP('Données projet'!$B$10,Paramètres!$A$1:$I$89,5,0)</f>
        <v>244.15559999999979</v>
      </c>
      <c r="AK128" s="13">
        <f t="shared" si="89"/>
        <v>59.332732807168782</v>
      </c>
      <c r="AL128" s="20">
        <f t="shared" si="58"/>
        <v>528.57551297248528</v>
      </c>
      <c r="AM128" s="59">
        <f t="shared" si="59"/>
        <v>821.90884630581854</v>
      </c>
      <c r="AN128" s="59">
        <f ca="1">AVERAGE(OFFSET($AM$3,0,0,'Données projet'!$E$10+1,1))-AVERAGE(OFFSET($H$3,0,0,'Données projet'!$E$10+1,1))</f>
        <v>255.05550867459038</v>
      </c>
      <c r="AO128" s="59">
        <f t="shared" si="90"/>
        <v>119.28597757550295</v>
      </c>
      <c r="AP128" s="15">
        <f>IF(ISNA(VLOOKUP(A128,'Données projet'!$A$61:$I$81,3,0)),0,VLOOKUP(A128,'Données projet'!$A$61:$I$81,3,0))</f>
        <v>11</v>
      </c>
      <c r="AQ128" s="15">
        <f>IF(ISNA(VLOOKUP(A128,'Données projet'!$A$61:$I$81,4,0)),0,VLOOKUP(A128,'Données projet'!$A$61:$I$81,4,0))</f>
        <v>66.3</v>
      </c>
      <c r="AR128" s="16">
        <f>IF(ISNA(VLOOKUP(A128,'Données projet'!$A$61:$I$81,5,0)),0%,VLOOKUP(A128,'Données projet'!$A$61:$I$81,5,0)*VLOOKUP('Données projet'!$B$10,Paramètres!$A$1:$I$89,7,0))</f>
        <v>0.38500000000000001</v>
      </c>
      <c r="AS128" s="16">
        <f>IF(ISNA(VLOOKUP(A128,'Données projet'!$A$61:$I$81,6,0)),0%,VLOOKUP(A128,'Données projet'!$A$61:$I$81,6,0)*VLOOKUP('Données projet'!$B$10,Paramètres!$A$1:$I$89,7,0))</f>
        <v>9.3500000000000014E-2</v>
      </c>
      <c r="AT128" s="16">
        <f>IF(ISNA(VLOOKUP(A128,'Données projet'!$A$61:$I$81,7,0)),0%,VLOOKUP(A128,'Données projet'!$A$61:$I$81,7,0))</f>
        <v>0.13</v>
      </c>
      <c r="AU128" s="21">
        <f>EXP(-LN(2)/35)*AU127+(1-EXP(-LN(2)/35))/(LN(2)/35)*AQ128*AR128*VLOOKUP('Données projet'!$B$10,Paramètres!$A$1:$I$89,3,0)*0.475*44/12</f>
        <v>102.17670627324385</v>
      </c>
      <c r="AV128" s="21">
        <f>EXP(-LN(2)/25)*AV127+(1-EXP(-LN(2)/25))/(LN(2)/25)*Calculateur!AQ128*Calculateur!AS128*VLOOKUP('Données projet'!$B$10,Paramètres!$A$1:$I$89,3,0)*0.475*44/12</f>
        <v>23.040986229358857</v>
      </c>
      <c r="AW128" s="21">
        <f>EXP(-LN(2)/2)*AW127+(1-EXP(-LN(2)/2))/(LN(2)/2)*AQ128*AT128*VLOOKUP('Données projet'!$B$10,Paramètres!$A$1:$I$89,3,0)*0.475*44/12</f>
        <v>4.9495089288800811</v>
      </c>
      <c r="AX128" s="21">
        <f t="shared" si="60"/>
        <v>130.16720143148279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4.9084615384615375</v>
      </c>
      <c r="BD128" s="12">
        <f>IF('Données projet'!$A$88&gt;35,BD127+BC128-BL127,IF(A128&lt;'Données projet'!$A$88,$BA$205^A128,IF(A128='Données projet'!$A$88,'Données projet'!$B$88,BD127+BC128-BL127)))</f>
        <v>230.16461538461641</v>
      </c>
      <c r="BE128" s="13">
        <f>BD128*VLOOKUP('Données projet'!$B$11,Paramètres!$A$1:$I$89,3,0)*VLOOKUP('Données projet'!$B$11,Paramètres!$A$1:$I$89,5,0)</f>
        <v>107.71704000000048</v>
      </c>
      <c r="BF128" s="13">
        <f t="shared" si="91"/>
        <v>28.792446610882244</v>
      </c>
      <c r="BG128" s="20">
        <f t="shared" si="61"/>
        <v>237.75402251395406</v>
      </c>
      <c r="BH128" s="59">
        <f t="shared" si="62"/>
        <v>531.08735584728743</v>
      </c>
      <c r="BI128" s="59">
        <f ca="1">AVERAGE(OFFSET($BH$3,0,0,'Données projet'!$E$11+1,1))-AVERAGE(OFFSET($H$3,0,0,'Données projet'!$E$11+1,1))</f>
        <v>181.79645720099597</v>
      </c>
      <c r="BJ128" s="59">
        <f t="shared" si="92"/>
        <v>120.20040029102233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94.292942436781871</v>
      </c>
      <c r="BQ128" s="21">
        <f>EXP(-LN(2)/25)*BQ127+(1-EXP(-LN(2)/25))/(LN(2)/25)*Calculateur!BL128*Calculateur!BN128*VLOOKUP('Données projet'!$B$11,Paramètres!$A$1:$I$89,3,0)*0.475*44/12</f>
        <v>23.595920828814791</v>
      </c>
      <c r="BR128" s="21">
        <f>EXP(-LN(2)/2)*BR127+(1-EXP(-LN(2)/2))/(LN(2)/2)*BL128*BO128*VLOOKUP('Données projet'!$B$11,Paramètres!$A$1:$I$89,3,0)*0.475*44/12</f>
        <v>3.6433698696065351</v>
      </c>
      <c r="BS128" s="22">
        <f t="shared" si="63"/>
        <v>121.53223313520319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-3.979039320256561E-13</v>
      </c>
      <c r="BZ128" s="13">
        <f>BY128*VLOOKUP('Données projet'!$B$12,Paramètres!$A$1:$I$89,3,0)*VLOOKUP('Données projet'!$B$12,Paramètres!$A$1:$I$89,5,0)</f>
        <v>-2.379465513513424E-13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213.18424462765137</v>
      </c>
      <c r="CE128" s="59">
        <f t="shared" si="94"/>
        <v>158.77848520346532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58.345364660284176</v>
      </c>
      <c r="CL128" s="21">
        <f>EXP(-LN(2)/25)*CL127+(1-EXP(-LN(2)/25))/(LN(2)/25)*Calculateur!CG128*Calculateur!CI128*VLOOKUP('Données projet'!$B$12,Paramètres!$A$1:$I$89,3,0)*0.475*44/12</f>
        <v>9.8254927198581044</v>
      </c>
      <c r="CM128" s="21">
        <f>EXP(-LN(2)/2)*CM127+(1-EXP(-LN(2)/2))/(LN(2)/2)*CG128*CJ128*VLOOKUP('Données projet'!$B$12,Paramètres!$A$1:$I$89,3,0)*0.475*44/12</f>
        <v>6.0963600780659661E-6</v>
      </c>
      <c r="CN128" s="22">
        <f t="shared" si="66"/>
        <v>68.170863476502362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319</v>
      </c>
      <c r="CU128" s="17">
        <f>CT128*VLOOKUP('Données projet'!$B$13,Paramètres!$A$1:$I$89,3,0)*VLOOKUP('Données projet'!$B$13,Paramètres!$A$1:$I$89,5,0)</f>
        <v>253.79640000000001</v>
      </c>
      <c r="CV128" s="13">
        <f t="shared" si="95"/>
        <v>61.39816832228076</v>
      </c>
      <c r="CW128" s="20">
        <f t="shared" si="67"/>
        <v>548.96387316130563</v>
      </c>
      <c r="CX128" s="59">
        <f t="shared" si="68"/>
        <v>842.29720649463889</v>
      </c>
      <c r="CY128" s="59">
        <f ca="1">AVERAGE(OFFSET($CX$3,0,0,'Données projet'!$E$13+1,1))-AVERAGE(OFFSET($H$3,0,0,'Données projet'!$E$13+1,1))</f>
        <v>279.49721661620544</v>
      </c>
      <c r="CZ128" s="59">
        <f t="shared" si="96"/>
        <v>275.18739333988754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18.366825621407809</v>
      </c>
      <c r="DG128" s="21">
        <f>EXP(-LN(2)/25)*DG127+(1-EXP(-LN(2)/25))/(LN(2)/25)*Calculateur!DB128*Calculateur!DD128*VLOOKUP('Données projet'!$B$13,Paramètres!$A$1:$I$89,3,0)*0.475*44/12</f>
        <v>2.1668485892802969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20.533674210688105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-6.3550942286383367E-14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278.5296012747549</v>
      </c>
      <c r="T129" s="59">
        <f t="shared" si="88"/>
        <v>370.55343097937077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55.553118708112045</v>
      </c>
      <c r="AA129" s="21">
        <f>EXP(-LN(2)/25)*AA128+(1-EXP(-LN(2)/25))/(LN(2)/25)*Calculateur!V129*Calculateur!X129*VLOOKUP('Données projet'!$B$9,Paramètres!$A$1:$I$89,3,0)*0.475*44/12</f>
        <v>8.0455400439944711</v>
      </c>
      <c r="AB129" s="21">
        <f>EXP(-LN(2)/2)*AB128+(1-EXP(-LN(2)/2))/(LN(2)/2)*V129*Y129*VLOOKUP('Données projet'!$B$9,Paramètres!$A$1:$I$89,3,0)*0.475*44/12</f>
        <v>7.030230980448858E-10</v>
      </c>
      <c r="AC129" s="22">
        <f t="shared" si="57"/>
        <v>63.598658752809541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7.2555555555555564</v>
      </c>
      <c r="AI129" s="13">
        <f>IF('Données projet'!$A$62&gt;35,AI128+AH129-AQ128,IF(A129&lt;'Données projet'!$A$62,$AF$205^A129,IF(A129='Données projet'!$A$62,'Données projet'!$B$62,AI128+AH129-AQ128)))</f>
        <v>448.55555555555515</v>
      </c>
      <c r="AJ129" s="13">
        <f>AI129*VLOOKUP('Données projet'!$B$10,Paramètres!$A$1:$I$89,3,0)*VLOOKUP('Données projet'!$B$10,Paramètres!$A$1:$I$89,5,0)</f>
        <v>215.75522222222202</v>
      </c>
      <c r="AK129" s="13">
        <f t="shared" si="89"/>
        <v>53.191260727192166</v>
      </c>
      <c r="AL129" s="20">
        <f t="shared" si="58"/>
        <v>468.41512447022973</v>
      </c>
      <c r="AM129" s="59">
        <f t="shared" si="59"/>
        <v>761.74845780356304</v>
      </c>
      <c r="AN129" s="59">
        <f ca="1">AVERAGE(OFFSET($AM$3,0,0,'Données projet'!$E$10+1,1))-AVERAGE(OFFSET($H$3,0,0,'Données projet'!$E$10+1,1))</f>
        <v>255.05550867459038</v>
      </c>
      <c r="AO129" s="59">
        <f t="shared" si="90"/>
        <v>119.28597757550295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100.17308338486262</v>
      </c>
      <c r="AV129" s="21">
        <f>EXP(-LN(2)/25)*AV128+(1-EXP(-LN(2)/25))/(LN(2)/25)*Calculateur!AQ129*Calculateur!AS129*VLOOKUP('Données projet'!$B$10,Paramètres!$A$1:$I$89,3,0)*0.475*44/12</f>
        <v>22.410929249244234</v>
      </c>
      <c r="AW129" s="21">
        <f>EXP(-LN(2)/2)*AW128+(1-EXP(-LN(2)/2))/(LN(2)/2)*AQ129*AT129*VLOOKUP('Données projet'!$B$10,Paramètres!$A$1:$I$89,3,0)*0.475*44/12</f>
        <v>3.499831327154471</v>
      </c>
      <c r="AX129" s="21">
        <f t="shared" si="60"/>
        <v>126.08384396126132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4.9084615384615375</v>
      </c>
      <c r="BD129" s="12">
        <f>IF('Données projet'!$A$88&gt;35,BD128+BC129-BL128,IF(A129&lt;'Données projet'!$A$88,$BA$205^A129,IF(A129='Données projet'!$A$88,'Données projet'!$B$88,BD128+BC129-BL128)))</f>
        <v>235.07307692307796</v>
      </c>
      <c r="BE129" s="13">
        <f>BD129*VLOOKUP('Données projet'!$B$11,Paramètres!$A$1:$I$89,3,0)*VLOOKUP('Données projet'!$B$11,Paramètres!$A$1:$I$89,5,0)</f>
        <v>110.01420000000049</v>
      </c>
      <c r="BF129" s="13">
        <f t="shared" si="91"/>
        <v>29.334330178180249</v>
      </c>
      <c r="BG129" s="20">
        <f t="shared" si="61"/>
        <v>242.69869006033142</v>
      </c>
      <c r="BH129" s="59">
        <f t="shared" si="62"/>
        <v>536.03202339366476</v>
      </c>
      <c r="BI129" s="59">
        <f ca="1">AVERAGE(OFFSET($BH$3,0,0,'Données projet'!$E$11+1,1))-AVERAGE(OFFSET($H$3,0,0,'Données projet'!$E$11+1,1))</f>
        <v>181.79645720099597</v>
      </c>
      <c r="BJ129" s="59">
        <f t="shared" si="92"/>
        <v>120.20040029102233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92.443915348612521</v>
      </c>
      <c r="BQ129" s="21">
        <f>EXP(-LN(2)/25)*BQ128+(1-EXP(-LN(2)/25))/(LN(2)/25)*Calculateur!BL129*Calculateur!BN129*VLOOKUP('Données projet'!$B$11,Paramètres!$A$1:$I$89,3,0)*0.475*44/12</f>
        <v>22.950689132895302</v>
      </c>
      <c r="BR129" s="21">
        <f>EXP(-LN(2)/2)*BR128+(1-EXP(-LN(2)/2))/(LN(2)/2)*BL129*BO129*VLOOKUP('Données projet'!$B$11,Paramètres!$A$1:$I$89,3,0)*0.475*44/12</f>
        <v>2.5762515411695284</v>
      </c>
      <c r="BS129" s="22">
        <f t="shared" si="63"/>
        <v>117.97085602267735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-3.979039320256561E-13</v>
      </c>
      <c r="BZ129" s="13">
        <f>BY129*VLOOKUP('Données projet'!$B$12,Paramètres!$A$1:$I$89,3,0)*VLOOKUP('Données projet'!$B$12,Paramètres!$A$1:$I$89,5,0)</f>
        <v>-2.379465513513424E-13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213.18424462765137</v>
      </c>
      <c r="CE129" s="59">
        <f t="shared" si="94"/>
        <v>158.77848520346532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57.201247646454505</v>
      </c>
      <c r="CL129" s="21">
        <f>EXP(-LN(2)/25)*CL128+(1-EXP(-LN(2)/25))/(LN(2)/25)*Calculateur!CG129*Calculateur!CI129*VLOOKUP('Données projet'!$B$12,Paramètres!$A$1:$I$89,3,0)*0.475*44/12</f>
        <v>9.5568141047333786</v>
      </c>
      <c r="CM129" s="21">
        <f>EXP(-LN(2)/2)*CM128+(1-EXP(-LN(2)/2))/(LN(2)/2)*CG129*CJ129*VLOOKUP('Données projet'!$B$12,Paramètres!$A$1:$I$89,3,0)*0.475*44/12</f>
        <v>4.3107775517553949E-6</v>
      </c>
      <c r="CN129" s="22">
        <f t="shared" si="66"/>
        <v>66.758066061965437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319</v>
      </c>
      <c r="CU129" s="17">
        <f>CT129*VLOOKUP('Données projet'!$B$13,Paramètres!$A$1:$I$89,3,0)*VLOOKUP('Données projet'!$B$13,Paramètres!$A$1:$I$89,5,0)</f>
        <v>253.79640000000001</v>
      </c>
      <c r="CV129" s="13">
        <f t="shared" si="95"/>
        <v>61.39816832228076</v>
      </c>
      <c r="CW129" s="20">
        <f t="shared" si="67"/>
        <v>548.96387316130563</v>
      </c>
      <c r="CX129" s="59">
        <f t="shared" si="68"/>
        <v>842.29720649463889</v>
      </c>
      <c r="CY129" s="59">
        <f ca="1">AVERAGE(OFFSET($CX$3,0,0,'Données projet'!$E$13+1,1))-AVERAGE(OFFSET($H$3,0,0,'Données projet'!$E$13+1,1))</f>
        <v>279.49721661620544</v>
      </c>
      <c r="CZ129" s="59">
        <f t="shared" si="96"/>
        <v>275.18739333988754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18.006663373629461</v>
      </c>
      <c r="DG129" s="21">
        <f>EXP(-LN(2)/25)*DG128+(1-EXP(-LN(2)/25))/(LN(2)/25)*Calculateur!DB129*Calculateur!DD129*VLOOKUP('Données projet'!$B$13,Paramètres!$A$1:$I$89,3,0)*0.475*44/12</f>
        <v>2.1075960006568124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20.114259374286274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-6.3550942286383367E-14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278.5296012747549</v>
      </c>
      <c r="T130" s="59">
        <f t="shared" si="88"/>
        <v>370.55343097937077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54.463755934302604</v>
      </c>
      <c r="AA130" s="21">
        <f>EXP(-LN(2)/25)*AA129+(1-EXP(-LN(2)/25))/(LN(2)/25)*Calculateur!V130*Calculateur!X130*VLOOKUP('Données projet'!$B$9,Paramètres!$A$1:$I$89,3,0)*0.475*44/12</f>
        <v>7.8255343283948795</v>
      </c>
      <c r="AB130" s="21">
        <f>EXP(-LN(2)/2)*AB129+(1-EXP(-LN(2)/2))/(LN(2)/2)*V130*Y130*VLOOKUP('Données projet'!$B$9,Paramètres!$A$1:$I$89,3,0)*0.475*44/12</f>
        <v>4.9711239995831381E-10</v>
      </c>
      <c r="AC130" s="22">
        <f t="shared" si="57"/>
        <v>62.289290263194594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7.2555555555555564</v>
      </c>
      <c r="AI130" s="13">
        <f>IF('Données projet'!$A$62&gt;35,AI129+AH130-AQ129,IF(A130&lt;'Données projet'!$A$62,$AF$205^A130,IF(A130='Données projet'!$A$62,'Données projet'!$B$62,AI129+AH130-AQ129)))</f>
        <v>455.81111111111068</v>
      </c>
      <c r="AJ130" s="13">
        <f>AI130*VLOOKUP('Données projet'!$B$10,Paramètres!$A$1:$I$89,3,0)*VLOOKUP('Données projet'!$B$10,Paramètres!$A$1:$I$89,5,0)</f>
        <v>219.24514444444426</v>
      </c>
      <c r="AK130" s="13">
        <f t="shared" si="89"/>
        <v>53.950788790724907</v>
      </c>
      <c r="AL130" s="20">
        <f t="shared" si="58"/>
        <v>475.81625038458623</v>
      </c>
      <c r="AM130" s="59">
        <f t="shared" si="59"/>
        <v>769.14958371791954</v>
      </c>
      <c r="AN130" s="59">
        <f ca="1">AVERAGE(OFFSET($AM$3,0,0,'Données projet'!$E$10+1,1))-AVERAGE(OFFSET($H$3,0,0,'Données projet'!$E$10+1,1))</f>
        <v>255.05550867459038</v>
      </c>
      <c r="AO130" s="59">
        <f t="shared" si="90"/>
        <v>119.28597757550295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98.208750319233246</v>
      </c>
      <c r="AV130" s="21">
        <f>EXP(-LN(2)/25)*AV129+(1-EXP(-LN(2)/25))/(LN(2)/25)*Calculateur!AQ130*Calculateur!AS130*VLOOKUP('Données projet'!$B$10,Paramètres!$A$1:$I$89,3,0)*0.475*44/12</f>
        <v>21.7981012103841</v>
      </c>
      <c r="AW130" s="21">
        <f>EXP(-LN(2)/2)*AW129+(1-EXP(-LN(2)/2))/(LN(2)/2)*AQ130*AT130*VLOOKUP('Données projet'!$B$10,Paramètres!$A$1:$I$89,3,0)*0.475*44/12</f>
        <v>2.474754464440041</v>
      </c>
      <c r="AX130" s="21">
        <f t="shared" si="60"/>
        <v>122.48160599405739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4.9084615384615375</v>
      </c>
      <c r="BD130" s="12">
        <f>IF('Données projet'!$A$88&gt;35,BD129+BC130-BL129,IF(A130&lt;'Données projet'!$A$88,$BA$205^A130,IF(A130='Données projet'!$A$88,'Données projet'!$B$88,BD129+BC130-BL129)))</f>
        <v>239.98153846153951</v>
      </c>
      <c r="BE130" s="13">
        <f>BD130*VLOOKUP('Données projet'!$B$11,Paramètres!$A$1:$I$89,3,0)*VLOOKUP('Données projet'!$B$11,Paramètres!$A$1:$I$89,5,0)</f>
        <v>112.31136000000051</v>
      </c>
      <c r="BF130" s="13">
        <f t="shared" si="91"/>
        <v>29.874898196104638</v>
      </c>
      <c r="BG130" s="20">
        <f t="shared" si="61"/>
        <v>247.64106635821645</v>
      </c>
      <c r="BH130" s="59">
        <f t="shared" si="62"/>
        <v>540.97439969154971</v>
      </c>
      <c r="BI130" s="59">
        <f ca="1">AVERAGE(OFFSET($BH$3,0,0,'Données projet'!$E$11+1,1))-AVERAGE(OFFSET($H$3,0,0,'Données projet'!$E$11+1,1))</f>
        <v>181.79645720099597</v>
      </c>
      <c r="BJ130" s="59">
        <f t="shared" si="92"/>
        <v>120.20040029102233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90.631146553847017</v>
      </c>
      <c r="BQ130" s="21">
        <f>EXP(-LN(2)/25)*BQ129+(1-EXP(-LN(2)/25))/(LN(2)/25)*Calculateur!BL130*Calculateur!BN130*VLOOKUP('Données projet'!$B$11,Paramètres!$A$1:$I$89,3,0)*0.475*44/12</f>
        <v>22.323101331631992</v>
      </c>
      <c r="BR130" s="21">
        <f>EXP(-LN(2)/2)*BR129+(1-EXP(-LN(2)/2))/(LN(2)/2)*BL130*BO130*VLOOKUP('Données projet'!$B$11,Paramètres!$A$1:$I$89,3,0)*0.475*44/12</f>
        <v>1.8216849348032675</v>
      </c>
      <c r="BS130" s="22">
        <f t="shared" si="63"/>
        <v>114.77593282028228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-3.979039320256561E-13</v>
      </c>
      <c r="BZ130" s="13">
        <f>BY130*VLOOKUP('Données projet'!$B$12,Paramètres!$A$1:$I$89,3,0)*VLOOKUP('Données projet'!$B$12,Paramètres!$A$1:$I$89,5,0)</f>
        <v>-2.379465513513424E-13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213.18424462765137</v>
      </c>
      <c r="CE130" s="59">
        <f t="shared" si="94"/>
        <v>158.77848520346532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56.079566069423564</v>
      </c>
      <c r="CL130" s="21">
        <f>EXP(-LN(2)/25)*CL129+(1-EXP(-LN(2)/25))/(LN(2)/25)*Calculateur!CG130*Calculateur!CI130*VLOOKUP('Données projet'!$B$12,Paramètres!$A$1:$I$89,3,0)*0.475*44/12</f>
        <v>9.2954825204684326</v>
      </c>
      <c r="CM130" s="21">
        <f>EXP(-LN(2)/2)*CM129+(1-EXP(-LN(2)/2))/(LN(2)/2)*CG130*CJ130*VLOOKUP('Données projet'!$B$12,Paramètres!$A$1:$I$89,3,0)*0.475*44/12</f>
        <v>3.048180039032983E-6</v>
      </c>
      <c r="CN130" s="22">
        <f t="shared" si="66"/>
        <v>65.375051638072037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319</v>
      </c>
      <c r="CU130" s="17">
        <f>CT130*VLOOKUP('Données projet'!$B$13,Paramètres!$A$1:$I$89,3,0)*VLOOKUP('Données projet'!$B$13,Paramètres!$A$1:$I$89,5,0)</f>
        <v>253.79640000000001</v>
      </c>
      <c r="CV130" s="13">
        <f t="shared" si="95"/>
        <v>61.39816832228076</v>
      </c>
      <c r="CW130" s="20">
        <f t="shared" si="67"/>
        <v>548.96387316130563</v>
      </c>
      <c r="CX130" s="59">
        <f t="shared" si="68"/>
        <v>842.29720649463889</v>
      </c>
      <c r="CY130" s="59">
        <f ca="1">AVERAGE(OFFSET($CX$3,0,0,'Données projet'!$E$13+1,1))-AVERAGE(OFFSET($H$3,0,0,'Données projet'!$E$13+1,1))</f>
        <v>279.49721661620544</v>
      </c>
      <c r="CZ130" s="59">
        <f t="shared" si="96"/>
        <v>275.18739333988754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17.653563687852767</v>
      </c>
      <c r="DG130" s="21">
        <f>EXP(-LN(2)/25)*DG129+(1-EXP(-LN(2)/25))/(LN(2)/25)*Calculateur!DB130*Calculateur!DD130*VLOOKUP('Données projet'!$B$13,Paramètres!$A$1:$I$89,3,0)*0.475*44/12</f>
        <v>2.049963677185195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19.703527365037964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-6.3550942286383367E-14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278.5296012747549</v>
      </c>
      <c r="T131" s="59">
        <f t="shared" si="88"/>
        <v>370.55343097937077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53.395754900041887</v>
      </c>
      <c r="AA131" s="21">
        <f>EXP(-LN(2)/25)*AA130+(1-EXP(-LN(2)/25))/(LN(2)/25)*Calculateur!V131*Calculateur!X131*VLOOKUP('Données projet'!$B$9,Paramètres!$A$1:$I$89,3,0)*0.475*44/12</f>
        <v>7.611544680657957</v>
      </c>
      <c r="AB131" s="21">
        <f>EXP(-LN(2)/2)*AB130+(1-EXP(-LN(2)/2))/(LN(2)/2)*V131*Y131*VLOOKUP('Données projet'!$B$9,Paramètres!$A$1:$I$89,3,0)*0.475*44/12</f>
        <v>3.515115490224429E-10</v>
      </c>
      <c r="AC131" s="22">
        <f t="shared" si="57"/>
        <v>61.007299581051356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7.2555555555555564</v>
      </c>
      <c r="AI131" s="13">
        <f>IF('Données projet'!$A$62&gt;35,AI130+AH131-AQ130,IF(A131&lt;'Données projet'!$A$62,$AF$205^A131,IF(A131='Données projet'!$A$62,'Données projet'!$B$62,AI130+AH131-AQ130)))</f>
        <v>463.06666666666621</v>
      </c>
      <c r="AJ131" s="13">
        <f>AI131*VLOOKUP('Données projet'!$B$10,Paramètres!$A$1:$I$89,3,0)*VLOOKUP('Données projet'!$B$10,Paramètres!$A$1:$I$89,5,0)</f>
        <v>222.73506666666646</v>
      </c>
      <c r="AK131" s="13">
        <f t="shared" si="89"/>
        <v>54.708910807759153</v>
      </c>
      <c r="AL131" s="20">
        <f t="shared" si="58"/>
        <v>483.21492743462454</v>
      </c>
      <c r="AM131" s="59">
        <f t="shared" si="59"/>
        <v>776.5482607679578</v>
      </c>
      <c r="AN131" s="59">
        <f ca="1">AVERAGE(OFFSET($AM$3,0,0,'Données projet'!$E$10+1,1))-AVERAGE(OFFSET($H$3,0,0,'Données projet'!$E$10+1,1))</f>
        <v>255.05550867459038</v>
      </c>
      <c r="AO131" s="59">
        <f t="shared" si="90"/>
        <v>119.28597757550295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96.282936626896003</v>
      </c>
      <c r="AV131" s="21">
        <f>EXP(-LN(2)/25)*AV130+(1-EXP(-LN(2)/25))/(LN(2)/25)*Calculateur!AQ131*Calculateur!AS131*VLOOKUP('Données projet'!$B$10,Paramètres!$A$1:$I$89,3,0)*0.475*44/12</f>
        <v>21.202030986473826</v>
      </c>
      <c r="AW131" s="21">
        <f>EXP(-LN(2)/2)*AW130+(1-EXP(-LN(2)/2))/(LN(2)/2)*AQ131*AT131*VLOOKUP('Données projet'!$B$10,Paramètres!$A$1:$I$89,3,0)*0.475*44/12</f>
        <v>1.7499156635772357</v>
      </c>
      <c r="AX131" s="21">
        <f t="shared" si="60"/>
        <v>119.23488327694707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4.9084615384615375</v>
      </c>
      <c r="BD131" s="12">
        <f>IF('Données projet'!$A$88&gt;35,BD130+BC131-BL130,IF(A131&lt;'Données projet'!$A$88,$BA$205^A131,IF(A131='Données projet'!$A$88,'Données projet'!$B$88,BD130+BC131-BL130)))</f>
        <v>244.89000000000107</v>
      </c>
      <c r="BE131" s="13">
        <f>BD131*VLOOKUP('Données projet'!$B$11,Paramètres!$A$1:$I$89,3,0)*VLOOKUP('Données projet'!$B$11,Paramètres!$A$1:$I$89,5,0)</f>
        <v>114.6085200000005</v>
      </c>
      <c r="BF131" s="13">
        <f t="shared" si="91"/>
        <v>30.414180672775728</v>
      </c>
      <c r="BG131" s="20">
        <f t="shared" si="61"/>
        <v>252.58120367175192</v>
      </c>
      <c r="BH131" s="59">
        <f t="shared" si="62"/>
        <v>545.91453700508521</v>
      </c>
      <c r="BI131" s="59">
        <f ca="1">AVERAGE(OFFSET($BH$3,0,0,'Données projet'!$E$11+1,1))-AVERAGE(OFFSET($H$3,0,0,'Données projet'!$E$11+1,1))</f>
        <v>181.79645720099597</v>
      </c>
      <c r="BJ131" s="59">
        <f t="shared" si="92"/>
        <v>120.20040029102233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88.85392504946708</v>
      </c>
      <c r="BQ131" s="21">
        <f>EXP(-LN(2)/25)*BQ130+(1-EXP(-LN(2)/25))/(LN(2)/25)*Calculateur!BL131*Calculateur!BN131*VLOOKUP('Données projet'!$B$11,Paramètres!$A$1:$I$89,3,0)*0.475*44/12</f>
        <v>21.712674951797638</v>
      </c>
      <c r="BR131" s="21">
        <f>EXP(-LN(2)/2)*BR130+(1-EXP(-LN(2)/2))/(LN(2)/2)*BL131*BO131*VLOOKUP('Données projet'!$B$11,Paramètres!$A$1:$I$89,3,0)*0.475*44/12</f>
        <v>1.2881257705847642</v>
      </c>
      <c r="BS131" s="22">
        <f t="shared" si="63"/>
        <v>111.85472577184949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-3.979039320256561E-13</v>
      </c>
      <c r="BZ131" s="13">
        <f>BY131*VLOOKUP('Données projet'!$B$12,Paramètres!$A$1:$I$89,3,0)*VLOOKUP('Données projet'!$B$12,Paramètres!$A$1:$I$89,5,0)</f>
        <v>-2.379465513513424E-13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213.18424462765137</v>
      </c>
      <c r="CE131" s="59">
        <f t="shared" si="94"/>
        <v>158.77848520346532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54.979879983959989</v>
      </c>
      <c r="CL131" s="21">
        <f>EXP(-LN(2)/25)*CL130+(1-EXP(-LN(2)/25))/(LN(2)/25)*Calculateur!CG131*Calculateur!CI131*VLOOKUP('Données projet'!$B$12,Paramètres!$A$1:$I$89,3,0)*0.475*44/12</f>
        <v>9.0412970621180424</v>
      </c>
      <c r="CM131" s="21">
        <f>EXP(-LN(2)/2)*CM130+(1-EXP(-LN(2)/2))/(LN(2)/2)*CG131*CJ131*VLOOKUP('Données projet'!$B$12,Paramètres!$A$1:$I$89,3,0)*0.475*44/12</f>
        <v>2.1553887758776974E-6</v>
      </c>
      <c r="CN131" s="22">
        <f t="shared" si="66"/>
        <v>64.021179201466808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319</v>
      </c>
      <c r="CU131" s="17">
        <f>CT131*VLOOKUP('Données projet'!$B$13,Paramètres!$A$1:$I$89,3,0)*VLOOKUP('Données projet'!$B$13,Paramètres!$A$1:$I$89,5,0)</f>
        <v>253.79640000000001</v>
      </c>
      <c r="CV131" s="13">
        <f t="shared" si="95"/>
        <v>61.39816832228076</v>
      </c>
      <c r="CW131" s="20">
        <f t="shared" si="67"/>
        <v>548.96387316130563</v>
      </c>
      <c r="CX131" s="59">
        <f t="shared" si="68"/>
        <v>842.29720649463889</v>
      </c>
      <c r="CY131" s="59">
        <f ca="1">AVERAGE(OFFSET($CX$3,0,0,'Données projet'!$E$13+1,1))-AVERAGE(OFFSET($H$3,0,0,'Données projet'!$E$13+1,1))</f>
        <v>279.49721661620544</v>
      </c>
      <c r="CZ131" s="59">
        <f t="shared" si="96"/>
        <v>275.18739333988754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17.307388071544612</v>
      </c>
      <c r="DG131" s="21">
        <f>EXP(-LN(2)/25)*DG130+(1-EXP(-LN(2)/25))/(LN(2)/25)*Calculateur!DB131*Calculateur!DD131*VLOOKUP('Données projet'!$B$13,Paramètres!$A$1:$I$89,3,0)*0.475*44/12</f>
        <v>1.9939073126296614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19.301295384174274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-6.3550942286383367E-14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278.5296012747549</v>
      </c>
      <c r="T132" s="59">
        <f t="shared" si="88"/>
        <v>370.55343097937077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52.348696714646714</v>
      </c>
      <c r="AA132" s="21">
        <f>EXP(-LN(2)/25)*AA131+(1-EXP(-LN(2)/25))/(LN(2)/25)*Calculateur!V132*Calculateur!X132*VLOOKUP('Données projet'!$B$9,Paramètres!$A$1:$I$89,3,0)*0.475*44/12</f>
        <v>7.4034065910916267</v>
      </c>
      <c r="AB132" s="21">
        <f>EXP(-LN(2)/2)*AB131+(1-EXP(-LN(2)/2))/(LN(2)/2)*V132*Y132*VLOOKUP('Données projet'!$B$9,Paramètres!$A$1:$I$89,3,0)*0.475*44/12</f>
        <v>2.4855619997915691E-10</v>
      </c>
      <c r="AC132" s="22">
        <f t="shared" ref="AC132:AC153" si="111">SUM(Z132:AB132)</f>
        <v>59.752103305986893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7.2555555555555564</v>
      </c>
      <c r="AI132" s="13">
        <f>IF('Données projet'!$A$62&gt;35,AI131+AH132-AQ131,IF(A132&lt;'Données projet'!$A$62,$AF$205^A132,IF(A132='Données projet'!$A$62,'Données projet'!$B$62,AI131+AH132-AQ131)))</f>
        <v>470.32222222222174</v>
      </c>
      <c r="AJ132" s="13">
        <f>AI132*VLOOKUP('Données projet'!$B$10,Paramètres!$A$1:$I$89,3,0)*VLOOKUP('Données projet'!$B$10,Paramètres!$A$1:$I$89,5,0)</f>
        <v>226.22498888888867</v>
      </c>
      <c r="AK132" s="13">
        <f t="shared" si="89"/>
        <v>55.465651352896309</v>
      </c>
      <c r="AL132" s="20">
        <f t="shared" ref="AL132:AL153" si="112">(AJ132+AK132)*0.475*44/12</f>
        <v>490.61119842110884</v>
      </c>
      <c r="AM132" s="59">
        <f t="shared" ref="AM132:AM195" si="113">AL132+(AD132+AE132)*44/12</f>
        <v>783.9445317544421</v>
      </c>
      <c r="AN132" s="59">
        <f ca="1">AVERAGE(OFFSET($AM$3,0,0,'Données projet'!$E$10+1,1))-AVERAGE(OFFSET($H$3,0,0,'Données projet'!$E$10+1,1))</f>
        <v>255.05550867459038</v>
      </c>
      <c r="AO132" s="59">
        <f t="shared" si="90"/>
        <v>119.28597757550295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94.394886966435124</v>
      </c>
      <c r="AV132" s="21">
        <f>EXP(-LN(2)/25)*AV131+(1-EXP(-LN(2)/25))/(LN(2)/25)*Calculateur!AQ132*Calculateur!AS132*VLOOKUP('Données projet'!$B$10,Paramètres!$A$1:$I$89,3,0)*0.475*44/12</f>
        <v>20.622260334182346</v>
      </c>
      <c r="AW132" s="21">
        <f>EXP(-LN(2)/2)*AW131+(1-EXP(-LN(2)/2))/(LN(2)/2)*AQ132*AT132*VLOOKUP('Données projet'!$B$10,Paramètres!$A$1:$I$89,3,0)*0.475*44/12</f>
        <v>1.2373772322200207</v>
      </c>
      <c r="AX132" s="21">
        <f t="shared" ref="AX132:AX153" si="114">SUM(AU132:AW132)</f>
        <v>116.25452453283749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4.9084615384615375</v>
      </c>
      <c r="BD132" s="12">
        <f>IF('Données projet'!$A$88&gt;35,BD131+BC132-BL131,IF(A132&lt;'Données projet'!$A$88,$BA$205^A132,IF(A132='Données projet'!$A$88,'Données projet'!$B$88,BD131+BC132-BL131)))</f>
        <v>249.79846153846262</v>
      </c>
      <c r="BE132" s="13">
        <f>BD132*VLOOKUP('Données projet'!$B$11,Paramètres!$A$1:$I$89,3,0)*VLOOKUP('Données projet'!$B$11,Paramètres!$A$1:$I$89,5,0)</f>
        <v>116.90568000000052</v>
      </c>
      <c r="BF132" s="13">
        <f t="shared" si="91"/>
        <v>30.952206344593481</v>
      </c>
      <c r="BG132" s="20">
        <f t="shared" ref="BG132:BG153" si="115">(BE132+BF132)*0.475*44/12</f>
        <v>257.51915205016786</v>
      </c>
      <c r="BH132" s="59">
        <f t="shared" ref="BH132:BH195" si="116">BG132+(AY132+AZ132)*44/12</f>
        <v>550.85248538350118</v>
      </c>
      <c r="BI132" s="59">
        <f ca="1">AVERAGE(OFFSET($BH$3,0,0,'Données projet'!$E$11+1,1))-AVERAGE(OFFSET($H$3,0,0,'Données projet'!$E$11+1,1))</f>
        <v>181.79645720099597</v>
      </c>
      <c r="BJ132" s="59">
        <f t="shared" si="92"/>
        <v>120.20040029102233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87.11155377478994</v>
      </c>
      <c r="BQ132" s="21">
        <f>EXP(-LN(2)/25)*BQ131+(1-EXP(-LN(2)/25))/(LN(2)/25)*Calculateur!BL132*Calculateur!BN132*VLOOKUP('Données projet'!$B$11,Paramètres!$A$1:$I$89,3,0)*0.475*44/12</f>
        <v>21.11894071342078</v>
      </c>
      <c r="BR132" s="21">
        <f>EXP(-LN(2)/2)*BR131+(1-EXP(-LN(2)/2))/(LN(2)/2)*BL132*BO132*VLOOKUP('Données projet'!$B$11,Paramètres!$A$1:$I$89,3,0)*0.475*44/12</f>
        <v>0.91084246740163377</v>
      </c>
      <c r="BS132" s="22">
        <f t="shared" ref="BS132:BS153" si="117">SUM(BP132:BR132)</f>
        <v>109.14133695561236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-3.979039320256561E-13</v>
      </c>
      <c r="BZ132" s="13">
        <f>BY132*VLOOKUP('Données projet'!$B$12,Paramètres!$A$1:$I$89,3,0)*VLOOKUP('Données projet'!$B$12,Paramètres!$A$1:$I$89,5,0)</f>
        <v>-2.379465513513424E-13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213.18424462765137</v>
      </c>
      <c r="CE132" s="59">
        <f t="shared" si="94"/>
        <v>158.77848520346532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53.901758071890079</v>
      </c>
      <c r="CL132" s="21">
        <f>EXP(-LN(2)/25)*CL131+(1-EXP(-LN(2)/25))/(LN(2)/25)*Calculateur!CG132*Calculateur!CI132*VLOOKUP('Données projet'!$B$12,Paramètres!$A$1:$I$89,3,0)*0.475*44/12</f>
        <v>8.7940623184932765</v>
      </c>
      <c r="CM132" s="21">
        <f>EXP(-LN(2)/2)*CM131+(1-EXP(-LN(2)/2))/(LN(2)/2)*CG132*CJ132*VLOOKUP('Données projet'!$B$12,Paramètres!$A$1:$I$89,3,0)*0.475*44/12</f>
        <v>1.5240900195164915E-6</v>
      </c>
      <c r="CN132" s="22">
        <f t="shared" ref="CN132:CN153" si="120">SUM(CK132:CM132)</f>
        <v>62.69582191447337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319</v>
      </c>
      <c r="CU132" s="17">
        <f>CT132*VLOOKUP('Données projet'!$B$13,Paramètres!$A$1:$I$89,3,0)*VLOOKUP('Données projet'!$B$13,Paramètres!$A$1:$I$89,5,0)</f>
        <v>253.79640000000001</v>
      </c>
      <c r="CV132" s="13">
        <f t="shared" si="95"/>
        <v>61.39816832228076</v>
      </c>
      <c r="CW132" s="20">
        <f t="shared" ref="CW132:CW153" si="121">(CU132+CV132)*0.475*44/12</f>
        <v>548.96387316130563</v>
      </c>
      <c r="CX132" s="59">
        <f t="shared" ref="CX132:CX195" si="122">CW132+(CO132+CP132)*44/12</f>
        <v>842.29720649463889</v>
      </c>
      <c r="CY132" s="59">
        <f ca="1">AVERAGE(OFFSET($CX$3,0,0,'Données projet'!$E$13+1,1))-AVERAGE(OFFSET($H$3,0,0,'Données projet'!$E$13+1,1))</f>
        <v>279.49721661620544</v>
      </c>
      <c r="CZ132" s="59">
        <f t="shared" si="96"/>
        <v>275.18739333988754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16.968000747925981</v>
      </c>
      <c r="DG132" s="21">
        <f>EXP(-LN(2)/25)*DG131+(1-EXP(-LN(2)/25))/(LN(2)/25)*Calculateur!DB132*Calculateur!DD132*VLOOKUP('Données projet'!$B$13,Paramètres!$A$1:$I$89,3,0)*0.475*44/12</f>
        <v>1.9393838123107749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18.907384560236757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-6.3550942286383367E-14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278.5296012747549</v>
      </c>
      <c r="T133" s="59">
        <f t="shared" ref="T133:T196" si="142">$T$3</f>
        <v>370.55343097937077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51.322170701624707</v>
      </c>
      <c r="AA133" s="21">
        <f>EXP(-LN(2)/25)*AA132+(1-EXP(-LN(2)/25))/(LN(2)/25)*Calculateur!V133*Calculateur!X133*VLOOKUP('Données projet'!$B$9,Paramètres!$A$1:$I$89,3,0)*0.475*44/12</f>
        <v>7.2009600485299945</v>
      </c>
      <c r="AB133" s="21">
        <f>EXP(-LN(2)/2)*AB132+(1-EXP(-LN(2)/2))/(LN(2)/2)*V133*Y133*VLOOKUP('Données projet'!$B$9,Paramètres!$A$1:$I$89,3,0)*0.475*44/12</f>
        <v>1.7575577451122145E-10</v>
      </c>
      <c r="AC133" s="22">
        <f t="shared" si="111"/>
        <v>58.523130750330452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7.2555555555555564</v>
      </c>
      <c r="AI133" s="13">
        <f>IF('Données projet'!$A$62&gt;35,AI132+AH133-AQ132,IF(A133&lt;'Données projet'!$A$62,$AF$205^A133,IF(A133='Données projet'!$A$62,'Données projet'!$B$62,AI132+AH133-AQ132)))</f>
        <v>477.57777777777727</v>
      </c>
      <c r="AJ133" s="13">
        <f>AI133*VLOOKUP('Données projet'!$B$10,Paramètres!$A$1:$I$89,3,0)*VLOOKUP('Données projet'!$B$10,Paramètres!$A$1:$I$89,5,0)</f>
        <v>229.71491111111087</v>
      </c>
      <c r="AK133" s="13">
        <f t="shared" ref="AK133:AK153" si="143">EXP(-1.0587+0.8836*LN(AJ133)+0.284)</f>
        <v>56.221034199020835</v>
      </c>
      <c r="AL133" s="20">
        <f t="shared" si="112"/>
        <v>498.00510474847943</v>
      </c>
      <c r="AM133" s="59">
        <f t="shared" si="113"/>
        <v>791.33843808181268</v>
      </c>
      <c r="AN133" s="59">
        <f ca="1">AVERAGE(OFFSET($AM$3,0,0,'Données projet'!$E$10+1,1))-AVERAGE(OFFSET($H$3,0,0,'Données projet'!$E$10+1,1))</f>
        <v>255.05550867459038</v>
      </c>
      <c r="AO133" s="59">
        <f t="shared" ref="AO133:AO196" si="144">$AO$3</f>
        <v>119.28597757550295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92.543860808219307</v>
      </c>
      <c r="AV133" s="21">
        <f>EXP(-LN(2)/25)*AV132+(1-EXP(-LN(2)/25))/(LN(2)/25)*Calculateur!AQ133*Calculateur!AS133*VLOOKUP('Données projet'!$B$10,Paramètres!$A$1:$I$89,3,0)*0.475*44/12</f>
        <v>20.058343540866591</v>
      </c>
      <c r="AW133" s="21">
        <f>EXP(-LN(2)/2)*AW132+(1-EXP(-LN(2)/2))/(LN(2)/2)*AQ133*AT133*VLOOKUP('Données projet'!$B$10,Paramètres!$A$1:$I$89,3,0)*0.475*44/12</f>
        <v>0.87495783178861808</v>
      </c>
      <c r="AX133" s="21">
        <f t="shared" si="114"/>
        <v>113.47716218087452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4.9084615384615375</v>
      </c>
      <c r="BD133" s="12">
        <f>IF('Données projet'!$A$88&gt;35,BD132+BC133-BL132,IF(A133&lt;'Données projet'!$A$88,$BA$205^A133,IF(A133='Données projet'!$A$88,'Données projet'!$B$88,BD132+BC133-BL132)))</f>
        <v>254.70692307692417</v>
      </c>
      <c r="BE133" s="13">
        <f>BD133*VLOOKUP('Données projet'!$B$11,Paramètres!$A$1:$I$89,3,0)*VLOOKUP('Données projet'!$B$11,Paramètres!$A$1:$I$89,5,0)</f>
        <v>119.20284000000051</v>
      </c>
      <c r="BF133" s="13">
        <f t="shared" ref="BF133:BF153" si="145">EXP(-1.0587+0.8836*LN(BE133)+0.284)</f>
        <v>31.489002754044087</v>
      </c>
      <c r="BG133" s="20">
        <f t="shared" si="115"/>
        <v>262.4549594632943</v>
      </c>
      <c r="BH133" s="59">
        <f t="shared" si="116"/>
        <v>555.78829279662762</v>
      </c>
      <c r="BI133" s="59">
        <f ca="1">AVERAGE(OFFSET($BH$3,0,0,'Données projet'!$E$11+1,1))-AVERAGE(OFFSET($H$3,0,0,'Données projet'!$E$11+1,1))</f>
        <v>181.79645720099597</v>
      </c>
      <c r="BJ133" s="59">
        <f t="shared" ref="BJ133:BJ196" si="146">$BJ$3</f>
        <v>120.20040029102233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85.403349338067684</v>
      </c>
      <c r="BQ133" s="21">
        <f>EXP(-LN(2)/25)*BQ132+(1-EXP(-LN(2)/25))/(LN(2)/25)*Calculateur!BL133*Calculateur!BN133*VLOOKUP('Données projet'!$B$11,Paramètres!$A$1:$I$89,3,0)*0.475*44/12</f>
        <v>20.541442169015465</v>
      </c>
      <c r="BR133" s="21">
        <f>EXP(-LN(2)/2)*BR132+(1-EXP(-LN(2)/2))/(LN(2)/2)*BL133*BO133*VLOOKUP('Données projet'!$B$11,Paramètres!$A$1:$I$89,3,0)*0.475*44/12</f>
        <v>0.64406288529238209</v>
      </c>
      <c r="BS133" s="22">
        <f t="shared" si="117"/>
        <v>106.58885439237554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-3.979039320256561E-13</v>
      </c>
      <c r="BZ133" s="13">
        <f>BY133*VLOOKUP('Données projet'!$B$12,Paramètres!$A$1:$I$89,3,0)*VLOOKUP('Données projet'!$B$12,Paramètres!$A$1:$I$89,5,0)</f>
        <v>-2.379465513513424E-13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213.18424462765137</v>
      </c>
      <c r="CE133" s="59">
        <f t="shared" ref="CE133:CE196" si="148">$CE$3</f>
        <v>158.77848520346532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52.844777472926424</v>
      </c>
      <c r="CL133" s="21">
        <f>EXP(-LN(2)/25)*CL132+(1-EXP(-LN(2)/25))/(LN(2)/25)*Calculateur!CG133*Calculateur!CI133*VLOOKUP('Données projet'!$B$12,Paramètres!$A$1:$I$89,3,0)*0.475*44/12</f>
        <v>8.5535882219344401</v>
      </c>
      <c r="CM133" s="21">
        <f>EXP(-LN(2)/2)*CM132+(1-EXP(-LN(2)/2))/(LN(2)/2)*CG133*CJ133*VLOOKUP('Données projet'!$B$12,Paramètres!$A$1:$I$89,3,0)*0.475*44/12</f>
        <v>1.0776943879388487E-6</v>
      </c>
      <c r="CN133" s="22">
        <f t="shared" si="120"/>
        <v>61.398366772555249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319</v>
      </c>
      <c r="CU133" s="17">
        <f>CT133*VLOOKUP('Données projet'!$B$13,Paramètres!$A$1:$I$89,3,0)*VLOOKUP('Données projet'!$B$13,Paramètres!$A$1:$I$89,5,0)</f>
        <v>253.79640000000001</v>
      </c>
      <c r="CV133" s="13">
        <f t="shared" ref="CV133:CV153" si="149">EXP(-1.0587+0.8836*LN(CU133)+0.284)</f>
        <v>61.39816832228076</v>
      </c>
      <c r="CW133" s="20">
        <f t="shared" si="121"/>
        <v>548.96387316130563</v>
      </c>
      <c r="CX133" s="59">
        <f t="shared" si="122"/>
        <v>842.29720649463889</v>
      </c>
      <c r="CY133" s="59">
        <f ca="1">AVERAGE(OFFSET($CX$3,0,0,'Données projet'!$E$13+1,1))-AVERAGE(OFFSET($H$3,0,0,'Données projet'!$E$13+1,1))</f>
        <v>279.49721661620544</v>
      </c>
      <c r="CZ133" s="59">
        <f t="shared" ref="CZ133:CZ196" si="150">$CZ$3</f>
        <v>275.18739333988754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16.635268602717684</v>
      </c>
      <c r="DG133" s="21">
        <f>EXP(-LN(2)/25)*DG132+(1-EXP(-LN(2)/25))/(LN(2)/25)*Calculateur!DB133*Calculateur!DD133*VLOOKUP('Données projet'!$B$13,Paramètres!$A$1:$I$89,3,0)*0.475*44/12</f>
        <v>1.8863512599753747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18.521619862693058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-6.3550942286383367E-14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278.5296012747549</v>
      </c>
      <c r="T134" s="59">
        <f t="shared" si="142"/>
        <v>370.55343097937077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50.315774237599015</v>
      </c>
      <c r="AA134" s="21">
        <f>EXP(-LN(2)/25)*AA133+(1-EXP(-LN(2)/25))/(LN(2)/25)*Calculateur!V134*Calculateur!X134*VLOOKUP('Données projet'!$B$9,Paramètres!$A$1:$I$89,3,0)*0.475*44/12</f>
        <v>7.0040494173209105</v>
      </c>
      <c r="AB134" s="21">
        <f>EXP(-LN(2)/2)*AB133+(1-EXP(-LN(2)/2))/(LN(2)/2)*V134*Y134*VLOOKUP('Données projet'!$B$9,Paramètres!$A$1:$I$89,3,0)*0.475*44/12</f>
        <v>1.2427809998957845E-10</v>
      </c>
      <c r="AC134" s="22">
        <f t="shared" si="111"/>
        <v>57.31982365504421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7.2555555555555564</v>
      </c>
      <c r="AI134" s="13">
        <f>IF('Données projet'!$A$62&gt;35,AI133+AH134-AQ133,IF(A134&lt;'Données projet'!$A$62,$AF$205^A134,IF(A134='Données projet'!$A$62,'Données projet'!$B$62,AI133+AH134-AQ133)))</f>
        <v>484.8333333333328</v>
      </c>
      <c r="AJ134" s="13">
        <f>AI134*VLOOKUP('Données projet'!$B$10,Paramètres!$A$1:$I$89,3,0)*VLOOKUP('Données projet'!$B$10,Paramètres!$A$1:$I$89,5,0)</f>
        <v>233.20483333333306</v>
      </c>
      <c r="AK134" s="13">
        <f t="shared" si="143"/>
        <v>56.975082355230533</v>
      </c>
      <c r="AL134" s="20">
        <f t="shared" si="112"/>
        <v>505.39668649091499</v>
      </c>
      <c r="AM134" s="59">
        <f t="shared" si="113"/>
        <v>798.7300198242483</v>
      </c>
      <c r="AN134" s="59">
        <f ca="1">AVERAGE(OFFSET($AM$3,0,0,'Données projet'!$E$10+1,1))-AVERAGE(OFFSET($H$3,0,0,'Données projet'!$E$10+1,1))</f>
        <v>255.05550867459038</v>
      </c>
      <c r="AO134" s="59">
        <f t="shared" si="144"/>
        <v>119.28597757550295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90.729132143951617</v>
      </c>
      <c r="AV134" s="21">
        <f>EXP(-LN(2)/25)*AV133+(1-EXP(-LN(2)/25))/(LN(2)/25)*Calculateur!AQ134*Calculateur!AS134*VLOOKUP('Données projet'!$B$10,Paramètres!$A$1:$I$89,3,0)*0.475*44/12</f>
        <v>19.509847081919151</v>
      </c>
      <c r="AW134" s="21">
        <f>EXP(-LN(2)/2)*AW133+(1-EXP(-LN(2)/2))/(LN(2)/2)*AQ134*AT134*VLOOKUP('Données projet'!$B$10,Paramètres!$A$1:$I$89,3,0)*0.475*44/12</f>
        <v>0.61868861611001047</v>
      </c>
      <c r="AX134" s="21">
        <f t="shared" si="114"/>
        <v>110.85766784198077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>
        <f>VLOOKUP(A134,'Données projet'!$A$87:$I$107,2,0)</f>
        <v>259.61538461538458</v>
      </c>
      <c r="BB134" s="12">
        <f>VLOOKUP(A134,'Données projet'!$A$87:$I$107,9,0)</f>
        <v>4.9084615384615375</v>
      </c>
      <c r="BC134" s="12">
        <f t="array" ref="BC134">INDEX(BB:BB,MIN(IF(ISNUMBER(BB134:BB330),ROW(BB134:BB330),"")))</f>
        <v>4.9084615384615375</v>
      </c>
      <c r="BD134" s="12">
        <f>IF('Données projet'!$A$88&gt;35,BD133+BC134-BL133,IF(A134&lt;'Données projet'!$A$88,$BA$205^A134,IF(A134='Données projet'!$A$88,'Données projet'!$B$88,BD133+BC134-BL133)))</f>
        <v>259.61538461538572</v>
      </c>
      <c r="BE134" s="13">
        <f>BD134*VLOOKUP('Données projet'!$B$11,Paramètres!$A$1:$I$89,3,0)*VLOOKUP('Données projet'!$B$11,Paramètres!$A$1:$I$89,5,0)</f>
        <v>121.50000000000051</v>
      </c>
      <c r="BF134" s="13">
        <f t="shared" si="145"/>
        <v>32.024596321339168</v>
      </c>
      <c r="BG134" s="20">
        <f t="shared" si="115"/>
        <v>267.3886719263333</v>
      </c>
      <c r="BH134" s="59">
        <f t="shared" si="116"/>
        <v>560.72200525966662</v>
      </c>
      <c r="BI134" s="59">
        <f ca="1">AVERAGE(OFFSET($BH$3,0,0,'Données projet'!$E$11+1,1))-AVERAGE(OFFSET($H$3,0,0,'Données projet'!$E$11+1,1))</f>
        <v>181.79645720099597</v>
      </c>
      <c r="BJ134" s="59">
        <f t="shared" si="146"/>
        <v>120.20040029102233</v>
      </c>
      <c r="BK134" s="15">
        <f>IF(ISNA(VLOOKUP(A134,'Données projet'!$A$87:$I$107,3,0)),0,VLOOKUP(A134,'Données projet'!$A$87:$I$107,3,0))</f>
        <v>8</v>
      </c>
      <c r="BL134" s="15">
        <f>IF(ISNA(VLOOKUP(A134,'Données projet'!$A$87:$I$107,4,0)),0,VLOOKUP(A134,'Données projet'!$A$87:$I$107,4,0))</f>
        <v>259.61538461538458</v>
      </c>
      <c r="BM134" s="16">
        <f>IF(ISNA(VLOOKUP(A134,'Données projet'!$A$87:$I$107,5,0)),0%,VLOOKUP(A134,'Données projet'!$A$87:$I$107,5,0)*VLOOKUP('Données projet'!$B$11,Paramètres!$A$1:$I$89,7,0))</f>
        <v>0.38500000000000001</v>
      </c>
      <c r="BN134" s="16">
        <f>IF(ISNA(VLOOKUP(A134,'Données projet'!$A$87:$I$107,6,0)),0%,VLOOKUP(A134,'Données projet'!$A$87:$I$107,6,0)*VLOOKUP('Données projet'!$B$11,Paramètres!$A$1:$I$89,7,0))</f>
        <v>9.240000000000001E-2</v>
      </c>
      <c r="BO134" s="16">
        <f>IF(ISNA(VLOOKUP(A134,'Données projet'!$A$87:$I$107,7,0)),0%,VLOOKUP(A134,'Données projet'!$A$87:$I$107,7,0))</f>
        <v>0.13200000000000001</v>
      </c>
      <c r="BP134" s="21">
        <f>EXP(-LN(2)/35)*BP133+(1-EXP(-LN(2)/35))/(LN(2)/35)*BL134*BM134*VLOOKUP('Données projet'!$B$11,Paramètres!$A$1:$I$89,3,0)*0.475*44/12</f>
        <v>145.78201056277081</v>
      </c>
      <c r="BQ134" s="21">
        <f>EXP(-LN(2)/25)*BQ133+(1-EXP(-LN(2)/25))/(LN(2)/25)*Calculateur!BL134*Calculateur!BN134*VLOOKUP('Données projet'!$B$11,Paramètres!$A$1:$I$89,3,0)*0.475*44/12</f>
        <v>34.813905206383581</v>
      </c>
      <c r="BR134" s="21">
        <f>EXP(-LN(2)/2)*BR133+(1-EXP(-LN(2)/2))/(LN(2)/2)*BL134*BO134*VLOOKUP('Données projet'!$B$11,Paramètres!$A$1:$I$89,3,0)*0.475*44/12</f>
        <v>18.614162821430273</v>
      </c>
      <c r="BS134" s="22">
        <f t="shared" si="117"/>
        <v>199.21007859058466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-3.979039320256561E-13</v>
      </c>
      <c r="BZ134" s="13">
        <f>BY134*VLOOKUP('Données projet'!$B$12,Paramètres!$A$1:$I$89,3,0)*VLOOKUP('Données projet'!$B$12,Paramètres!$A$1:$I$89,5,0)</f>
        <v>-2.379465513513424E-13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213.18424462765137</v>
      </c>
      <c r="CE134" s="59">
        <f t="shared" si="148"/>
        <v>158.77848520346532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51.808523618813936</v>
      </c>
      <c r="CL134" s="21">
        <f>EXP(-LN(2)/25)*CL133+(1-EXP(-LN(2)/25))/(LN(2)/25)*Calculateur!CG134*Calculateur!CI134*VLOOKUP('Données projet'!$B$12,Paramètres!$A$1:$I$89,3,0)*0.475*44/12</f>
        <v>8.3196899021919872</v>
      </c>
      <c r="CM134" s="21">
        <f>EXP(-LN(2)/2)*CM133+(1-EXP(-LN(2)/2))/(LN(2)/2)*CG134*CJ134*VLOOKUP('Données projet'!$B$12,Paramètres!$A$1:$I$89,3,0)*0.475*44/12</f>
        <v>7.6204500975824576E-7</v>
      </c>
      <c r="CN134" s="22">
        <f t="shared" si="120"/>
        <v>60.128214283050937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319</v>
      </c>
      <c r="CU134" s="17">
        <f>CT134*VLOOKUP('Données projet'!$B$13,Paramètres!$A$1:$I$89,3,0)*VLOOKUP('Données projet'!$B$13,Paramètres!$A$1:$I$89,5,0)</f>
        <v>253.79640000000001</v>
      </c>
      <c r="CV134" s="13">
        <f t="shared" si="149"/>
        <v>61.39816832228076</v>
      </c>
      <c r="CW134" s="20">
        <f t="shared" si="121"/>
        <v>548.96387316130563</v>
      </c>
      <c r="CX134" s="59">
        <f t="shared" si="122"/>
        <v>842.29720649463889</v>
      </c>
      <c r="CY134" s="59">
        <f ca="1">AVERAGE(OFFSET($CX$3,0,0,'Données projet'!$E$13+1,1))-AVERAGE(OFFSET($H$3,0,0,'Données projet'!$E$13+1,1))</f>
        <v>279.49721661620544</v>
      </c>
      <c r="CZ134" s="59">
        <f t="shared" si="150"/>
        <v>275.18739333988754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16.309061131930353</v>
      </c>
      <c r="DG134" s="21">
        <f>EXP(-LN(2)/25)*DG133+(1-EXP(-LN(2)/25))/(LN(2)/25)*Calculateur!DB134*Calculateur!DD134*VLOOKUP('Données projet'!$B$13,Paramètres!$A$1:$I$89,3,0)*0.475*44/12</f>
        <v>1.8347688855724467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18.1438300175028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-6.3550942286383367E-14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278.5296012747549</v>
      </c>
      <c r="T135" s="59">
        <f t="shared" si="142"/>
        <v>370.55343097937077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49.329112594391638</v>
      </c>
      <c r="AA135" s="21">
        <f>EXP(-LN(2)/25)*AA134+(1-EXP(-LN(2)/25))/(LN(2)/25)*Calculateur!V135*Calculateur!X135*VLOOKUP('Données projet'!$B$9,Paramètres!$A$1:$I$89,3,0)*0.475*44/12</f>
        <v>6.8125233176773197</v>
      </c>
      <c r="AB135" s="21">
        <f>EXP(-LN(2)/2)*AB134+(1-EXP(-LN(2)/2))/(LN(2)/2)*V135*Y135*VLOOKUP('Données projet'!$B$9,Paramètres!$A$1:$I$89,3,0)*0.475*44/12</f>
        <v>8.7877887255610725E-11</v>
      </c>
      <c r="AC135" s="22">
        <f t="shared" si="111"/>
        <v>56.141635912156836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7.2555555555555564</v>
      </c>
      <c r="AI135" s="13">
        <f>IF('Données projet'!$A$62&gt;35,AI134+AH135-AQ134,IF(A135&lt;'Données projet'!$A$62,$AF$205^A135,IF(A135='Données projet'!$A$62,'Données projet'!$B$62,AI134+AH135-AQ134)))</f>
        <v>492.08888888888833</v>
      </c>
      <c r="AJ135" s="13">
        <f>AI135*VLOOKUP('Données projet'!$B$10,Paramètres!$A$1:$I$89,3,0)*VLOOKUP('Données projet'!$B$10,Paramètres!$A$1:$I$89,5,0)</f>
        <v>236.6947555555553</v>
      </c>
      <c r="AK135" s="13">
        <f t="shared" si="143"/>
        <v>57.727818102431492</v>
      </c>
      <c r="AL135" s="20">
        <f t="shared" si="112"/>
        <v>512.78598245432693</v>
      </c>
      <c r="AM135" s="59">
        <f t="shared" si="113"/>
        <v>806.1193157876603</v>
      </c>
      <c r="AN135" s="59">
        <f ca="1">AVERAGE(OFFSET($AM$3,0,0,'Données projet'!$E$10+1,1))-AVERAGE(OFFSET($H$3,0,0,'Données projet'!$E$10+1,1))</f>
        <v>255.05550867459038</v>
      </c>
      <c r="AO135" s="59">
        <f t="shared" si="144"/>
        <v>119.28597757550295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88.949989201915031</v>
      </c>
      <c r="AV135" s="21">
        <f>EXP(-LN(2)/25)*AV134+(1-EXP(-LN(2)/25))/(LN(2)/25)*Calculateur!AQ135*Calculateur!AS135*VLOOKUP('Données projet'!$B$10,Paramètres!$A$1:$I$89,3,0)*0.475*44/12</f>
        <v>18.976349287485803</v>
      </c>
      <c r="AW135" s="21">
        <f>EXP(-LN(2)/2)*AW134+(1-EXP(-LN(2)/2))/(LN(2)/2)*AQ135*AT135*VLOOKUP('Données projet'!$B$10,Paramètres!$A$1:$I$89,3,0)*0.475*44/12</f>
        <v>0.43747891589430909</v>
      </c>
      <c r="AX135" s="21">
        <f t="shared" si="114"/>
        <v>108.36381740529514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1.1368683772161603E-12</v>
      </c>
      <c r="BE135" s="13">
        <f>BD135*VLOOKUP('Données projet'!$B$11,Paramètres!$A$1:$I$89,3,0)*VLOOKUP('Données projet'!$B$11,Paramètres!$A$1:$I$89,5,0)</f>
        <v>5.3205440053716299E-13</v>
      </c>
      <c r="BF135" s="13">
        <f t="shared" si="145"/>
        <v>6.579711042921201E-12</v>
      </c>
      <c r="BG135" s="20">
        <f t="shared" si="115"/>
        <v>1.2386324814023317E-11</v>
      </c>
      <c r="BH135" s="59">
        <f t="shared" si="116"/>
        <v>293.33333333334571</v>
      </c>
      <c r="BI135" s="59">
        <f ca="1">AVERAGE(OFFSET($BH$3,0,0,'Données projet'!$E$11+1,1))-AVERAGE(OFFSET($H$3,0,0,'Données projet'!$E$11+1,1))</f>
        <v>181.79645720099597</v>
      </c>
      <c r="BJ135" s="59">
        <f t="shared" si="146"/>
        <v>120.20040029102233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142.92331425388136</v>
      </c>
      <c r="BQ135" s="21">
        <f>EXP(-LN(2)/25)*BQ134+(1-EXP(-LN(2)/25))/(LN(2)/25)*Calculateur!BL135*Calculateur!BN135*VLOOKUP('Données projet'!$B$11,Paramètres!$A$1:$I$89,3,0)*0.475*44/12</f>
        <v>33.861917137731318</v>
      </c>
      <c r="BR135" s="21">
        <f>EXP(-LN(2)/2)*BR134+(1-EXP(-LN(2)/2))/(LN(2)/2)*BL135*BO135*VLOOKUP('Données projet'!$B$11,Paramètres!$A$1:$I$89,3,0)*0.475*44/12</f>
        <v>13.162200757143866</v>
      </c>
      <c r="BS135" s="22">
        <f t="shared" si="117"/>
        <v>189.94743214875655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-3.979039320256561E-13</v>
      </c>
      <c r="BZ135" s="13">
        <f>BY135*VLOOKUP('Données projet'!$B$12,Paramètres!$A$1:$I$89,3,0)*VLOOKUP('Données projet'!$B$12,Paramètres!$A$1:$I$89,5,0)</f>
        <v>-2.379465513513424E-13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213.18424462765137</v>
      </c>
      <c r="CE135" s="59">
        <f t="shared" si="148"/>
        <v>158.77848520346532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50.792590070728153</v>
      </c>
      <c r="CL135" s="21">
        <f>EXP(-LN(2)/25)*CL134+(1-EXP(-LN(2)/25))/(LN(2)/25)*Calculateur!CG135*Calculateur!CI135*VLOOKUP('Données projet'!$B$12,Paramètres!$A$1:$I$89,3,0)*0.475*44/12</f>
        <v>8.0921875443030711</v>
      </c>
      <c r="CM135" s="21">
        <f>EXP(-LN(2)/2)*CM134+(1-EXP(-LN(2)/2))/(LN(2)/2)*CG135*CJ135*VLOOKUP('Données projet'!$B$12,Paramètres!$A$1:$I$89,3,0)*0.475*44/12</f>
        <v>5.3884719396942436E-7</v>
      </c>
      <c r="CN135" s="22">
        <f t="shared" si="120"/>
        <v>58.884778153878422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319</v>
      </c>
      <c r="CU135" s="17">
        <f>CT135*VLOOKUP('Données projet'!$B$13,Paramètres!$A$1:$I$89,3,0)*VLOOKUP('Données projet'!$B$13,Paramètres!$A$1:$I$89,5,0)</f>
        <v>253.79640000000001</v>
      </c>
      <c r="CV135" s="13">
        <f t="shared" si="149"/>
        <v>61.39816832228076</v>
      </c>
      <c r="CW135" s="20">
        <f t="shared" si="121"/>
        <v>548.96387316130563</v>
      </c>
      <c r="CX135" s="59">
        <f t="shared" si="122"/>
        <v>842.29720649463889</v>
      </c>
      <c r="CY135" s="59">
        <f ca="1">AVERAGE(OFFSET($CX$3,0,0,'Données projet'!$E$13+1,1))-AVERAGE(OFFSET($H$3,0,0,'Données projet'!$E$13+1,1))</f>
        <v>279.49721661620544</v>
      </c>
      <c r="CZ135" s="59">
        <f t="shared" si="150"/>
        <v>275.18739333988754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15.989250390678251</v>
      </c>
      <c r="DG135" s="21">
        <f>EXP(-LN(2)/25)*DG134+(1-EXP(-LN(2)/25))/(LN(2)/25)*Calculateur!DB135*Calculateur!DD135*VLOOKUP('Données projet'!$B$13,Paramètres!$A$1:$I$89,3,0)*0.475*44/12</f>
        <v>1.7845970339101658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17.773847424588418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-6.3550942286383367E-14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278.5296012747549</v>
      </c>
      <c r="T136" s="59">
        <f t="shared" si="142"/>
        <v>370.55343097937077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48.36179878420338</v>
      </c>
      <c r="AA136" s="21">
        <f>EXP(-LN(2)/25)*AA135+(1-EXP(-LN(2)/25))/(LN(2)/25)*Calculateur!V136*Calculateur!X136*VLOOKUP('Données projet'!$B$9,Paramètres!$A$1:$I$89,3,0)*0.475*44/12</f>
        <v>6.626234509300402</v>
      </c>
      <c r="AB136" s="21">
        <f>EXP(-LN(2)/2)*AB135+(1-EXP(-LN(2)/2))/(LN(2)/2)*V136*Y136*VLOOKUP('Données projet'!$B$9,Paramètres!$A$1:$I$89,3,0)*0.475*44/12</f>
        <v>6.2139049994789226E-11</v>
      </c>
      <c r="AC136" s="22">
        <f t="shared" si="111"/>
        <v>54.98803329356592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7.2555555555555564</v>
      </c>
      <c r="AI136" s="13">
        <f>IF('Données projet'!$A$62&gt;35,AI135+AH136-AQ135,IF(A136&lt;'Données projet'!$A$62,$AF$205^A136,IF(A136='Données projet'!$A$62,'Données projet'!$B$62,AI135+AH136-AQ135)))</f>
        <v>499.34444444444387</v>
      </c>
      <c r="AJ136" s="13">
        <f>AI136*VLOOKUP('Données projet'!$B$10,Paramètres!$A$1:$I$89,3,0)*VLOOKUP('Données projet'!$B$10,Paramètres!$A$1:$I$89,5,0)</f>
        <v>240.18467777777749</v>
      </c>
      <c r="AK136" s="13">
        <f t="shared" si="143"/>
        <v>58.479263026774291</v>
      </c>
      <c r="AL136" s="20">
        <f t="shared" si="112"/>
        <v>520.17303023459442</v>
      </c>
      <c r="AM136" s="59">
        <f t="shared" si="113"/>
        <v>813.50636356792779</v>
      </c>
      <c r="AN136" s="59">
        <f ca="1">AVERAGE(OFFSET($AM$3,0,0,'Données projet'!$E$10+1,1))-AVERAGE(OFFSET($H$3,0,0,'Données projet'!$E$10+1,1))</f>
        <v>255.05550867459038</v>
      </c>
      <c r="AO136" s="59">
        <f t="shared" si="144"/>
        <v>119.28597757550295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87.205734167801737</v>
      </c>
      <c r="AV136" s="21">
        <f>EXP(-LN(2)/25)*AV135+(1-EXP(-LN(2)/25))/(LN(2)/25)*Calculateur!AQ136*Calculateur!AS136*VLOOKUP('Données projet'!$B$10,Paramètres!$A$1:$I$89,3,0)*0.475*44/12</f>
        <v>18.457440018296666</v>
      </c>
      <c r="AW136" s="21">
        <f>EXP(-LN(2)/2)*AW135+(1-EXP(-LN(2)/2))/(LN(2)/2)*AQ136*AT136*VLOOKUP('Données projet'!$B$10,Paramètres!$A$1:$I$89,3,0)*0.475*44/12</f>
        <v>0.30934430805500529</v>
      </c>
      <c r="AX136" s="21">
        <f t="shared" si="114"/>
        <v>105.97251849415341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1.1368683772161603E-12</v>
      </c>
      <c r="BE136" s="13">
        <f>BD136*VLOOKUP('Données projet'!$B$11,Paramètres!$A$1:$I$89,3,0)*VLOOKUP('Données projet'!$B$11,Paramètres!$A$1:$I$89,5,0)</f>
        <v>5.3205440053716299E-13</v>
      </c>
      <c r="BF136" s="13">
        <f t="shared" si="145"/>
        <v>6.579711042921201E-12</v>
      </c>
      <c r="BG136" s="20">
        <f t="shared" si="115"/>
        <v>1.2386324814023317E-11</v>
      </c>
      <c r="BH136" s="59">
        <f t="shared" si="116"/>
        <v>293.33333333334571</v>
      </c>
      <c r="BI136" s="59">
        <f ca="1">AVERAGE(OFFSET($BH$3,0,0,'Données projet'!$E$11+1,1))-AVERAGE(OFFSET($H$3,0,0,'Données projet'!$E$11+1,1))</f>
        <v>181.79645720099597</v>
      </c>
      <c r="BJ136" s="59">
        <f t="shared" si="146"/>
        <v>120.20040029102233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140.12067523597665</v>
      </c>
      <c r="BQ136" s="21">
        <f>EXP(-LN(2)/25)*BQ135+(1-EXP(-LN(2)/25))/(LN(2)/25)*Calculateur!BL136*Calculateur!BN136*VLOOKUP('Données projet'!$B$11,Paramètres!$A$1:$I$89,3,0)*0.475*44/12</f>
        <v>32.935961232879222</v>
      </c>
      <c r="BR136" s="21">
        <f>EXP(-LN(2)/2)*BR135+(1-EXP(-LN(2)/2))/(LN(2)/2)*BL136*BO136*VLOOKUP('Données projet'!$B$11,Paramètres!$A$1:$I$89,3,0)*0.475*44/12</f>
        <v>9.3070814107151385</v>
      </c>
      <c r="BS136" s="22">
        <f t="shared" si="117"/>
        <v>182.363717879571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-3.979039320256561E-13</v>
      </c>
      <c r="BZ136" s="13">
        <f>BY136*VLOOKUP('Données projet'!$B$12,Paramètres!$A$1:$I$89,3,0)*VLOOKUP('Données projet'!$B$12,Paramètres!$A$1:$I$89,5,0)</f>
        <v>-2.379465513513424E-13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213.18424462765137</v>
      </c>
      <c r="CE136" s="59">
        <f t="shared" si="148"/>
        <v>158.77848520346532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49.796578359862053</v>
      </c>
      <c r="CL136" s="21">
        <f>EXP(-LN(2)/25)*CL135+(1-EXP(-LN(2)/25))/(LN(2)/25)*Calculateur!CG136*Calculateur!CI136*VLOOKUP('Données projet'!$B$12,Paramètres!$A$1:$I$89,3,0)*0.475*44/12</f>
        <v>7.870906250354456</v>
      </c>
      <c r="CM136" s="21">
        <f>EXP(-LN(2)/2)*CM135+(1-EXP(-LN(2)/2))/(LN(2)/2)*CG136*CJ136*VLOOKUP('Données projet'!$B$12,Paramètres!$A$1:$I$89,3,0)*0.475*44/12</f>
        <v>3.8102250487912288E-7</v>
      </c>
      <c r="CN136" s="22">
        <f t="shared" si="120"/>
        <v>57.667484991239014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319</v>
      </c>
      <c r="CU136" s="17">
        <f>CT136*VLOOKUP('Données projet'!$B$13,Paramètres!$A$1:$I$89,3,0)*VLOOKUP('Données projet'!$B$13,Paramètres!$A$1:$I$89,5,0)</f>
        <v>253.79640000000001</v>
      </c>
      <c r="CV136" s="13">
        <f t="shared" si="149"/>
        <v>61.39816832228076</v>
      </c>
      <c r="CW136" s="20">
        <f t="shared" si="121"/>
        <v>548.96387316130563</v>
      </c>
      <c r="CX136" s="59">
        <f t="shared" si="122"/>
        <v>842.29720649463889</v>
      </c>
      <c r="CY136" s="59">
        <f ca="1">AVERAGE(OFFSET($CX$3,0,0,'Données projet'!$E$13+1,1))-AVERAGE(OFFSET($H$3,0,0,'Données projet'!$E$13+1,1))</f>
        <v>279.49721661620544</v>
      </c>
      <c r="CZ136" s="59">
        <f t="shared" si="150"/>
        <v>275.18739333988754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15.675710942996812</v>
      </c>
      <c r="DG136" s="21">
        <f>EXP(-LN(2)/25)*DG135+(1-EXP(-LN(2)/25))/(LN(2)/25)*Calculateur!DB136*Calculateur!DD136*VLOOKUP('Données projet'!$B$13,Paramètres!$A$1:$I$89,3,0)*0.475*44/12</f>
        <v>1.7357971341700131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17.411508077166825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-6.3550942286383367E-14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278.5296012747549</v>
      </c>
      <c r="T137" s="59">
        <f t="shared" si="142"/>
        <v>370.55343097937077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47.413453407829749</v>
      </c>
      <c r="AA137" s="21">
        <f>EXP(-LN(2)/25)*AA136+(1-EXP(-LN(2)/25))/(LN(2)/25)*Calculateur!V137*Calculateur!X137*VLOOKUP('Données projet'!$B$9,Paramètres!$A$1:$I$89,3,0)*0.475*44/12</f>
        <v>6.4450397781850546</v>
      </c>
      <c r="AB137" s="21">
        <f>EXP(-LN(2)/2)*AB136+(1-EXP(-LN(2)/2))/(LN(2)/2)*V137*Y137*VLOOKUP('Données projet'!$B$9,Paramètres!$A$1:$I$89,3,0)*0.475*44/12</f>
        <v>4.3938943627805363E-11</v>
      </c>
      <c r="AC137" s="22">
        <f t="shared" si="111"/>
        <v>53.858493186058745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506.6</v>
      </c>
      <c r="AG137" s="12">
        <f>VLOOKUP(A137,'Données projet'!$A$61:$I$81,9,0)</f>
        <v>7.2555555555555564</v>
      </c>
      <c r="AH137" s="12">
        <f t="array" ref="AH137">INDEX(AG:AG,MIN(IF(ISNUMBER(AG137:AG333),ROW(AG137:AG333),"")))</f>
        <v>7.2555555555555564</v>
      </c>
      <c r="AI137" s="13">
        <f>IF('Données projet'!$A$62&gt;35,AI136+AH137-AQ136,IF(A137&lt;'Données projet'!$A$62,$AF$205^A137,IF(A137='Données projet'!$A$62,'Données projet'!$B$62,AI136+AH137-AQ136)))</f>
        <v>506.5999999999994</v>
      </c>
      <c r="AJ137" s="13">
        <f>AI137*VLOOKUP('Données projet'!$B$10,Paramètres!$A$1:$I$89,3,0)*VLOOKUP('Données projet'!$B$10,Paramètres!$A$1:$I$89,5,0)</f>
        <v>243.67459999999971</v>
      </c>
      <c r="AK137" s="13">
        <f t="shared" si="143"/>
        <v>59.229438051091257</v>
      </c>
      <c r="AL137" s="20">
        <f t="shared" si="112"/>
        <v>527.5578662723168</v>
      </c>
      <c r="AM137" s="59">
        <f t="shared" si="113"/>
        <v>820.89119960565017</v>
      </c>
      <c r="AN137" s="59">
        <f ca="1">AVERAGE(OFFSET($AM$3,0,0,'Données projet'!$E$10+1,1))-AVERAGE(OFFSET($H$3,0,0,'Données projet'!$E$10+1,1))</f>
        <v>255.05550867459038</v>
      </c>
      <c r="AO137" s="59">
        <f t="shared" si="144"/>
        <v>119.28597757550295</v>
      </c>
      <c r="AP137" s="15">
        <f>IF(ISNA(VLOOKUP(A137,'Données projet'!$A$61:$I$81,3,0)),0,VLOOKUP(A137,'Données projet'!$A$61:$I$81,3,0))</f>
        <v>12</v>
      </c>
      <c r="AQ137" s="15">
        <f>IF(ISNA(VLOOKUP(A137,'Données projet'!$A$61:$I$81,4,0)),0,VLOOKUP(A137,'Données projet'!$A$61:$I$81,4,0))</f>
        <v>506.6</v>
      </c>
      <c r="AR137" s="16">
        <f>IF(ISNA(VLOOKUP(A137,'Données projet'!$A$61:$I$81,5,0)),0%,VLOOKUP(A137,'Données projet'!$A$61:$I$81,5,0)*VLOOKUP('Données projet'!$B$10,Paramètres!$A$1:$I$89,7,0))</f>
        <v>0.38500000000000001</v>
      </c>
      <c r="AS137" s="16">
        <f>IF(ISNA(VLOOKUP(A137,'Données projet'!$A$61:$I$81,6,0)),0%,VLOOKUP(A137,'Données projet'!$A$61:$I$81,6,0)*VLOOKUP('Données projet'!$B$10,Paramètres!$A$1:$I$89,7,0))</f>
        <v>9.3500000000000014E-2</v>
      </c>
      <c r="AT137" s="16">
        <f>IF(ISNA(VLOOKUP(A137,'Données projet'!$A$61:$I$81,7,0)),0%,VLOOKUP(A137,'Données projet'!$A$61:$I$81,7,0))</f>
        <v>0.13</v>
      </c>
      <c r="AU137" s="21">
        <f>EXP(-LN(2)/35)*AU136+(1-EXP(-LN(2)/35))/(LN(2)/35)*AQ137*AR137*VLOOKUP('Données projet'!$B$10,Paramètres!$A$1:$I$89,3,0)*0.475*44/12</f>
        <v>209.94695718659432</v>
      </c>
      <c r="AV137" s="21">
        <f>EXP(-LN(2)/25)*AV136+(1-EXP(-LN(2)/25))/(LN(2)/25)*Calculateur!AQ137*Calculateur!AS137*VLOOKUP('Données projet'!$B$10,Paramètres!$A$1:$I$89,3,0)*0.475*44/12</f>
        <v>48.057598310572075</v>
      </c>
      <c r="AW137" s="21">
        <f>EXP(-LN(2)/2)*AW136+(1-EXP(-LN(2)/2))/(LN(2)/2)*AQ137*AT137*VLOOKUP('Données projet'!$B$10,Paramètres!$A$1:$I$89,3,0)*0.475*44/12</f>
        <v>36.085252244836681</v>
      </c>
      <c r="AX137" s="21">
        <f t="shared" si="114"/>
        <v>294.08980774200307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1.1368683772161603E-12</v>
      </c>
      <c r="BE137" s="13">
        <f>BD137*VLOOKUP('Données projet'!$B$11,Paramètres!$A$1:$I$89,3,0)*VLOOKUP('Données projet'!$B$11,Paramètres!$A$1:$I$89,5,0)</f>
        <v>5.3205440053716299E-13</v>
      </c>
      <c r="BF137" s="13">
        <f t="shared" si="145"/>
        <v>6.579711042921201E-12</v>
      </c>
      <c r="BG137" s="20">
        <f t="shared" si="115"/>
        <v>1.2386324814023317E-11</v>
      </c>
      <c r="BH137" s="59">
        <f t="shared" si="116"/>
        <v>293.33333333334571</v>
      </c>
      <c r="BI137" s="59">
        <f ca="1">AVERAGE(OFFSET($BH$3,0,0,'Données projet'!$E$11+1,1))-AVERAGE(OFFSET($H$3,0,0,'Données projet'!$E$11+1,1))</f>
        <v>181.79645720099597</v>
      </c>
      <c r="BJ137" s="59">
        <f t="shared" si="146"/>
        <v>120.20040029102233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137.37299425977204</v>
      </c>
      <c r="BQ137" s="21">
        <f>EXP(-LN(2)/25)*BQ136+(1-EXP(-LN(2)/25))/(LN(2)/25)*Calculateur!BL137*Calculateur!BN137*VLOOKUP('Données projet'!$B$11,Paramètres!$A$1:$I$89,3,0)*0.475*44/12</f>
        <v>32.035325640939213</v>
      </c>
      <c r="BR137" s="21">
        <f>EXP(-LN(2)/2)*BR136+(1-EXP(-LN(2)/2))/(LN(2)/2)*BL137*BO137*VLOOKUP('Données projet'!$B$11,Paramètres!$A$1:$I$89,3,0)*0.475*44/12</f>
        <v>6.581100378571934</v>
      </c>
      <c r="BS137" s="22">
        <f t="shared" si="117"/>
        <v>175.98942027928319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-3.979039320256561E-13</v>
      </c>
      <c r="BZ137" s="13">
        <f>BY137*VLOOKUP('Données projet'!$B$12,Paramètres!$A$1:$I$89,3,0)*VLOOKUP('Données projet'!$B$12,Paramètres!$A$1:$I$89,5,0)</f>
        <v>-2.379465513513424E-13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213.18424462765137</v>
      </c>
      <c r="CE137" s="59">
        <f t="shared" si="148"/>
        <v>158.77848520346532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48.820097831138881</v>
      </c>
      <c r="CL137" s="21">
        <f>EXP(-LN(2)/25)*CL136+(1-EXP(-LN(2)/25))/(LN(2)/25)*Calculateur!CG137*Calculateur!CI137*VLOOKUP('Données projet'!$B$12,Paramètres!$A$1:$I$89,3,0)*0.475*44/12</f>
        <v>7.655675905025543</v>
      </c>
      <c r="CM137" s="21">
        <f>EXP(-LN(2)/2)*CM136+(1-EXP(-LN(2)/2))/(LN(2)/2)*CG137*CJ137*VLOOKUP('Données projet'!$B$12,Paramètres!$A$1:$I$89,3,0)*0.475*44/12</f>
        <v>2.6942359698471218E-7</v>
      </c>
      <c r="CN137" s="22">
        <f t="shared" si="120"/>
        <v>56.475774005588022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319</v>
      </c>
      <c r="CU137" s="17">
        <f>CT137*VLOOKUP('Données projet'!$B$13,Paramètres!$A$1:$I$89,3,0)*VLOOKUP('Données projet'!$B$13,Paramètres!$A$1:$I$89,5,0)</f>
        <v>253.79640000000001</v>
      </c>
      <c r="CV137" s="13">
        <f t="shared" si="149"/>
        <v>61.39816832228076</v>
      </c>
      <c r="CW137" s="20">
        <f t="shared" si="121"/>
        <v>548.96387316130563</v>
      </c>
      <c r="CX137" s="59">
        <f t="shared" si="122"/>
        <v>842.29720649463889</v>
      </c>
      <c r="CY137" s="59">
        <f ca="1">AVERAGE(OFFSET($CX$3,0,0,'Données projet'!$E$13+1,1))-AVERAGE(OFFSET($H$3,0,0,'Données projet'!$E$13+1,1))</f>
        <v>279.49721661620544</v>
      </c>
      <c r="CZ137" s="59">
        <f t="shared" si="150"/>
        <v>275.18739333988754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15.368319812644225</v>
      </c>
      <c r="DG137" s="21">
        <f>EXP(-LN(2)/25)*DG136+(1-EXP(-LN(2)/25))/(LN(2)/25)*Calculateur!DB137*Calculateur!DD137*VLOOKUP('Données projet'!$B$13,Paramètres!$A$1:$I$89,3,0)*0.475*44/12</f>
        <v>1.6883316702545301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17.056651482898754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-6.3550942286383367E-14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278.5296012747549</v>
      </c>
      <c r="T138" s="59">
        <f t="shared" si="142"/>
        <v>370.55343097937077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46.48370450585324</v>
      </c>
      <c r="AA138" s="21">
        <f>EXP(-LN(2)/25)*AA137+(1-EXP(-LN(2)/25))/(LN(2)/25)*Calculateur!V138*Calculateur!X138*VLOOKUP('Données projet'!$B$9,Paramètres!$A$1:$I$89,3,0)*0.475*44/12</f>
        <v>6.2687998265206728</v>
      </c>
      <c r="AB138" s="21">
        <f>EXP(-LN(2)/2)*AB137+(1-EXP(-LN(2)/2))/(LN(2)/2)*V138*Y138*VLOOKUP('Données projet'!$B$9,Paramètres!$A$1:$I$89,3,0)*0.475*44/12</f>
        <v>3.1069524997394613E-11</v>
      </c>
      <c r="AC138" s="22">
        <f t="shared" si="111"/>
        <v>52.752504332404982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-6.2527760746888816E-13</v>
      </c>
      <c r="AJ138" s="13">
        <f>AI138*VLOOKUP('Données projet'!$B$10,Paramètres!$A$1:$I$89,3,0)*VLOOKUP('Données projet'!$B$10,Paramètres!$A$1:$I$89,5,0)</f>
        <v>-3.0075852919253523E-13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255.05550867459038</v>
      </c>
      <c r="AO138" s="59">
        <f t="shared" si="144"/>
        <v>119.28597757550295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205.83002541116471</v>
      </c>
      <c r="AV138" s="21">
        <f>EXP(-LN(2)/25)*AV137+(1-EXP(-LN(2)/25))/(LN(2)/25)*Calculateur!AQ138*Calculateur!AS138*VLOOKUP('Données projet'!$B$10,Paramètres!$A$1:$I$89,3,0)*0.475*44/12</f>
        <v>46.743460757530222</v>
      </c>
      <c r="AW138" s="21">
        <f>EXP(-LN(2)/2)*AW137+(1-EXP(-LN(2)/2))/(LN(2)/2)*AQ138*AT138*VLOOKUP('Données projet'!$B$10,Paramètres!$A$1:$I$89,3,0)*0.475*44/12</f>
        <v>25.516126563151104</v>
      </c>
      <c r="AX138" s="21">
        <f t="shared" si="114"/>
        <v>278.08961273184605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1.1368683772161603E-12</v>
      </c>
      <c r="BE138" s="13">
        <f>BD138*VLOOKUP('Données projet'!$B$11,Paramètres!$A$1:$I$89,3,0)*VLOOKUP('Données projet'!$B$11,Paramètres!$A$1:$I$89,5,0)</f>
        <v>5.3205440053716299E-13</v>
      </c>
      <c r="BF138" s="13">
        <f t="shared" si="145"/>
        <v>6.579711042921201E-12</v>
      </c>
      <c r="BG138" s="20">
        <f t="shared" si="115"/>
        <v>1.2386324814023317E-11</v>
      </c>
      <c r="BH138" s="59">
        <f t="shared" si="116"/>
        <v>293.33333333334571</v>
      </c>
      <c r="BI138" s="59">
        <f ca="1">AVERAGE(OFFSET($BH$3,0,0,'Données projet'!$E$11+1,1))-AVERAGE(OFFSET($H$3,0,0,'Données projet'!$E$11+1,1))</f>
        <v>181.79645720099597</v>
      </c>
      <c r="BJ138" s="59">
        <f t="shared" si="146"/>
        <v>120.20040029102233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134.67919363159092</v>
      </c>
      <c r="BQ138" s="21">
        <f>EXP(-LN(2)/25)*BQ137+(1-EXP(-LN(2)/25))/(LN(2)/25)*Calculateur!BL138*Calculateur!BN138*VLOOKUP('Données projet'!$B$11,Paramètres!$A$1:$I$89,3,0)*0.475*44/12</f>
        <v>31.159317976623171</v>
      </c>
      <c r="BR138" s="21">
        <f>EXP(-LN(2)/2)*BR137+(1-EXP(-LN(2)/2))/(LN(2)/2)*BL138*BO138*VLOOKUP('Données projet'!$B$11,Paramètres!$A$1:$I$89,3,0)*0.475*44/12</f>
        <v>4.6535407053575701</v>
      </c>
      <c r="BS138" s="22">
        <f t="shared" si="117"/>
        <v>170.49205231357166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-3.979039320256561E-13</v>
      </c>
      <c r="BZ138" s="13">
        <f>BY138*VLOOKUP('Données projet'!$B$12,Paramètres!$A$1:$I$89,3,0)*VLOOKUP('Données projet'!$B$12,Paramètres!$A$1:$I$89,5,0)</f>
        <v>-2.379465513513424E-13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213.18424462765137</v>
      </c>
      <c r="CE138" s="59">
        <f t="shared" si="148"/>
        <v>158.77848520346532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47.862765489989656</v>
      </c>
      <c r="CL138" s="21">
        <f>EXP(-LN(2)/25)*CL137+(1-EXP(-LN(2)/25))/(LN(2)/25)*Calculateur!CG138*Calculateur!CI138*VLOOKUP('Données projet'!$B$12,Paramètres!$A$1:$I$89,3,0)*0.475*44/12</f>
        <v>7.4463310448081206</v>
      </c>
      <c r="CM138" s="21">
        <f>EXP(-LN(2)/2)*CM137+(1-EXP(-LN(2)/2))/(LN(2)/2)*CG138*CJ138*VLOOKUP('Données projet'!$B$12,Paramètres!$A$1:$I$89,3,0)*0.475*44/12</f>
        <v>1.9051125243956144E-7</v>
      </c>
      <c r="CN138" s="22">
        <f t="shared" si="120"/>
        <v>55.309096725309026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319</v>
      </c>
      <c r="CU138" s="17">
        <f>CT138*VLOOKUP('Données projet'!$B$13,Paramètres!$A$1:$I$89,3,0)*VLOOKUP('Données projet'!$B$13,Paramètres!$A$1:$I$89,5,0)</f>
        <v>253.79640000000001</v>
      </c>
      <c r="CV138" s="13">
        <f t="shared" si="149"/>
        <v>61.39816832228076</v>
      </c>
      <c r="CW138" s="20">
        <f t="shared" si="121"/>
        <v>548.96387316130563</v>
      </c>
      <c r="CX138" s="59">
        <f t="shared" si="122"/>
        <v>842.29720649463889</v>
      </c>
      <c r="CY138" s="59">
        <f ca="1">AVERAGE(OFFSET($CX$3,0,0,'Données projet'!$E$13+1,1))-AVERAGE(OFFSET($H$3,0,0,'Données projet'!$E$13+1,1))</f>
        <v>279.49721661620544</v>
      </c>
      <c r="CZ138" s="59">
        <f t="shared" si="150"/>
        <v>275.18739333988754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15.066956434867777</v>
      </c>
      <c r="DG138" s="21">
        <f>EXP(-LN(2)/25)*DG137+(1-EXP(-LN(2)/25))/(LN(2)/25)*Calculateur!DB138*Calculateur!DD138*VLOOKUP('Données projet'!$B$13,Paramètres!$A$1:$I$89,3,0)*0.475*44/12</f>
        <v>1.6421641519459163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16.709120586813693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-6.3550942286383367E-14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278.5296012747549</v>
      </c>
      <c r="T139" s="59">
        <f t="shared" si="142"/>
        <v>370.55343097937077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45.572187412753649</v>
      </c>
      <c r="AA139" s="21">
        <f>EXP(-LN(2)/25)*AA138+(1-EXP(-LN(2)/25))/(LN(2)/25)*Calculateur!V139*Calculateur!X139*VLOOKUP('Données projet'!$B$9,Paramètres!$A$1:$I$89,3,0)*0.475*44/12</f>
        <v>6.09737916560261</v>
      </c>
      <c r="AB139" s="21">
        <f>EXP(-LN(2)/2)*AB138+(1-EXP(-LN(2)/2))/(LN(2)/2)*V139*Y139*VLOOKUP('Données projet'!$B$9,Paramètres!$A$1:$I$89,3,0)*0.475*44/12</f>
        <v>2.1969471813902681E-11</v>
      </c>
      <c r="AC139" s="22">
        <f t="shared" si="111"/>
        <v>51.66956657837823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-6.2527760746888816E-13</v>
      </c>
      <c r="AJ139" s="13">
        <f>AI139*VLOOKUP('Données projet'!$B$10,Paramètres!$A$1:$I$89,3,0)*VLOOKUP('Données projet'!$B$10,Paramètres!$A$1:$I$89,5,0)</f>
        <v>-3.0075852919253523E-13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255.05550867459038</v>
      </c>
      <c r="AO139" s="59">
        <f t="shared" si="144"/>
        <v>119.28597757550295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201.79382415677085</v>
      </c>
      <c r="AV139" s="21">
        <f>EXP(-LN(2)/25)*AV138+(1-EXP(-LN(2)/25))/(LN(2)/25)*Calculateur!AQ139*Calculateur!AS139*VLOOKUP('Données projet'!$B$10,Paramètres!$A$1:$I$89,3,0)*0.475*44/12</f>
        <v>45.465258364983789</v>
      </c>
      <c r="AW139" s="21">
        <f>EXP(-LN(2)/2)*AW138+(1-EXP(-LN(2)/2))/(LN(2)/2)*AQ139*AT139*VLOOKUP('Données projet'!$B$10,Paramètres!$A$1:$I$89,3,0)*0.475*44/12</f>
        <v>18.042626122418341</v>
      </c>
      <c r="AX139" s="21">
        <f t="shared" si="114"/>
        <v>265.301708644173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1.1368683772161603E-12</v>
      </c>
      <c r="BE139" s="13">
        <f>BD139*VLOOKUP('Données projet'!$B$11,Paramètres!$A$1:$I$89,3,0)*VLOOKUP('Données projet'!$B$11,Paramètres!$A$1:$I$89,5,0)</f>
        <v>5.3205440053716299E-13</v>
      </c>
      <c r="BF139" s="13">
        <f t="shared" si="145"/>
        <v>6.579711042921201E-12</v>
      </c>
      <c r="BG139" s="20">
        <f t="shared" si="115"/>
        <v>1.2386324814023317E-11</v>
      </c>
      <c r="BH139" s="59">
        <f t="shared" si="116"/>
        <v>293.33333333334571</v>
      </c>
      <c r="BI139" s="59">
        <f ca="1">AVERAGE(OFFSET($BH$3,0,0,'Données projet'!$E$11+1,1))-AVERAGE(OFFSET($H$3,0,0,'Données projet'!$E$11+1,1))</f>
        <v>181.79645720099597</v>
      </c>
      <c r="BJ139" s="59">
        <f t="shared" si="146"/>
        <v>120.20040029102233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132.03821679067227</v>
      </c>
      <c r="BQ139" s="21">
        <f>EXP(-LN(2)/25)*BQ138+(1-EXP(-LN(2)/25))/(LN(2)/25)*Calculateur!BL139*Calculateur!BN139*VLOOKUP('Données projet'!$B$11,Paramètres!$A$1:$I$89,3,0)*0.475*44/12</f>
        <v>30.307264787955095</v>
      </c>
      <c r="BR139" s="21">
        <f>EXP(-LN(2)/2)*BR138+(1-EXP(-LN(2)/2))/(LN(2)/2)*BL139*BO139*VLOOKUP('Données projet'!$B$11,Paramètres!$A$1:$I$89,3,0)*0.475*44/12</f>
        <v>3.2905501892859674</v>
      </c>
      <c r="BS139" s="22">
        <f t="shared" si="117"/>
        <v>165.63603176791332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-3.979039320256561E-13</v>
      </c>
      <c r="BZ139" s="13">
        <f>BY139*VLOOKUP('Données projet'!$B$12,Paramètres!$A$1:$I$89,3,0)*VLOOKUP('Données projet'!$B$12,Paramètres!$A$1:$I$89,5,0)</f>
        <v>-2.379465513513424E-13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213.18424462765137</v>
      </c>
      <c r="CE139" s="59">
        <f t="shared" si="148"/>
        <v>158.77848520346532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46.924205852135294</v>
      </c>
      <c r="CL139" s="21">
        <f>EXP(-LN(2)/25)*CL138+(1-EXP(-LN(2)/25))/(LN(2)/25)*Calculateur!CG139*Calculateur!CI139*VLOOKUP('Données projet'!$B$12,Paramètres!$A$1:$I$89,3,0)*0.475*44/12</f>
        <v>7.2427107308023118</v>
      </c>
      <c r="CM139" s="21">
        <f>EXP(-LN(2)/2)*CM138+(1-EXP(-LN(2)/2))/(LN(2)/2)*CG139*CJ139*VLOOKUP('Données projet'!$B$12,Paramètres!$A$1:$I$89,3,0)*0.475*44/12</f>
        <v>1.3471179849235609E-7</v>
      </c>
      <c r="CN139" s="22">
        <f t="shared" si="120"/>
        <v>54.1669167176494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319</v>
      </c>
      <c r="CU139" s="17">
        <f>CT139*VLOOKUP('Données projet'!$B$13,Paramètres!$A$1:$I$89,3,0)*VLOOKUP('Données projet'!$B$13,Paramètres!$A$1:$I$89,5,0)</f>
        <v>253.79640000000001</v>
      </c>
      <c r="CV139" s="13">
        <f t="shared" si="149"/>
        <v>61.39816832228076</v>
      </c>
      <c r="CW139" s="20">
        <f t="shared" si="121"/>
        <v>548.96387316130563</v>
      </c>
      <c r="CX139" s="59">
        <f t="shared" si="122"/>
        <v>842.29720649463889</v>
      </c>
      <c r="CY139" s="59">
        <f ca="1">AVERAGE(OFFSET($CX$3,0,0,'Données projet'!$E$13+1,1))-AVERAGE(OFFSET($H$3,0,0,'Données projet'!$E$13+1,1))</f>
        <v>279.49721661620544</v>
      </c>
      <c r="CZ139" s="59">
        <f t="shared" si="150"/>
        <v>275.18739333988754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14.771502609116014</v>
      </c>
      <c r="DG139" s="21">
        <f>EXP(-LN(2)/25)*DG138+(1-EXP(-LN(2)/25))/(LN(2)/25)*Calculateur!DB139*Calculateur!DD139*VLOOKUP('Données projet'!$B$13,Paramètres!$A$1:$I$89,3,0)*0.475*44/12</f>
        <v>1.5972590868532957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16.368761695969312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-6.3550942286383367E-14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278.5296012747549</v>
      </c>
      <c r="T140" s="59">
        <f t="shared" si="142"/>
        <v>370.55343097937077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44.678544613879218</v>
      </c>
      <c r="AA140" s="21">
        <f>EXP(-LN(2)/25)*AA139+(1-EXP(-LN(2)/25))/(LN(2)/25)*Calculateur!V140*Calculateur!X140*VLOOKUP('Données projet'!$B$9,Paramètres!$A$1:$I$89,3,0)*0.475*44/12</f>
        <v>5.9306460116719721</v>
      </c>
      <c r="AB140" s="21">
        <f>EXP(-LN(2)/2)*AB139+(1-EXP(-LN(2)/2))/(LN(2)/2)*V140*Y140*VLOOKUP('Données projet'!$B$9,Paramètres!$A$1:$I$89,3,0)*0.475*44/12</f>
        <v>1.5534762498697307E-11</v>
      </c>
      <c r="AC140" s="22">
        <f t="shared" si="111"/>
        <v>50.609190625566725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-6.2527760746888816E-13</v>
      </c>
      <c r="AJ140" s="13">
        <f>AI140*VLOOKUP('Données projet'!$B$10,Paramètres!$A$1:$I$89,3,0)*VLOOKUP('Données projet'!$B$10,Paramètres!$A$1:$I$89,5,0)</f>
        <v>-3.0075852919253523E-13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255.05550867459038</v>
      </c>
      <c r="AO140" s="59">
        <f t="shared" si="144"/>
        <v>119.28597757550295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197.83677034713597</v>
      </c>
      <c r="AV140" s="21">
        <f>EXP(-LN(2)/25)*AV139+(1-EXP(-LN(2)/25))/(LN(2)/25)*Calculateur!AQ140*Calculateur!AS140*VLOOKUP('Données projet'!$B$10,Paramètres!$A$1:$I$89,3,0)*0.475*44/12</f>
        <v>44.222008484079282</v>
      </c>
      <c r="AW140" s="21">
        <f>EXP(-LN(2)/2)*AW139+(1-EXP(-LN(2)/2))/(LN(2)/2)*AQ140*AT140*VLOOKUP('Données projet'!$B$10,Paramètres!$A$1:$I$89,3,0)*0.475*44/12</f>
        <v>12.758063281575552</v>
      </c>
      <c r="AX140" s="21">
        <f t="shared" si="114"/>
        <v>254.81684211279079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1.1368683772161603E-12</v>
      </c>
      <c r="BE140" s="13">
        <f>BD140*VLOOKUP('Données projet'!$B$11,Paramètres!$A$1:$I$89,3,0)*VLOOKUP('Données projet'!$B$11,Paramètres!$A$1:$I$89,5,0)</f>
        <v>5.3205440053716299E-13</v>
      </c>
      <c r="BF140" s="13">
        <f t="shared" si="145"/>
        <v>6.579711042921201E-12</v>
      </c>
      <c r="BG140" s="20">
        <f t="shared" si="115"/>
        <v>1.2386324814023317E-11</v>
      </c>
      <c r="BH140" s="59">
        <f t="shared" si="116"/>
        <v>293.33333333334571</v>
      </c>
      <c r="BI140" s="59">
        <f ca="1">AVERAGE(OFFSET($BH$3,0,0,'Données projet'!$E$11+1,1))-AVERAGE(OFFSET($H$3,0,0,'Données projet'!$E$11+1,1))</f>
        <v>181.79645720099597</v>
      </c>
      <c r="BJ140" s="59">
        <f t="shared" si="146"/>
        <v>120.20040029102233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129.44902789476723</v>
      </c>
      <c r="BQ140" s="21">
        <f>EXP(-LN(2)/25)*BQ139+(1-EXP(-LN(2)/25))/(LN(2)/25)*Calculateur!BL140*Calculateur!BN140*VLOOKUP('Données projet'!$B$11,Paramètres!$A$1:$I$89,3,0)*0.475*44/12</f>
        <v>29.478511038538677</v>
      </c>
      <c r="BR140" s="21">
        <f>EXP(-LN(2)/2)*BR139+(1-EXP(-LN(2)/2))/(LN(2)/2)*BL140*BO140*VLOOKUP('Données projet'!$B$11,Paramètres!$A$1:$I$89,3,0)*0.475*44/12</f>
        <v>2.3267703526787851</v>
      </c>
      <c r="BS140" s="22">
        <f t="shared" si="117"/>
        <v>161.25430928598468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-3.979039320256561E-13</v>
      </c>
      <c r="BZ140" s="13">
        <f>BY140*VLOOKUP('Données projet'!$B$12,Paramètres!$A$1:$I$89,3,0)*VLOOKUP('Données projet'!$B$12,Paramètres!$A$1:$I$89,5,0)</f>
        <v>-2.379465513513424E-13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213.18424462765137</v>
      </c>
      <c r="CE140" s="59">
        <f t="shared" si="148"/>
        <v>158.77848520346532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46.004050796314409</v>
      </c>
      <c r="CL140" s="21">
        <f>EXP(-LN(2)/25)*CL139+(1-EXP(-LN(2)/25))/(LN(2)/25)*Calculateur!CG140*Calculateur!CI140*VLOOKUP('Données projet'!$B$12,Paramètres!$A$1:$I$89,3,0)*0.475*44/12</f>
        <v>7.044658424990919</v>
      </c>
      <c r="CM140" s="21">
        <f>EXP(-LN(2)/2)*CM139+(1-EXP(-LN(2)/2))/(LN(2)/2)*CG140*CJ140*VLOOKUP('Données projet'!$B$12,Paramètres!$A$1:$I$89,3,0)*0.475*44/12</f>
        <v>9.525562621978072E-8</v>
      </c>
      <c r="CN140" s="22">
        <f t="shared" si="120"/>
        <v>53.048709316560959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319</v>
      </c>
      <c r="CU140" s="17">
        <f>CT140*VLOOKUP('Données projet'!$B$13,Paramètres!$A$1:$I$89,3,0)*VLOOKUP('Données projet'!$B$13,Paramètres!$A$1:$I$89,5,0)</f>
        <v>253.79640000000001</v>
      </c>
      <c r="CV140" s="13">
        <f t="shared" si="149"/>
        <v>61.39816832228076</v>
      </c>
      <c r="CW140" s="20">
        <f t="shared" si="121"/>
        <v>548.96387316130563</v>
      </c>
      <c r="CX140" s="59">
        <f t="shared" si="122"/>
        <v>842.29720649463889</v>
      </c>
      <c r="CY140" s="59">
        <f ca="1">AVERAGE(OFFSET($CX$3,0,0,'Données projet'!$E$13+1,1))-AVERAGE(OFFSET($H$3,0,0,'Données projet'!$E$13+1,1))</f>
        <v>279.49721661620544</v>
      </c>
      <c r="CZ140" s="59">
        <f t="shared" si="150"/>
        <v>275.18739333988754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14.481842452678205</v>
      </c>
      <c r="DG140" s="21">
        <f>EXP(-LN(2)/25)*DG139+(1-EXP(-LN(2)/25))/(LN(2)/25)*Calculateur!DB140*Calculateur!DD140*VLOOKUP('Données projet'!$B$13,Paramètres!$A$1:$I$89,3,0)*0.475*44/12</f>
        <v>1.5535819531270876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16.035424405805291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-6.3550942286383367E-14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278.5296012747549</v>
      </c>
      <c r="T141" s="59">
        <f t="shared" si="142"/>
        <v>370.55343097937077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43.802425605222425</v>
      </c>
      <c r="AA141" s="21">
        <f>EXP(-LN(2)/25)*AA140+(1-EXP(-LN(2)/25))/(LN(2)/25)*Calculateur!V141*Calculateur!X141*VLOOKUP('Données projet'!$B$9,Paramètres!$A$1:$I$89,3,0)*0.475*44/12</f>
        <v>5.7684721846036826</v>
      </c>
      <c r="AB141" s="21">
        <f>EXP(-LN(2)/2)*AB140+(1-EXP(-LN(2)/2))/(LN(2)/2)*V141*Y141*VLOOKUP('Données projet'!$B$9,Paramètres!$A$1:$I$89,3,0)*0.475*44/12</f>
        <v>1.0984735906951341E-11</v>
      </c>
      <c r="AC141" s="22">
        <f t="shared" si="111"/>
        <v>49.57089778983709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-6.2527760746888816E-13</v>
      </c>
      <c r="AJ141" s="13">
        <f>AI141*VLOOKUP('Données projet'!$B$10,Paramètres!$A$1:$I$89,3,0)*VLOOKUP('Données projet'!$B$10,Paramètres!$A$1:$I$89,5,0)</f>
        <v>-3.0075852919253523E-13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255.05550867459038</v>
      </c>
      <c r="AO141" s="59">
        <f t="shared" si="144"/>
        <v>119.28597757550295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193.95731194914353</v>
      </c>
      <c r="AV141" s="21">
        <f>EXP(-LN(2)/25)*AV140+(1-EXP(-LN(2)/25))/(LN(2)/25)*Calculateur!AQ141*Calculateur!AS141*VLOOKUP('Données projet'!$B$10,Paramètres!$A$1:$I$89,3,0)*0.475*44/12</f>
        <v>43.012755336547777</v>
      </c>
      <c r="AW141" s="21">
        <f>EXP(-LN(2)/2)*AW140+(1-EXP(-LN(2)/2))/(LN(2)/2)*AQ141*AT141*VLOOKUP('Données projet'!$B$10,Paramètres!$A$1:$I$89,3,0)*0.475*44/12</f>
        <v>9.0213130612091703</v>
      </c>
      <c r="AX141" s="21">
        <f t="shared" si="114"/>
        <v>245.99138034690048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1.1368683772161603E-12</v>
      </c>
      <c r="BE141" s="13">
        <f>BD141*VLOOKUP('Données projet'!$B$11,Paramètres!$A$1:$I$89,3,0)*VLOOKUP('Données projet'!$B$11,Paramètres!$A$1:$I$89,5,0)</f>
        <v>5.3205440053716299E-13</v>
      </c>
      <c r="BF141" s="13">
        <f t="shared" si="145"/>
        <v>6.579711042921201E-12</v>
      </c>
      <c r="BG141" s="20">
        <f t="shared" si="115"/>
        <v>1.2386324814023317E-11</v>
      </c>
      <c r="BH141" s="59">
        <f t="shared" si="116"/>
        <v>293.33333333334571</v>
      </c>
      <c r="BI141" s="59">
        <f ca="1">AVERAGE(OFFSET($BH$3,0,0,'Données projet'!$E$11+1,1))-AVERAGE(OFFSET($H$3,0,0,'Données projet'!$E$11+1,1))</f>
        <v>181.79645720099597</v>
      </c>
      <c r="BJ141" s="59">
        <f t="shared" si="146"/>
        <v>120.20040029102233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126.91061141386159</v>
      </c>
      <c r="BQ141" s="21">
        <f>EXP(-LN(2)/25)*BQ140+(1-EXP(-LN(2)/25))/(LN(2)/25)*Calculateur!BL141*Calculateur!BN141*VLOOKUP('Données projet'!$B$11,Paramètres!$A$1:$I$89,3,0)*0.475*44/12</f>
        <v>28.672419603982316</v>
      </c>
      <c r="BR141" s="21">
        <f>EXP(-LN(2)/2)*BR140+(1-EXP(-LN(2)/2))/(LN(2)/2)*BL141*BO141*VLOOKUP('Données projet'!$B$11,Paramètres!$A$1:$I$89,3,0)*0.475*44/12</f>
        <v>1.6452750946429837</v>
      </c>
      <c r="BS141" s="22">
        <f t="shared" si="117"/>
        <v>157.22830611248688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-3.979039320256561E-13</v>
      </c>
      <c r="BZ141" s="13">
        <f>BY141*VLOOKUP('Données projet'!$B$12,Paramètres!$A$1:$I$89,3,0)*VLOOKUP('Données projet'!$B$12,Paramètres!$A$1:$I$89,5,0)</f>
        <v>-2.379465513513424E-13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213.18424462765137</v>
      </c>
      <c r="CE141" s="59">
        <f t="shared" si="148"/>
        <v>158.77848520346532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45.101939419899004</v>
      </c>
      <c r="CL141" s="21">
        <f>EXP(-LN(2)/25)*CL140+(1-EXP(-LN(2)/25))/(LN(2)/25)*Calculateur!CG141*Calculateur!CI141*VLOOKUP('Données projet'!$B$12,Paramètres!$A$1:$I$89,3,0)*0.475*44/12</f>
        <v>6.8520218698970563</v>
      </c>
      <c r="CM141" s="21">
        <f>EXP(-LN(2)/2)*CM140+(1-EXP(-LN(2)/2))/(LN(2)/2)*CG141*CJ141*VLOOKUP('Données projet'!$B$12,Paramètres!$A$1:$I$89,3,0)*0.475*44/12</f>
        <v>6.7355899246178045E-8</v>
      </c>
      <c r="CN141" s="22">
        <f t="shared" si="120"/>
        <v>51.953961357151961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319</v>
      </c>
      <c r="CU141" s="17">
        <f>CT141*VLOOKUP('Données projet'!$B$13,Paramètres!$A$1:$I$89,3,0)*VLOOKUP('Données projet'!$B$13,Paramètres!$A$1:$I$89,5,0)</f>
        <v>253.79640000000001</v>
      </c>
      <c r="CV141" s="13">
        <f t="shared" si="149"/>
        <v>61.39816832228076</v>
      </c>
      <c r="CW141" s="20">
        <f t="shared" si="121"/>
        <v>548.96387316130563</v>
      </c>
      <c r="CX141" s="59">
        <f t="shared" si="122"/>
        <v>842.29720649463889</v>
      </c>
      <c r="CY141" s="59">
        <f ca="1">AVERAGE(OFFSET($CX$3,0,0,'Données projet'!$E$13+1,1))-AVERAGE(OFFSET($H$3,0,0,'Données projet'!$E$13+1,1))</f>
        <v>279.49721661620544</v>
      </c>
      <c r="CZ141" s="59">
        <f t="shared" si="150"/>
        <v>275.18739333988754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14.197862355232889</v>
      </c>
      <c r="DG141" s="21">
        <f>EXP(-LN(2)/25)*DG140+(1-EXP(-LN(2)/25))/(LN(2)/25)*Calculateur!DB141*Calculateur!DD141*VLOOKUP('Données projet'!$B$13,Paramètres!$A$1:$I$89,3,0)*0.475*44/12</f>
        <v>1.5110991729195031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15.708961528152392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-6.3550942286383367E-14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278.5296012747549</v>
      </c>
      <c r="T142" s="59">
        <f t="shared" si="142"/>
        <v>370.55343097937077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42.943486755945564</v>
      </c>
      <c r="AA142" s="21">
        <f>EXP(-LN(2)/25)*AA141+(1-EXP(-LN(2)/25))/(LN(2)/25)*Calculateur!V142*Calculateur!X142*VLOOKUP('Données projet'!$B$9,Paramètres!$A$1:$I$89,3,0)*0.475*44/12</f>
        <v>5.6107330093649264</v>
      </c>
      <c r="AB142" s="21">
        <f>EXP(-LN(2)/2)*AB141+(1-EXP(-LN(2)/2))/(LN(2)/2)*V142*Y142*VLOOKUP('Données projet'!$B$9,Paramètres!$A$1:$I$89,3,0)*0.475*44/12</f>
        <v>7.7673812493486533E-12</v>
      </c>
      <c r="AC142" s="22">
        <f t="shared" si="111"/>
        <v>48.554219765318258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-6.2527760746888816E-13</v>
      </c>
      <c r="AJ142" s="13">
        <f>AI142*VLOOKUP('Données projet'!$B$10,Paramètres!$A$1:$I$89,3,0)*VLOOKUP('Données projet'!$B$10,Paramètres!$A$1:$I$89,5,0)</f>
        <v>-3.0075852919253523E-13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255.05550867459038</v>
      </c>
      <c r="AO142" s="59">
        <f t="shared" si="144"/>
        <v>119.28597757550295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190.15392736409973</v>
      </c>
      <c r="AV142" s="21">
        <f>EXP(-LN(2)/25)*AV141+(1-EXP(-LN(2)/25))/(LN(2)/25)*Calculateur!AQ142*Calculateur!AS142*VLOOKUP('Données projet'!$B$10,Paramètres!$A$1:$I$89,3,0)*0.475*44/12</f>
        <v>41.836569279927382</v>
      </c>
      <c r="AW142" s="21">
        <f>EXP(-LN(2)/2)*AW141+(1-EXP(-LN(2)/2))/(LN(2)/2)*AQ142*AT142*VLOOKUP('Données projet'!$B$10,Paramètres!$A$1:$I$89,3,0)*0.475*44/12</f>
        <v>6.3790316407877761</v>
      </c>
      <c r="AX142" s="21">
        <f t="shared" si="114"/>
        <v>238.36952828481489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1.1368683772161603E-12</v>
      </c>
      <c r="BE142" s="13">
        <f>BD142*VLOOKUP('Données projet'!$B$11,Paramètres!$A$1:$I$89,3,0)*VLOOKUP('Données projet'!$B$11,Paramètres!$A$1:$I$89,5,0)</f>
        <v>5.3205440053716299E-13</v>
      </c>
      <c r="BF142" s="13">
        <f t="shared" si="145"/>
        <v>6.579711042921201E-12</v>
      </c>
      <c r="BG142" s="20">
        <f t="shared" si="115"/>
        <v>1.2386324814023317E-11</v>
      </c>
      <c r="BH142" s="59">
        <f t="shared" si="116"/>
        <v>293.33333333334571</v>
      </c>
      <c r="BI142" s="59">
        <f ca="1">AVERAGE(OFFSET($BH$3,0,0,'Données projet'!$E$11+1,1))-AVERAGE(OFFSET($H$3,0,0,'Données projet'!$E$11+1,1))</f>
        <v>181.79645720099597</v>
      </c>
      <c r="BJ142" s="59">
        <f t="shared" si="146"/>
        <v>120.20040029102233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124.42197173186534</v>
      </c>
      <c r="BQ142" s="21">
        <f>EXP(-LN(2)/25)*BQ141+(1-EXP(-LN(2)/25))/(LN(2)/25)*Calculateur!BL142*Calculateur!BN142*VLOOKUP('Données projet'!$B$11,Paramètres!$A$1:$I$89,3,0)*0.475*44/12</f>
        <v>27.888370782094405</v>
      </c>
      <c r="BR142" s="21">
        <f>EXP(-LN(2)/2)*BR141+(1-EXP(-LN(2)/2))/(LN(2)/2)*BL142*BO142*VLOOKUP('Données projet'!$B$11,Paramètres!$A$1:$I$89,3,0)*0.475*44/12</f>
        <v>1.1633851763393925</v>
      </c>
      <c r="BS142" s="22">
        <f t="shared" si="117"/>
        <v>153.47372769029914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-3.979039320256561E-13</v>
      </c>
      <c r="BZ142" s="13">
        <f>BY142*VLOOKUP('Données projet'!$B$12,Paramètres!$A$1:$I$89,3,0)*VLOOKUP('Données projet'!$B$12,Paramètres!$A$1:$I$89,5,0)</f>
        <v>-2.379465513513424E-13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213.18424462765137</v>
      </c>
      <c r="CE142" s="59">
        <f t="shared" si="148"/>
        <v>158.77848520346532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44.217517897341494</v>
      </c>
      <c r="CL142" s="21">
        <f>EXP(-LN(2)/25)*CL141+(1-EXP(-LN(2)/25))/(LN(2)/25)*Calculateur!CG142*Calculateur!CI142*VLOOKUP('Données projet'!$B$12,Paramètres!$A$1:$I$89,3,0)*0.475*44/12</f>
        <v>6.6646529715325515</v>
      </c>
      <c r="CM142" s="21">
        <f>EXP(-LN(2)/2)*CM141+(1-EXP(-LN(2)/2))/(LN(2)/2)*CG142*CJ142*VLOOKUP('Données projet'!$B$12,Paramètres!$A$1:$I$89,3,0)*0.475*44/12</f>
        <v>4.762781310989036E-8</v>
      </c>
      <c r="CN142" s="22">
        <f t="shared" si="120"/>
        <v>50.882170916501863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319</v>
      </c>
      <c r="CU142" s="17">
        <f>CT142*VLOOKUP('Données projet'!$B$13,Paramètres!$A$1:$I$89,3,0)*VLOOKUP('Données projet'!$B$13,Paramètres!$A$1:$I$89,5,0)</f>
        <v>253.79640000000001</v>
      </c>
      <c r="CV142" s="13">
        <f t="shared" si="149"/>
        <v>61.39816832228076</v>
      </c>
      <c r="CW142" s="20">
        <f t="shared" si="121"/>
        <v>548.96387316130563</v>
      </c>
      <c r="CX142" s="59">
        <f t="shared" si="122"/>
        <v>842.29720649463889</v>
      </c>
      <c r="CY142" s="59">
        <f ca="1">AVERAGE(OFFSET($CX$3,0,0,'Données projet'!$E$13+1,1))-AVERAGE(OFFSET($H$3,0,0,'Données projet'!$E$13+1,1))</f>
        <v>279.49721661620544</v>
      </c>
      <c r="CZ142" s="59">
        <f t="shared" si="150"/>
        <v>275.18739333988754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13.91945093428772</v>
      </c>
      <c r="DG142" s="21">
        <f>EXP(-LN(2)/25)*DG141+(1-EXP(-LN(2)/25))/(LN(2)/25)*Calculateur!DB142*Calculateur!DD142*VLOOKUP('Données projet'!$B$13,Paramètres!$A$1:$I$89,3,0)*0.475*44/12</f>
        <v>1.4697780865707675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15.389229020858489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-6.3550942286383367E-14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278.5296012747549</v>
      </c>
      <c r="T143" s="59">
        <f t="shared" si="142"/>
        <v>370.55343097937077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42.101391173602053</v>
      </c>
      <c r="AA143" s="21">
        <f>EXP(-LN(2)/25)*AA142+(1-EXP(-LN(2)/25))/(LN(2)/25)*Calculateur!V143*Calculateur!X143*VLOOKUP('Données projet'!$B$9,Paramètres!$A$1:$I$89,3,0)*0.475*44/12</f>
        <v>5.4573072201682171</v>
      </c>
      <c r="AB143" s="21">
        <f>EXP(-LN(2)/2)*AB142+(1-EXP(-LN(2)/2))/(LN(2)/2)*V143*Y143*VLOOKUP('Données projet'!$B$9,Paramètres!$A$1:$I$89,3,0)*0.475*44/12</f>
        <v>5.4923679534756703E-12</v>
      </c>
      <c r="AC143" s="22">
        <f t="shared" si="111"/>
        <v>47.558698393775764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-6.2527760746888816E-13</v>
      </c>
      <c r="AJ143" s="13">
        <f>AI143*VLOOKUP('Données projet'!$B$10,Paramètres!$A$1:$I$89,3,0)*VLOOKUP('Données projet'!$B$10,Paramètres!$A$1:$I$89,5,0)</f>
        <v>-3.0075852919253523E-13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255.05550867459038</v>
      </c>
      <c r="AO143" s="59">
        <f t="shared" si="144"/>
        <v>119.28597757550295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186.4251248309331</v>
      </c>
      <c r="AV143" s="21">
        <f>EXP(-LN(2)/25)*AV142+(1-EXP(-LN(2)/25))/(LN(2)/25)*Calculateur!AQ143*Calculateur!AS143*VLOOKUP('Données projet'!$B$10,Paramètres!$A$1:$I$89,3,0)*0.475*44/12</f>
        <v>40.69254609287821</v>
      </c>
      <c r="AW143" s="21">
        <f>EXP(-LN(2)/2)*AW142+(1-EXP(-LN(2)/2))/(LN(2)/2)*AQ143*AT143*VLOOKUP('Données projet'!$B$10,Paramètres!$A$1:$I$89,3,0)*0.475*44/12</f>
        <v>4.5106565306045852</v>
      </c>
      <c r="AX143" s="21">
        <f t="shared" si="114"/>
        <v>231.62832745441591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1.1368683772161603E-12</v>
      </c>
      <c r="BE143" s="13">
        <f>BD143*VLOOKUP('Données projet'!$B$11,Paramètres!$A$1:$I$89,3,0)*VLOOKUP('Données projet'!$B$11,Paramètres!$A$1:$I$89,5,0)</f>
        <v>5.3205440053716299E-13</v>
      </c>
      <c r="BF143" s="13">
        <f t="shared" si="145"/>
        <v>6.579711042921201E-12</v>
      </c>
      <c r="BG143" s="20">
        <f t="shared" si="115"/>
        <v>1.2386324814023317E-11</v>
      </c>
      <c r="BH143" s="59">
        <f t="shared" si="116"/>
        <v>293.33333333334571</v>
      </c>
      <c r="BI143" s="59">
        <f ca="1">AVERAGE(OFFSET($BH$3,0,0,'Données projet'!$E$11+1,1))-AVERAGE(OFFSET($H$3,0,0,'Données projet'!$E$11+1,1))</f>
        <v>181.79645720099597</v>
      </c>
      <c r="BJ143" s="59">
        <f t="shared" si="146"/>
        <v>120.20040029102233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121.9821327561127</v>
      </c>
      <c r="BQ143" s="21">
        <f>EXP(-LN(2)/25)*BQ142+(1-EXP(-LN(2)/25))/(LN(2)/25)*Calculateur!BL143*Calculateur!BN143*VLOOKUP('Données projet'!$B$11,Paramètres!$A$1:$I$89,3,0)*0.475*44/12</f>
        <v>27.125761816472355</v>
      </c>
      <c r="BR143" s="21">
        <f>EXP(-LN(2)/2)*BR142+(1-EXP(-LN(2)/2))/(LN(2)/2)*BL143*BO143*VLOOKUP('Données projet'!$B$11,Paramètres!$A$1:$I$89,3,0)*0.475*44/12</f>
        <v>0.82263754732149186</v>
      </c>
      <c r="BS143" s="22">
        <f t="shared" si="117"/>
        <v>149.93053211990656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-3.979039320256561E-13</v>
      </c>
      <c r="BZ143" s="13">
        <f>BY143*VLOOKUP('Données projet'!$B$12,Paramètres!$A$1:$I$89,3,0)*VLOOKUP('Données projet'!$B$12,Paramètres!$A$1:$I$89,5,0)</f>
        <v>-2.379465513513424E-13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213.18424462765137</v>
      </c>
      <c r="CE143" s="59">
        <f t="shared" si="148"/>
        <v>158.77848520346532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43.350439341397475</v>
      </c>
      <c r="CL143" s="21">
        <f>EXP(-LN(2)/25)*CL142+(1-EXP(-LN(2)/25))/(LN(2)/25)*Calculateur!CG143*Calculateur!CI143*VLOOKUP('Données projet'!$B$12,Paramètres!$A$1:$I$89,3,0)*0.475*44/12</f>
        <v>6.482407685547126</v>
      </c>
      <c r="CM143" s="21">
        <f>EXP(-LN(2)/2)*CM142+(1-EXP(-LN(2)/2))/(LN(2)/2)*CG143*CJ143*VLOOKUP('Données projet'!$B$12,Paramètres!$A$1:$I$89,3,0)*0.475*44/12</f>
        <v>3.3677949623089022E-8</v>
      </c>
      <c r="CN143" s="22">
        <f t="shared" si="120"/>
        <v>49.832847060622548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319</v>
      </c>
      <c r="CU143" s="17">
        <f>CT143*VLOOKUP('Données projet'!$B$13,Paramètres!$A$1:$I$89,3,0)*VLOOKUP('Données projet'!$B$13,Paramètres!$A$1:$I$89,5,0)</f>
        <v>253.79640000000001</v>
      </c>
      <c r="CV143" s="13">
        <f t="shared" si="149"/>
        <v>61.39816832228076</v>
      </c>
      <c r="CW143" s="20">
        <f t="shared" si="121"/>
        <v>548.96387316130563</v>
      </c>
      <c r="CX143" s="59">
        <f t="shared" si="122"/>
        <v>842.29720649463889</v>
      </c>
      <c r="CY143" s="59">
        <f ca="1">AVERAGE(OFFSET($CX$3,0,0,'Données projet'!$E$13+1,1))-AVERAGE(OFFSET($H$3,0,0,'Données projet'!$E$13+1,1))</f>
        <v>279.49721661620544</v>
      </c>
      <c r="CZ143" s="59">
        <f t="shared" si="150"/>
        <v>275.18739333988754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13.646498991493088</v>
      </c>
      <c r="DG143" s="21">
        <f>EXP(-LN(2)/25)*DG142+(1-EXP(-LN(2)/25))/(LN(2)/25)*Calculateur!DB143*Calculateur!DD143*VLOOKUP('Données projet'!$B$13,Paramètres!$A$1:$I$89,3,0)*0.475*44/12</f>
        <v>1.4295869275012194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15.076085918994307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-6.3550942286383367E-14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278.5296012747549</v>
      </c>
      <c r="T144" s="59">
        <f t="shared" si="142"/>
        <v>370.55343097937077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41.275808572000713</v>
      </c>
      <c r="AA144" s="21">
        <f>EXP(-LN(2)/25)*AA143+(1-EXP(-LN(2)/25))/(LN(2)/25)*Calculateur!V144*Calculateur!X144*VLOOKUP('Données projet'!$B$9,Paramètres!$A$1:$I$89,3,0)*0.475*44/12</f>
        <v>5.3080768672454033</v>
      </c>
      <c r="AB144" s="21">
        <f>EXP(-LN(2)/2)*AB143+(1-EXP(-LN(2)/2))/(LN(2)/2)*V144*Y144*VLOOKUP('Données projet'!$B$9,Paramètres!$A$1:$I$89,3,0)*0.475*44/12</f>
        <v>3.8836906246743267E-12</v>
      </c>
      <c r="AC144" s="22">
        <f t="shared" si="111"/>
        <v>46.583885439250004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-6.2527760746888816E-13</v>
      </c>
      <c r="AJ144" s="13">
        <f>AI144*VLOOKUP('Données projet'!$B$10,Paramètres!$A$1:$I$89,3,0)*VLOOKUP('Données projet'!$B$10,Paramètres!$A$1:$I$89,5,0)</f>
        <v>-3.0075852919253523E-13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255.05550867459038</v>
      </c>
      <c r="AO144" s="59">
        <f t="shared" si="144"/>
        <v>119.28597757550295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182.76944184109692</v>
      </c>
      <c r="AV144" s="21">
        <f>EXP(-LN(2)/25)*AV143+(1-EXP(-LN(2)/25))/(LN(2)/25)*Calculateur!AQ144*Calculateur!AS144*VLOOKUP('Données projet'!$B$10,Paramètres!$A$1:$I$89,3,0)*0.475*44/12</f>
        <v>39.579806280040458</v>
      </c>
      <c r="AW144" s="21">
        <f>EXP(-LN(2)/2)*AW143+(1-EXP(-LN(2)/2))/(LN(2)/2)*AQ144*AT144*VLOOKUP('Données projet'!$B$10,Paramètres!$A$1:$I$89,3,0)*0.475*44/12</f>
        <v>3.189515820393888</v>
      </c>
      <c r="AX144" s="21">
        <f t="shared" si="114"/>
        <v>225.53876394153127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1.1368683772161603E-12</v>
      </c>
      <c r="BE144" s="13">
        <f>BD144*VLOOKUP('Données projet'!$B$11,Paramètres!$A$1:$I$89,3,0)*VLOOKUP('Données projet'!$B$11,Paramètres!$A$1:$I$89,5,0)</f>
        <v>5.3205440053716299E-13</v>
      </c>
      <c r="BF144" s="13">
        <f t="shared" si="145"/>
        <v>6.579711042921201E-12</v>
      </c>
      <c r="BG144" s="20">
        <f t="shared" si="115"/>
        <v>1.2386324814023317E-11</v>
      </c>
      <c r="BH144" s="59">
        <f t="shared" si="116"/>
        <v>293.33333333334571</v>
      </c>
      <c r="BI144" s="59">
        <f ca="1">AVERAGE(OFFSET($BH$3,0,0,'Données projet'!$E$11+1,1))-AVERAGE(OFFSET($H$3,0,0,'Données projet'!$E$11+1,1))</f>
        <v>181.79645720099597</v>
      </c>
      <c r="BJ144" s="59">
        <f t="shared" si="146"/>
        <v>120.20040029102233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119.59013753451976</v>
      </c>
      <c r="BQ144" s="21">
        <f>EXP(-LN(2)/25)*BQ143+(1-EXP(-LN(2)/25))/(LN(2)/25)*Calculateur!BL144*Calculateur!BN144*VLOOKUP('Données projet'!$B$11,Paramètres!$A$1:$I$89,3,0)*0.475*44/12</f>
        <v>26.384006433119101</v>
      </c>
      <c r="BR144" s="21">
        <f>EXP(-LN(2)/2)*BR143+(1-EXP(-LN(2)/2))/(LN(2)/2)*BL144*BO144*VLOOKUP('Données projet'!$B$11,Paramètres!$A$1:$I$89,3,0)*0.475*44/12</f>
        <v>0.58169258816969627</v>
      </c>
      <c r="BS144" s="22">
        <f t="shared" si="117"/>
        <v>146.55583655580855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-3.979039320256561E-13</v>
      </c>
      <c r="BZ144" s="13">
        <f>BY144*VLOOKUP('Données projet'!$B$12,Paramètres!$A$1:$I$89,3,0)*VLOOKUP('Données projet'!$B$12,Paramètres!$A$1:$I$89,5,0)</f>
        <v>-2.379465513513424E-13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213.18424462765137</v>
      </c>
      <c r="CE144" s="59">
        <f t="shared" si="148"/>
        <v>158.77848520346532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42.50036366706982</v>
      </c>
      <c r="CL144" s="21">
        <f>EXP(-LN(2)/25)*CL143+(1-EXP(-LN(2)/25))/(LN(2)/25)*Calculateur!CG144*Calculateur!CI144*VLOOKUP('Données projet'!$B$12,Paramètres!$A$1:$I$89,3,0)*0.475*44/12</f>
        <v>6.3051459064908357</v>
      </c>
      <c r="CM144" s="21">
        <f>EXP(-LN(2)/2)*CM143+(1-EXP(-LN(2)/2))/(LN(2)/2)*CG144*CJ144*VLOOKUP('Données projet'!$B$12,Paramètres!$A$1:$I$89,3,0)*0.475*44/12</f>
        <v>2.381390655494518E-8</v>
      </c>
      <c r="CN144" s="22">
        <f t="shared" si="120"/>
        <v>48.805509597374559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319</v>
      </c>
      <c r="CU144" s="17">
        <f>CT144*VLOOKUP('Données projet'!$B$13,Paramètres!$A$1:$I$89,3,0)*VLOOKUP('Données projet'!$B$13,Paramètres!$A$1:$I$89,5,0)</f>
        <v>253.79640000000001</v>
      </c>
      <c r="CV144" s="13">
        <f t="shared" si="149"/>
        <v>61.39816832228076</v>
      </c>
      <c r="CW144" s="20">
        <f t="shared" si="121"/>
        <v>548.96387316130563</v>
      </c>
      <c r="CX144" s="59">
        <f t="shared" si="122"/>
        <v>842.29720649463889</v>
      </c>
      <c r="CY144" s="59">
        <f ca="1">AVERAGE(OFFSET($CX$3,0,0,'Données projet'!$E$13+1,1))-AVERAGE(OFFSET($H$3,0,0,'Données projet'!$E$13+1,1))</f>
        <v>279.49721661620544</v>
      </c>
      <c r="CZ144" s="59">
        <f t="shared" si="150"/>
        <v>275.18739333988754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13.378899469812412</v>
      </c>
      <c r="DG144" s="21">
        <f>EXP(-LN(2)/25)*DG143+(1-EXP(-LN(2)/25))/(LN(2)/25)*Calculateur!DB144*Calculateur!DD144*VLOOKUP('Données projet'!$B$13,Paramètres!$A$1:$I$89,3,0)*0.475*44/12</f>
        <v>1.3904947977899893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14.769394267602401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-6.3550942286383367E-14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278.5296012747549</v>
      </c>
      <c r="T145" s="59">
        <f t="shared" si="142"/>
        <v>370.55343097937077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40.466415141661109</v>
      </c>
      <c r="AA145" s="21">
        <f>EXP(-LN(2)/25)*AA144+(1-EXP(-LN(2)/25))/(LN(2)/25)*Calculateur!V145*Calculateur!X145*VLOOKUP('Données projet'!$B$9,Paramètres!$A$1:$I$89,3,0)*0.475*44/12</f>
        <v>5.1629272261709467</v>
      </c>
      <c r="AB145" s="21">
        <f>EXP(-LN(2)/2)*AB144+(1-EXP(-LN(2)/2))/(LN(2)/2)*V145*Y145*VLOOKUP('Données projet'!$B$9,Paramètres!$A$1:$I$89,3,0)*0.475*44/12</f>
        <v>2.7461839767378352E-12</v>
      </c>
      <c r="AC145" s="22">
        <f t="shared" si="111"/>
        <v>45.629342367834795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-6.2527760746888816E-13</v>
      </c>
      <c r="AJ145" s="13">
        <f>AI145*VLOOKUP('Données projet'!$B$10,Paramètres!$A$1:$I$89,3,0)*VLOOKUP('Données projet'!$B$10,Paramètres!$A$1:$I$89,5,0)</f>
        <v>-3.0075852919253523E-13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255.05550867459038</v>
      </c>
      <c r="AO145" s="59">
        <f t="shared" si="144"/>
        <v>119.28597757550295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179.18544456494496</v>
      </c>
      <c r="AV145" s="21">
        <f>EXP(-LN(2)/25)*AV144+(1-EXP(-LN(2)/25))/(LN(2)/25)*Calculateur!AQ145*Calculateur!AS145*VLOOKUP('Données projet'!$B$10,Paramètres!$A$1:$I$89,3,0)*0.475*44/12</f>
        <v>38.497494395901199</v>
      </c>
      <c r="AW145" s="21">
        <f>EXP(-LN(2)/2)*AW144+(1-EXP(-LN(2)/2))/(LN(2)/2)*AQ145*AT145*VLOOKUP('Données projet'!$B$10,Paramètres!$A$1:$I$89,3,0)*0.475*44/12</f>
        <v>2.2553282653022926</v>
      </c>
      <c r="AX145" s="21">
        <f t="shared" si="114"/>
        <v>219.93826722614847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1.1368683772161603E-12</v>
      </c>
      <c r="BE145" s="13">
        <f>BD145*VLOOKUP('Données projet'!$B$11,Paramètres!$A$1:$I$89,3,0)*VLOOKUP('Données projet'!$B$11,Paramètres!$A$1:$I$89,5,0)</f>
        <v>5.3205440053716299E-13</v>
      </c>
      <c r="BF145" s="13">
        <f t="shared" si="145"/>
        <v>6.579711042921201E-12</v>
      </c>
      <c r="BG145" s="20">
        <f t="shared" si="115"/>
        <v>1.2386324814023317E-11</v>
      </c>
      <c r="BH145" s="59">
        <f t="shared" si="116"/>
        <v>293.33333333334571</v>
      </c>
      <c r="BI145" s="59">
        <f ca="1">AVERAGE(OFFSET($BH$3,0,0,'Données projet'!$E$11+1,1))-AVERAGE(OFFSET($H$3,0,0,'Données projet'!$E$11+1,1))</f>
        <v>181.79645720099597</v>
      </c>
      <c r="BJ145" s="59">
        <f t="shared" si="146"/>
        <v>120.20040029102233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117.24504788024922</v>
      </c>
      <c r="BQ145" s="21">
        <f>EXP(-LN(2)/25)*BQ144+(1-EXP(-LN(2)/25))/(LN(2)/25)*Calculateur!BL145*Calculateur!BN145*VLOOKUP('Données projet'!$B$11,Paramètres!$A$1:$I$89,3,0)*0.475*44/12</f>
        <v>25.662534389730862</v>
      </c>
      <c r="BR145" s="21">
        <f>EXP(-LN(2)/2)*BR144+(1-EXP(-LN(2)/2))/(LN(2)/2)*BL145*BO145*VLOOKUP('Données projet'!$B$11,Paramètres!$A$1:$I$89,3,0)*0.475*44/12</f>
        <v>0.41131877366074593</v>
      </c>
      <c r="BS145" s="22">
        <f t="shared" si="117"/>
        <v>143.31890104364084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-3.979039320256561E-13</v>
      </c>
      <c r="BZ145" s="13">
        <f>BY145*VLOOKUP('Données projet'!$B$12,Paramètres!$A$1:$I$89,3,0)*VLOOKUP('Données projet'!$B$12,Paramètres!$A$1:$I$89,5,0)</f>
        <v>-2.379465513513424E-13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213.18424462765137</v>
      </c>
      <c r="CE145" s="59">
        <f t="shared" si="148"/>
        <v>158.77848520346532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41.666957458220764</v>
      </c>
      <c r="CL145" s="21">
        <f>EXP(-LN(2)/25)*CL144+(1-EXP(-LN(2)/25))/(LN(2)/25)*Calculateur!CG145*Calculateur!CI145*VLOOKUP('Données projet'!$B$12,Paramètres!$A$1:$I$89,3,0)*0.475*44/12</f>
        <v>6.1327313601046312</v>
      </c>
      <c r="CM145" s="21">
        <f>EXP(-LN(2)/2)*CM144+(1-EXP(-LN(2)/2))/(LN(2)/2)*CG145*CJ145*VLOOKUP('Données projet'!$B$12,Paramètres!$A$1:$I$89,3,0)*0.475*44/12</f>
        <v>1.6838974811544511E-8</v>
      </c>
      <c r="CN145" s="22">
        <f t="shared" si="120"/>
        <v>47.799688835164368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319</v>
      </c>
      <c r="CU145" s="17">
        <f>CT145*VLOOKUP('Données projet'!$B$13,Paramètres!$A$1:$I$89,3,0)*VLOOKUP('Données projet'!$B$13,Paramètres!$A$1:$I$89,5,0)</f>
        <v>253.79640000000001</v>
      </c>
      <c r="CV145" s="13">
        <f t="shared" si="149"/>
        <v>61.39816832228076</v>
      </c>
      <c r="CW145" s="20">
        <f t="shared" si="121"/>
        <v>548.96387316130563</v>
      </c>
      <c r="CX145" s="59">
        <f t="shared" si="122"/>
        <v>842.29720649463889</v>
      </c>
      <c r="CY145" s="59">
        <f ca="1">AVERAGE(OFFSET($CX$3,0,0,'Données projet'!$E$13+1,1))-AVERAGE(OFFSET($H$3,0,0,'Données projet'!$E$13+1,1))</f>
        <v>279.49721661620544</v>
      </c>
      <c r="CZ145" s="59">
        <f t="shared" si="150"/>
        <v>275.18739333988754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13.116547411532302</v>
      </c>
      <c r="DG145" s="21">
        <f>EXP(-LN(2)/25)*DG144+(1-EXP(-LN(2)/25))/(LN(2)/25)*Calculateur!DB145*Calculateur!DD145*VLOOKUP('Données projet'!$B$13,Paramètres!$A$1:$I$89,3,0)*0.475*44/12</f>
        <v>1.3524716444214786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14.469019055953781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-6.3550942286383367E-14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278.5296012747549</v>
      </c>
      <c r="T146" s="59">
        <f t="shared" si="142"/>
        <v>370.55343097937077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39.672893422809217</v>
      </c>
      <c r="AA146" s="21">
        <f>EXP(-LN(2)/25)*AA145+(1-EXP(-LN(2)/25))/(LN(2)/25)*Calculateur!V146*Calculateur!X146*VLOOKUP('Données projet'!$B$9,Paramètres!$A$1:$I$89,3,0)*0.475*44/12</f>
        <v>5.0217467096647592</v>
      </c>
      <c r="AB146" s="21">
        <f>EXP(-LN(2)/2)*AB145+(1-EXP(-LN(2)/2))/(LN(2)/2)*V146*Y146*VLOOKUP('Données projet'!$B$9,Paramètres!$A$1:$I$89,3,0)*0.475*44/12</f>
        <v>1.9418453123371633E-12</v>
      </c>
      <c r="AC146" s="22">
        <f t="shared" si="111"/>
        <v>44.694640132475918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-6.2527760746888816E-13</v>
      </c>
      <c r="AJ146" s="13">
        <f>AI146*VLOOKUP('Données projet'!$B$10,Paramètres!$A$1:$I$89,3,0)*VLOOKUP('Données projet'!$B$10,Paramètres!$A$1:$I$89,5,0)</f>
        <v>-3.0075852919253523E-13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255.05550867459038</v>
      </c>
      <c r="AO146" s="59">
        <f t="shared" si="144"/>
        <v>119.28597757550295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175.67172728935586</v>
      </c>
      <c r="AV146" s="21">
        <f>EXP(-LN(2)/25)*AV145+(1-EXP(-LN(2)/25))/(LN(2)/25)*Calculateur!AQ146*Calculateur!AS146*VLOOKUP('Données projet'!$B$10,Paramètres!$A$1:$I$89,3,0)*0.475*44/12</f>
        <v>37.444778387150038</v>
      </c>
      <c r="AW146" s="21">
        <f>EXP(-LN(2)/2)*AW145+(1-EXP(-LN(2)/2))/(LN(2)/2)*AQ146*AT146*VLOOKUP('Données projet'!$B$10,Paramètres!$A$1:$I$89,3,0)*0.475*44/12</f>
        <v>1.594757910196944</v>
      </c>
      <c r="AX146" s="21">
        <f t="shared" si="114"/>
        <v>214.71126358670281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1.1368683772161603E-12</v>
      </c>
      <c r="BE146" s="13">
        <f>BD146*VLOOKUP('Données projet'!$B$11,Paramètres!$A$1:$I$89,3,0)*VLOOKUP('Données projet'!$B$11,Paramètres!$A$1:$I$89,5,0)</f>
        <v>5.3205440053716299E-13</v>
      </c>
      <c r="BF146" s="13">
        <f t="shared" si="145"/>
        <v>6.579711042921201E-12</v>
      </c>
      <c r="BG146" s="20">
        <f t="shared" si="115"/>
        <v>1.2386324814023317E-11</v>
      </c>
      <c r="BH146" s="59">
        <f t="shared" si="116"/>
        <v>293.33333333334571</v>
      </c>
      <c r="BI146" s="59">
        <f ca="1">AVERAGE(OFFSET($BH$3,0,0,'Données projet'!$E$11+1,1))-AVERAGE(OFFSET($H$3,0,0,'Données projet'!$E$11+1,1))</f>
        <v>181.79645720099597</v>
      </c>
      <c r="BJ146" s="59">
        <f t="shared" si="146"/>
        <v>120.20040029102233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114.94594400373548</v>
      </c>
      <c r="BQ146" s="21">
        <f>EXP(-LN(2)/25)*BQ145+(1-EXP(-LN(2)/25))/(LN(2)/25)*Calculateur!BL146*Calculateur!BN146*VLOOKUP('Données projet'!$B$11,Paramètres!$A$1:$I$89,3,0)*0.475*44/12</f>
        <v>24.96079103730964</v>
      </c>
      <c r="BR146" s="21">
        <f>EXP(-LN(2)/2)*BR145+(1-EXP(-LN(2)/2))/(LN(2)/2)*BL146*BO146*VLOOKUP('Données projet'!$B$11,Paramètres!$A$1:$I$89,3,0)*0.475*44/12</f>
        <v>0.29084629408484813</v>
      </c>
      <c r="BS146" s="22">
        <f t="shared" si="117"/>
        <v>140.19758133512997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-3.979039320256561E-13</v>
      </c>
      <c r="BZ146" s="13">
        <f>BY146*VLOOKUP('Données projet'!$B$12,Paramètres!$A$1:$I$89,3,0)*VLOOKUP('Données projet'!$B$12,Paramètres!$A$1:$I$89,5,0)</f>
        <v>-2.379465513513424E-13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213.18424462765137</v>
      </c>
      <c r="CE146" s="59">
        <f t="shared" si="148"/>
        <v>158.77848520346532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40.849893836799644</v>
      </c>
      <c r="CL146" s="21">
        <f>EXP(-LN(2)/25)*CL145+(1-EXP(-LN(2)/25))/(LN(2)/25)*Calculateur!CG146*Calculateur!CI146*VLOOKUP('Données projet'!$B$12,Paramètres!$A$1:$I$89,3,0)*0.475*44/12</f>
        <v>5.965031498556244</v>
      </c>
      <c r="CM146" s="21">
        <f>EXP(-LN(2)/2)*CM145+(1-EXP(-LN(2)/2))/(LN(2)/2)*CG146*CJ146*VLOOKUP('Données projet'!$B$12,Paramètres!$A$1:$I$89,3,0)*0.475*44/12</f>
        <v>1.190695327747259E-8</v>
      </c>
      <c r="CN146" s="22">
        <f t="shared" si="120"/>
        <v>46.814925347262843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319</v>
      </c>
      <c r="CU146" s="17">
        <f>CT146*VLOOKUP('Données projet'!$B$13,Paramètres!$A$1:$I$89,3,0)*VLOOKUP('Données projet'!$B$13,Paramètres!$A$1:$I$89,5,0)</f>
        <v>253.79640000000001</v>
      </c>
      <c r="CV146" s="13">
        <f t="shared" si="149"/>
        <v>61.39816832228076</v>
      </c>
      <c r="CW146" s="20">
        <f t="shared" si="121"/>
        <v>548.96387316130563</v>
      </c>
      <c r="CX146" s="59">
        <f t="shared" si="122"/>
        <v>842.29720649463889</v>
      </c>
      <c r="CY146" s="59">
        <f ca="1">AVERAGE(OFFSET($CX$3,0,0,'Données projet'!$E$13+1,1))-AVERAGE(OFFSET($H$3,0,0,'Données projet'!$E$13+1,1))</f>
        <v>279.49721661620544</v>
      </c>
      <c r="CZ146" s="59">
        <f t="shared" si="150"/>
        <v>275.18739333988754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12.85933991709611</v>
      </c>
      <c r="DG146" s="21">
        <f>EXP(-LN(2)/25)*DG145+(1-EXP(-LN(2)/25))/(LN(2)/25)*Calculateur!DB146*Calculateur!DD146*VLOOKUP('Données projet'!$B$13,Paramètres!$A$1:$I$89,3,0)*0.475*44/12</f>
        <v>1.3154882361813807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14.17482815327749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-6.3550942286383367E-14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278.5296012747549</v>
      </c>
      <c r="T147" s="59">
        <f t="shared" si="142"/>
        <v>370.55343097937077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38.894932180863556</v>
      </c>
      <c r="AA147" s="21">
        <f>EXP(-LN(2)/25)*AA146+(1-EXP(-LN(2)/25))/(LN(2)/25)*Calculateur!V147*Calculateur!X147*VLOOKUP('Données projet'!$B$9,Paramètres!$A$1:$I$89,3,0)*0.475*44/12</f>
        <v>4.8844267818067939</v>
      </c>
      <c r="AB147" s="21">
        <f>EXP(-LN(2)/2)*AB146+(1-EXP(-LN(2)/2))/(LN(2)/2)*V147*Y147*VLOOKUP('Données projet'!$B$9,Paramètres!$A$1:$I$89,3,0)*0.475*44/12</f>
        <v>1.3730919883689176E-12</v>
      </c>
      <c r="AC147" s="22">
        <f t="shared" si="111"/>
        <v>43.779358962671722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-6.2527760746888816E-13</v>
      </c>
      <c r="AJ147" s="13">
        <f>AI147*VLOOKUP('Données projet'!$B$10,Paramètres!$A$1:$I$89,3,0)*VLOOKUP('Données projet'!$B$10,Paramètres!$A$1:$I$89,5,0)</f>
        <v>-3.0075852919253523E-13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255.05550867459038</v>
      </c>
      <c r="AO147" s="59">
        <f t="shared" si="144"/>
        <v>119.28597757550295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172.22691186638514</v>
      </c>
      <c r="AV147" s="21">
        <f>EXP(-LN(2)/25)*AV146+(1-EXP(-LN(2)/25))/(LN(2)/25)*Calculateur!AQ147*Calculateur!AS147*VLOOKUP('Données projet'!$B$10,Paramètres!$A$1:$I$89,3,0)*0.475*44/12</f>
        <v>36.420848953018108</v>
      </c>
      <c r="AW147" s="21">
        <f>EXP(-LN(2)/2)*AW146+(1-EXP(-LN(2)/2))/(LN(2)/2)*AQ147*AT147*VLOOKUP('Données projet'!$B$10,Paramètres!$A$1:$I$89,3,0)*0.475*44/12</f>
        <v>1.1276641326511463</v>
      </c>
      <c r="AX147" s="21">
        <f t="shared" si="114"/>
        <v>209.77542495205438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1.1368683772161603E-12</v>
      </c>
      <c r="BE147" s="13">
        <f>BD147*VLOOKUP('Données projet'!$B$11,Paramètres!$A$1:$I$89,3,0)*VLOOKUP('Données projet'!$B$11,Paramètres!$A$1:$I$89,5,0)</f>
        <v>5.3205440053716299E-13</v>
      </c>
      <c r="BF147" s="13">
        <f t="shared" si="145"/>
        <v>6.579711042921201E-12</v>
      </c>
      <c r="BG147" s="20">
        <f t="shared" si="115"/>
        <v>1.2386324814023317E-11</v>
      </c>
      <c r="BH147" s="59">
        <f t="shared" si="116"/>
        <v>293.33333333334571</v>
      </c>
      <c r="BI147" s="59">
        <f ca="1">AVERAGE(OFFSET($BH$3,0,0,'Données projet'!$E$11+1,1))-AVERAGE(OFFSET($H$3,0,0,'Données projet'!$E$11+1,1))</f>
        <v>181.79645720099597</v>
      </c>
      <c r="BJ147" s="59">
        <f t="shared" si="146"/>
        <v>120.20040029102233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112.69192415192526</v>
      </c>
      <c r="BQ147" s="21">
        <f>EXP(-LN(2)/25)*BQ146+(1-EXP(-LN(2)/25))/(LN(2)/25)*Calculateur!BL147*Calculateur!BN147*VLOOKUP('Données projet'!$B$11,Paramètres!$A$1:$I$89,3,0)*0.475*44/12</f>
        <v>24.278236893763456</v>
      </c>
      <c r="BR147" s="21">
        <f>EXP(-LN(2)/2)*BR146+(1-EXP(-LN(2)/2))/(LN(2)/2)*BL147*BO147*VLOOKUP('Données projet'!$B$11,Paramètres!$A$1:$I$89,3,0)*0.475*44/12</f>
        <v>0.20565938683037296</v>
      </c>
      <c r="BS147" s="22">
        <f t="shared" si="117"/>
        <v>137.17582043251909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-3.979039320256561E-13</v>
      </c>
      <c r="BZ147" s="13">
        <f>BY147*VLOOKUP('Données projet'!$B$12,Paramètres!$A$1:$I$89,3,0)*VLOOKUP('Données projet'!$B$12,Paramètres!$A$1:$I$89,5,0)</f>
        <v>-2.379465513513424E-13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213.18424462765137</v>
      </c>
      <c r="CE147" s="59">
        <f t="shared" si="148"/>
        <v>158.77848520346532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40.048852334634994</v>
      </c>
      <c r="CL147" s="21">
        <f>EXP(-LN(2)/25)*CL146+(1-EXP(-LN(2)/25))/(LN(2)/25)*Calculateur!CG147*Calculateur!CI147*VLOOKUP('Données projet'!$B$12,Paramètres!$A$1:$I$89,3,0)*0.475*44/12</f>
        <v>5.8019173985408505</v>
      </c>
      <c r="CM147" s="21">
        <f>EXP(-LN(2)/2)*CM146+(1-EXP(-LN(2)/2))/(LN(2)/2)*CG147*CJ147*VLOOKUP('Données projet'!$B$12,Paramètres!$A$1:$I$89,3,0)*0.475*44/12</f>
        <v>8.4194874057722556E-9</v>
      </c>
      <c r="CN147" s="22">
        <f t="shared" si="120"/>
        <v>45.850769741595336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319</v>
      </c>
      <c r="CU147" s="17">
        <f>CT147*VLOOKUP('Données projet'!$B$13,Paramètres!$A$1:$I$89,3,0)*VLOOKUP('Données projet'!$B$13,Paramètres!$A$1:$I$89,5,0)</f>
        <v>253.79640000000001</v>
      </c>
      <c r="CV147" s="13">
        <f t="shared" si="149"/>
        <v>61.39816832228076</v>
      </c>
      <c r="CW147" s="20">
        <f t="shared" si="121"/>
        <v>548.96387316130563</v>
      </c>
      <c r="CX147" s="59">
        <f t="shared" si="122"/>
        <v>842.29720649463889</v>
      </c>
      <c r="CY147" s="59">
        <f ca="1">AVERAGE(OFFSET($CX$3,0,0,'Données projet'!$E$13+1,1))-AVERAGE(OFFSET($H$3,0,0,'Données projet'!$E$13+1,1))</f>
        <v>279.49721661620544</v>
      </c>
      <c r="CZ147" s="59">
        <f t="shared" si="150"/>
        <v>275.18739333988754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12.607176104744731</v>
      </c>
      <c r="DG147" s="21">
        <f>EXP(-LN(2)/25)*DG146+(1-EXP(-LN(2)/25))/(LN(2)/25)*Calculateur!DB147*Calculateur!DD147*VLOOKUP('Données projet'!$B$13,Paramètres!$A$1:$I$89,3,0)*0.475*44/12</f>
        <v>1.2795161411844811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13.886692245929211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-6.3550942286383367E-14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278.5296012747549</v>
      </c>
      <c r="T148" s="59">
        <f t="shared" si="142"/>
        <v>370.55343097937077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38.132226284362943</v>
      </c>
      <c r="AA148" s="21">
        <f>EXP(-LN(2)/25)*AA147+(1-EXP(-LN(2)/25))/(LN(2)/25)*Calculateur!V148*Calculateur!X148*VLOOKUP('Données projet'!$B$9,Paramètres!$A$1:$I$89,3,0)*0.475*44/12</f>
        <v>4.7508618745974465</v>
      </c>
      <c r="AB148" s="21">
        <f>EXP(-LN(2)/2)*AB147+(1-EXP(-LN(2)/2))/(LN(2)/2)*V148*Y148*VLOOKUP('Données projet'!$B$9,Paramètres!$A$1:$I$89,3,0)*0.475*44/12</f>
        <v>9.7092265616858166E-13</v>
      </c>
      <c r="AC148" s="22">
        <f t="shared" si="111"/>
        <v>42.883088158961364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-6.2527760746888816E-13</v>
      </c>
      <c r="AJ148" s="13">
        <f>AI148*VLOOKUP('Données projet'!$B$10,Paramètres!$A$1:$I$89,3,0)*VLOOKUP('Données projet'!$B$10,Paramètres!$A$1:$I$89,5,0)</f>
        <v>-3.0075852919253523E-13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255.05550867459038</v>
      </c>
      <c r="AO148" s="59">
        <f t="shared" si="144"/>
        <v>119.28597757550295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168.84964717272894</v>
      </c>
      <c r="AV148" s="21">
        <f>EXP(-LN(2)/25)*AV147+(1-EXP(-LN(2)/25))/(LN(2)/25)*Calculateur!AQ148*Calculateur!AS148*VLOOKUP('Données projet'!$B$10,Paramètres!$A$1:$I$89,3,0)*0.475*44/12</f>
        <v>35.424918923108621</v>
      </c>
      <c r="AW148" s="21">
        <f>EXP(-LN(2)/2)*AW147+(1-EXP(-LN(2)/2))/(LN(2)/2)*AQ148*AT148*VLOOKUP('Données projet'!$B$10,Paramètres!$A$1:$I$89,3,0)*0.475*44/12</f>
        <v>0.79737895509847201</v>
      </c>
      <c r="AX148" s="21">
        <f t="shared" si="114"/>
        <v>205.07194505093602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1.1368683772161603E-12</v>
      </c>
      <c r="BE148" s="13">
        <f>BD148*VLOOKUP('Données projet'!$B$11,Paramètres!$A$1:$I$89,3,0)*VLOOKUP('Données projet'!$B$11,Paramètres!$A$1:$I$89,5,0)</f>
        <v>5.3205440053716299E-13</v>
      </c>
      <c r="BF148" s="13">
        <f t="shared" si="145"/>
        <v>6.579711042921201E-12</v>
      </c>
      <c r="BG148" s="20">
        <f t="shared" si="115"/>
        <v>1.2386324814023317E-11</v>
      </c>
      <c r="BH148" s="59">
        <f t="shared" si="116"/>
        <v>293.33333333334571</v>
      </c>
      <c r="BI148" s="59">
        <f ca="1">AVERAGE(OFFSET($BH$3,0,0,'Données projet'!$E$11+1,1))-AVERAGE(OFFSET($H$3,0,0,'Données projet'!$E$11+1,1))</f>
        <v>181.79645720099597</v>
      </c>
      <c r="BJ148" s="59">
        <f t="shared" si="146"/>
        <v>120.20040029102233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110.4821042545927</v>
      </c>
      <c r="BQ148" s="21">
        <f>EXP(-LN(2)/25)*BQ147+(1-EXP(-LN(2)/25))/(LN(2)/25)*Calculateur!BL148*Calculateur!BN148*VLOOKUP('Données projet'!$B$11,Paramètres!$A$1:$I$89,3,0)*0.475*44/12</f>
        <v>23.614347229166505</v>
      </c>
      <c r="BR148" s="21">
        <f>EXP(-LN(2)/2)*BR147+(1-EXP(-LN(2)/2))/(LN(2)/2)*BL148*BO148*VLOOKUP('Données projet'!$B$11,Paramètres!$A$1:$I$89,3,0)*0.475*44/12</f>
        <v>0.14542314704242407</v>
      </c>
      <c r="BS148" s="22">
        <f t="shared" si="117"/>
        <v>134.24187463080165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-3.979039320256561E-13</v>
      </c>
      <c r="BZ148" s="13">
        <f>BY148*VLOOKUP('Données projet'!$B$12,Paramètres!$A$1:$I$89,3,0)*VLOOKUP('Données projet'!$B$12,Paramètres!$A$1:$I$89,5,0)</f>
        <v>-2.379465513513424E-13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213.18424462765137</v>
      </c>
      <c r="CE148" s="59">
        <f t="shared" si="148"/>
        <v>158.77848520346532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39.26351876774072</v>
      </c>
      <c r="CL148" s="21">
        <f>EXP(-LN(2)/25)*CL147+(1-EXP(-LN(2)/25))/(LN(2)/25)*Calculateur!CG148*Calculateur!CI148*VLOOKUP('Données projet'!$B$12,Paramètres!$A$1:$I$89,3,0)*0.475*44/12</f>
        <v>5.6432636621681755</v>
      </c>
      <c r="CM148" s="21">
        <f>EXP(-LN(2)/2)*CM147+(1-EXP(-LN(2)/2))/(LN(2)/2)*CG148*CJ148*VLOOKUP('Données projet'!$B$12,Paramètres!$A$1:$I$89,3,0)*0.475*44/12</f>
        <v>5.953476638736295E-9</v>
      </c>
      <c r="CN148" s="22">
        <f t="shared" si="120"/>
        <v>44.906782435862368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319</v>
      </c>
      <c r="CU148" s="17">
        <f>CT148*VLOOKUP('Données projet'!$B$13,Paramètres!$A$1:$I$89,3,0)*VLOOKUP('Données projet'!$B$13,Paramètres!$A$1:$I$89,5,0)</f>
        <v>253.79640000000001</v>
      </c>
      <c r="CV148" s="13">
        <f t="shared" si="149"/>
        <v>61.39816832228076</v>
      </c>
      <c r="CW148" s="20">
        <f t="shared" si="121"/>
        <v>548.96387316130563</v>
      </c>
      <c r="CX148" s="59">
        <f t="shared" si="122"/>
        <v>842.29720649463889</v>
      </c>
      <c r="CY148" s="59">
        <f ca="1">AVERAGE(OFFSET($CX$3,0,0,'Données projet'!$E$13+1,1))-AVERAGE(OFFSET($H$3,0,0,'Données projet'!$E$13+1,1))</f>
        <v>279.49721661620544</v>
      </c>
      <c r="CZ148" s="59">
        <f t="shared" si="150"/>
        <v>275.18739333988754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12.359957070948823</v>
      </c>
      <c r="DG148" s="21">
        <f>EXP(-LN(2)/25)*DG147+(1-EXP(-LN(2)/25))/(LN(2)/25)*Calculateur!DB148*Calculateur!DD148*VLOOKUP('Données projet'!$B$13,Paramètres!$A$1:$I$89,3,0)*0.475*44/12</f>
        <v>1.2445277050169619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13.604484775965785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-6.3550942286383367E-14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278.5296012747549</v>
      </c>
      <c r="T149" s="59">
        <f t="shared" si="142"/>
        <v>370.55343097937077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37.384476585288049</v>
      </c>
      <c r="AA149" s="21">
        <f>EXP(-LN(2)/25)*AA148+(1-EXP(-LN(2)/25))/(LN(2)/25)*Calculateur!V149*Calculateur!X149*VLOOKUP('Données projet'!$B$9,Paramètres!$A$1:$I$89,3,0)*0.475*44/12</f>
        <v>4.6209493067996119</v>
      </c>
      <c r="AB149" s="21">
        <f>EXP(-LN(2)/2)*AB148+(1-EXP(-LN(2)/2))/(LN(2)/2)*V149*Y149*VLOOKUP('Données projet'!$B$9,Paramètres!$A$1:$I$89,3,0)*0.475*44/12</f>
        <v>6.8654599418445879E-13</v>
      </c>
      <c r="AC149" s="22">
        <f t="shared" si="111"/>
        <v>42.005425892088347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-6.2527760746888816E-13</v>
      </c>
      <c r="AJ149" s="13">
        <f>AI149*VLOOKUP('Données projet'!$B$10,Paramètres!$A$1:$I$89,3,0)*VLOOKUP('Données projet'!$B$10,Paramètres!$A$1:$I$89,5,0)</f>
        <v>-3.0075852919253523E-13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255.05550867459038</v>
      </c>
      <c r="AO149" s="59">
        <f t="shared" si="144"/>
        <v>119.28597757550295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165.53860857978725</v>
      </c>
      <c r="AV149" s="21">
        <f>EXP(-LN(2)/25)*AV148+(1-EXP(-LN(2)/25))/(LN(2)/25)*Calculateur!AQ149*Calculateur!AS149*VLOOKUP('Données projet'!$B$10,Paramètres!$A$1:$I$89,3,0)*0.475*44/12</f>
        <v>34.456222652240697</v>
      </c>
      <c r="AW149" s="21">
        <f>EXP(-LN(2)/2)*AW148+(1-EXP(-LN(2)/2))/(LN(2)/2)*AQ149*AT149*VLOOKUP('Données projet'!$B$10,Paramètres!$A$1:$I$89,3,0)*0.475*44/12</f>
        <v>0.56383206632557314</v>
      </c>
      <c r="AX149" s="21">
        <f t="shared" si="114"/>
        <v>200.55866329835351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1.1368683772161603E-12</v>
      </c>
      <c r="BE149" s="13">
        <f>BD149*VLOOKUP('Données projet'!$B$11,Paramètres!$A$1:$I$89,3,0)*VLOOKUP('Données projet'!$B$11,Paramètres!$A$1:$I$89,5,0)</f>
        <v>5.3205440053716299E-13</v>
      </c>
      <c r="BF149" s="13">
        <f t="shared" si="145"/>
        <v>6.579711042921201E-12</v>
      </c>
      <c r="BG149" s="20">
        <f t="shared" si="115"/>
        <v>1.2386324814023317E-11</v>
      </c>
      <c r="BH149" s="59">
        <f t="shared" si="116"/>
        <v>293.33333333334571</v>
      </c>
      <c r="BI149" s="59">
        <f ca="1">AVERAGE(OFFSET($BH$3,0,0,'Données projet'!$E$11+1,1))-AVERAGE(OFFSET($H$3,0,0,'Données projet'!$E$11+1,1))</f>
        <v>181.79645720099597</v>
      </c>
      <c r="BJ149" s="59">
        <f t="shared" si="146"/>
        <v>120.20040029102233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108.31561757758978</v>
      </c>
      <c r="BQ149" s="21">
        <f>EXP(-LN(2)/25)*BQ148+(1-EXP(-LN(2)/25))/(LN(2)/25)*Calculateur!BL149*Calculateur!BN149*VLOOKUP('Données projet'!$B$11,Paramètres!$A$1:$I$89,3,0)*0.475*44/12</f>
        <v>22.968611662360399</v>
      </c>
      <c r="BR149" s="21">
        <f>EXP(-LN(2)/2)*BR148+(1-EXP(-LN(2)/2))/(LN(2)/2)*BL149*BO149*VLOOKUP('Données projet'!$B$11,Paramètres!$A$1:$I$89,3,0)*0.475*44/12</f>
        <v>0.10282969341518648</v>
      </c>
      <c r="BS149" s="22">
        <f t="shared" si="117"/>
        <v>131.38705893336535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-3.979039320256561E-13</v>
      </c>
      <c r="BZ149" s="13">
        <f>BY149*VLOOKUP('Données projet'!$B$12,Paramètres!$A$1:$I$89,3,0)*VLOOKUP('Données projet'!$B$12,Paramètres!$A$1:$I$89,5,0)</f>
        <v>-2.379465513513424E-13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213.18424462765137</v>
      </c>
      <c r="CE149" s="59">
        <f t="shared" si="148"/>
        <v>158.77848520346532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38.493585113087065</v>
      </c>
      <c r="CL149" s="21">
        <f>EXP(-LN(2)/25)*CL148+(1-EXP(-LN(2)/25))/(LN(2)/25)*Calculateur!CG149*Calculateur!CI149*VLOOKUP('Données projet'!$B$12,Paramètres!$A$1:$I$89,3,0)*0.475*44/12</f>
        <v>5.4889483205598486</v>
      </c>
      <c r="CM149" s="21">
        <f>EXP(-LN(2)/2)*CM148+(1-EXP(-LN(2)/2))/(LN(2)/2)*CG149*CJ149*VLOOKUP('Données projet'!$B$12,Paramètres!$A$1:$I$89,3,0)*0.475*44/12</f>
        <v>4.2097437028861278E-9</v>
      </c>
      <c r="CN149" s="22">
        <f t="shared" si="120"/>
        <v>43.982533437856659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319</v>
      </c>
      <c r="CU149" s="17">
        <f>CT149*VLOOKUP('Données projet'!$B$13,Paramètres!$A$1:$I$89,3,0)*VLOOKUP('Données projet'!$B$13,Paramètres!$A$1:$I$89,5,0)</f>
        <v>253.79640000000001</v>
      </c>
      <c r="CV149" s="13">
        <f t="shared" si="149"/>
        <v>61.39816832228076</v>
      </c>
      <c r="CW149" s="20">
        <f t="shared" si="121"/>
        <v>548.96387316130563</v>
      </c>
      <c r="CX149" s="59">
        <f t="shared" si="122"/>
        <v>842.29720649463889</v>
      </c>
      <c r="CY149" s="59">
        <f ca="1">AVERAGE(OFFSET($CX$3,0,0,'Données projet'!$E$13+1,1))-AVERAGE(OFFSET($H$3,0,0,'Données projet'!$E$13+1,1))</f>
        <v>279.49721661620544</v>
      </c>
      <c r="CZ149" s="59">
        <f t="shared" si="150"/>
        <v>275.18739333988754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12.117585851616933</v>
      </c>
      <c r="DG149" s="21">
        <f>EXP(-LN(2)/25)*DG148+(1-EXP(-LN(2)/25))/(LN(2)/25)*Calculateur!DB149*Calculateur!DD149*VLOOKUP('Données projet'!$B$13,Paramètres!$A$1:$I$89,3,0)*0.475*44/12</f>
        <v>1.2104960294764053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13.32808188109334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-6.3550942286383367E-14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278.5296012747549</v>
      </c>
      <c r="T150" s="59">
        <f t="shared" si="142"/>
        <v>370.55343097937077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36.651389801729728</v>
      </c>
      <c r="AA150" s="21">
        <f>EXP(-LN(2)/25)*AA149+(1-EXP(-LN(2)/25))/(LN(2)/25)*Calculateur!V150*Calculateur!X150*VLOOKUP('Données projet'!$B$9,Paramètres!$A$1:$I$89,3,0)*0.475*44/12</f>
        <v>4.4945892050000138</v>
      </c>
      <c r="AB150" s="21">
        <f>EXP(-LN(2)/2)*AB149+(1-EXP(-LN(2)/2))/(LN(2)/2)*V150*Y150*VLOOKUP('Données projet'!$B$9,Paramètres!$A$1:$I$89,3,0)*0.475*44/12</f>
        <v>4.8546132808429083E-13</v>
      </c>
      <c r="AC150" s="22">
        <f t="shared" si="111"/>
        <v>41.145979006730222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-6.2527760746888816E-13</v>
      </c>
      <c r="AJ150" s="13">
        <f>AI150*VLOOKUP('Données projet'!$B$10,Paramètres!$A$1:$I$89,3,0)*VLOOKUP('Données projet'!$B$10,Paramètres!$A$1:$I$89,5,0)</f>
        <v>-3.0075852919253523E-13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255.05550867459038</v>
      </c>
      <c r="AO150" s="59">
        <f t="shared" si="144"/>
        <v>119.28597757550295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162.29249743411904</v>
      </c>
      <c r="AV150" s="21">
        <f>EXP(-LN(2)/25)*AV149+(1-EXP(-LN(2)/25))/(LN(2)/25)*Calculateur!AQ150*Calculateur!AS150*VLOOKUP('Données projet'!$B$10,Paramètres!$A$1:$I$89,3,0)*0.475*44/12</f>
        <v>33.51401543184118</v>
      </c>
      <c r="AW150" s="21">
        <f>EXP(-LN(2)/2)*AW149+(1-EXP(-LN(2)/2))/(LN(2)/2)*AQ150*AT150*VLOOKUP('Données projet'!$B$10,Paramètres!$A$1:$I$89,3,0)*0.475*44/12</f>
        <v>0.398689477549236</v>
      </c>
      <c r="AX150" s="21">
        <f t="shared" si="114"/>
        <v>196.20520234350946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1.1368683772161603E-12</v>
      </c>
      <c r="BE150" s="13">
        <f>BD150*VLOOKUP('Données projet'!$B$11,Paramètres!$A$1:$I$89,3,0)*VLOOKUP('Données projet'!$B$11,Paramètres!$A$1:$I$89,5,0)</f>
        <v>5.3205440053716299E-13</v>
      </c>
      <c r="BF150" s="13">
        <f t="shared" si="145"/>
        <v>6.579711042921201E-12</v>
      </c>
      <c r="BG150" s="20">
        <f t="shared" si="115"/>
        <v>1.2386324814023317E-11</v>
      </c>
      <c r="BH150" s="59">
        <f t="shared" si="116"/>
        <v>293.33333333334571</v>
      </c>
      <c r="BI150" s="59">
        <f ca="1">AVERAGE(OFFSET($BH$3,0,0,'Données projet'!$E$11+1,1))-AVERAGE(OFFSET($H$3,0,0,'Données projet'!$E$11+1,1))</f>
        <v>181.79645720099597</v>
      </c>
      <c r="BJ150" s="59">
        <f t="shared" si="146"/>
        <v>120.20040029102233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106.19161438289649</v>
      </c>
      <c r="BQ150" s="21">
        <f>EXP(-LN(2)/25)*BQ149+(1-EXP(-LN(2)/25))/(LN(2)/25)*Calculateur!BL150*Calculateur!BN150*VLOOKUP('Données projet'!$B$11,Paramètres!$A$1:$I$89,3,0)*0.475*44/12</f>
        <v>22.340533768586361</v>
      </c>
      <c r="BR150" s="21">
        <f>EXP(-LN(2)/2)*BR149+(1-EXP(-LN(2)/2))/(LN(2)/2)*BL150*BO150*VLOOKUP('Données projet'!$B$11,Paramètres!$A$1:$I$89,3,0)*0.475*44/12</f>
        <v>7.2711573521212033E-2</v>
      </c>
      <c r="BS150" s="22">
        <f t="shared" si="117"/>
        <v>128.60485972500408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-3.979039320256561E-13</v>
      </c>
      <c r="BZ150" s="13">
        <f>BY150*VLOOKUP('Données projet'!$B$12,Paramètres!$A$1:$I$89,3,0)*VLOOKUP('Données projet'!$B$12,Paramètres!$A$1:$I$89,5,0)</f>
        <v>-2.379465513513424E-13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213.18424462765137</v>
      </c>
      <c r="CE150" s="59">
        <f t="shared" si="148"/>
        <v>158.77848520346532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37.738749387788012</v>
      </c>
      <c r="CL150" s="21">
        <f>EXP(-LN(2)/25)*CL149+(1-EXP(-LN(2)/25))/(LN(2)/25)*Calculateur!CG150*Calculateur!CI150*VLOOKUP('Données projet'!$B$12,Paramètres!$A$1:$I$89,3,0)*0.475*44/12</f>
        <v>5.3388527400828929</v>
      </c>
      <c r="CM150" s="21">
        <f>EXP(-LN(2)/2)*CM149+(1-EXP(-LN(2)/2))/(LN(2)/2)*CG150*CJ150*VLOOKUP('Données projet'!$B$12,Paramètres!$A$1:$I$89,3,0)*0.475*44/12</f>
        <v>2.9767383193681475E-9</v>
      </c>
      <c r="CN150" s="22">
        <f t="shared" si="120"/>
        <v>43.077602130847644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319</v>
      </c>
      <c r="CU150" s="17">
        <f>CT150*VLOOKUP('Données projet'!$B$13,Paramètres!$A$1:$I$89,3,0)*VLOOKUP('Données projet'!$B$13,Paramètres!$A$1:$I$89,5,0)</f>
        <v>253.79640000000001</v>
      </c>
      <c r="CV150" s="13">
        <f t="shared" si="149"/>
        <v>61.39816832228076</v>
      </c>
      <c r="CW150" s="20">
        <f t="shared" si="121"/>
        <v>548.96387316130563</v>
      </c>
      <c r="CX150" s="59">
        <f t="shared" si="122"/>
        <v>842.29720649463889</v>
      </c>
      <c r="CY150" s="59">
        <f ca="1">AVERAGE(OFFSET($CX$3,0,0,'Données projet'!$E$13+1,1))-AVERAGE(OFFSET($H$3,0,0,'Données projet'!$E$13+1,1))</f>
        <v>279.49721661620544</v>
      </c>
      <c r="CZ150" s="59">
        <f t="shared" si="150"/>
        <v>275.18739333988754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11.879967384064294</v>
      </c>
      <c r="DG150" s="21">
        <f>EXP(-LN(2)/25)*DG149+(1-EXP(-LN(2)/25))/(LN(2)/25)*Calculateur!DB150*Calculateur!DD150*VLOOKUP('Données projet'!$B$13,Paramètres!$A$1:$I$89,3,0)*0.475*44/12</f>
        <v>1.1773949518931535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13.057362335957448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-6.3550942286383367E-14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278.5296012747549</v>
      </c>
      <c r="T151" s="59">
        <f t="shared" si="142"/>
        <v>370.55343097937077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35.932678402858201</v>
      </c>
      <c r="AA151" s="21">
        <f>EXP(-LN(2)/25)*AA150+(1-EXP(-LN(2)/25))/(LN(2)/25)*Calculateur!V151*Calculateur!X151*VLOOKUP('Données projet'!$B$9,Paramètres!$A$1:$I$89,3,0)*0.475*44/12</f>
        <v>4.3716844268291144</v>
      </c>
      <c r="AB151" s="21">
        <f>EXP(-LN(2)/2)*AB150+(1-EXP(-LN(2)/2))/(LN(2)/2)*V151*Y151*VLOOKUP('Données projet'!$B$9,Paramètres!$A$1:$I$89,3,0)*0.475*44/12</f>
        <v>3.432729970922294E-13</v>
      </c>
      <c r="AC151" s="22">
        <f t="shared" si="111"/>
        <v>40.304362829687655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-6.2527760746888816E-13</v>
      </c>
      <c r="AJ151" s="13">
        <f>AI151*VLOOKUP('Données projet'!$B$10,Paramètres!$A$1:$I$89,3,0)*VLOOKUP('Données projet'!$B$10,Paramètres!$A$1:$I$89,5,0)</f>
        <v>-3.0075852919253523E-13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255.05550867459038</v>
      </c>
      <c r="AO151" s="59">
        <f t="shared" si="144"/>
        <v>119.28597757550295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159.1100405480851</v>
      </c>
      <c r="AV151" s="21">
        <f>EXP(-LN(2)/25)*AV150+(1-EXP(-LN(2)/25))/(LN(2)/25)*Calculateur!AQ151*Calculateur!AS151*VLOOKUP('Données projet'!$B$10,Paramètres!$A$1:$I$89,3,0)*0.475*44/12</f>
        <v>32.597572917432011</v>
      </c>
      <c r="AW151" s="21">
        <f>EXP(-LN(2)/2)*AW150+(1-EXP(-LN(2)/2))/(LN(2)/2)*AQ151*AT151*VLOOKUP('Données projet'!$B$10,Paramètres!$A$1:$I$89,3,0)*0.475*44/12</f>
        <v>0.28191603316278657</v>
      </c>
      <c r="AX151" s="21">
        <f t="shared" si="114"/>
        <v>191.9895294986799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1.1368683772161603E-12</v>
      </c>
      <c r="BE151" s="13">
        <f>BD151*VLOOKUP('Données projet'!$B$11,Paramètres!$A$1:$I$89,3,0)*VLOOKUP('Données projet'!$B$11,Paramètres!$A$1:$I$89,5,0)</f>
        <v>5.3205440053716299E-13</v>
      </c>
      <c r="BF151" s="13">
        <f t="shared" si="145"/>
        <v>6.579711042921201E-12</v>
      </c>
      <c r="BG151" s="20">
        <f t="shared" si="115"/>
        <v>1.2386324814023317E-11</v>
      </c>
      <c r="BH151" s="59">
        <f t="shared" si="116"/>
        <v>293.33333333334571</v>
      </c>
      <c r="BI151" s="59">
        <f ca="1">AVERAGE(OFFSET($BH$3,0,0,'Données projet'!$E$11+1,1))-AVERAGE(OFFSET($H$3,0,0,'Données projet'!$E$11+1,1))</f>
        <v>181.79645720099597</v>
      </c>
      <c r="BJ151" s="59">
        <f t="shared" si="146"/>
        <v>120.20040029102233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104.1092615953371</v>
      </c>
      <c r="BQ151" s="21">
        <f>EXP(-LN(2)/25)*BQ150+(1-EXP(-LN(2)/25))/(LN(2)/25)*Calculateur!BL151*Calculateur!BN151*VLOOKUP('Données projet'!$B$11,Paramètres!$A$1:$I$89,3,0)*0.475*44/12</f>
        <v>21.729630697846755</v>
      </c>
      <c r="BR151" s="21">
        <f>EXP(-LN(2)/2)*BR150+(1-EXP(-LN(2)/2))/(LN(2)/2)*BL151*BO151*VLOOKUP('Données projet'!$B$11,Paramètres!$A$1:$I$89,3,0)*0.475*44/12</f>
        <v>5.1414846707593241E-2</v>
      </c>
      <c r="BS151" s="22">
        <f t="shared" si="117"/>
        <v>125.89030713989145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-3.979039320256561E-13</v>
      </c>
      <c r="BZ151" s="13">
        <f>BY151*VLOOKUP('Données projet'!$B$12,Paramètres!$A$1:$I$89,3,0)*VLOOKUP('Données projet'!$B$12,Paramètres!$A$1:$I$89,5,0)</f>
        <v>-2.379465513513424E-13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213.18424462765137</v>
      </c>
      <c r="CE151" s="59">
        <f t="shared" si="148"/>
        <v>158.77848520346532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36.998715530657741</v>
      </c>
      <c r="CL151" s="21">
        <f>EXP(-LN(2)/25)*CL150+(1-EXP(-LN(2)/25))/(LN(2)/25)*Calculateur!CG151*Calculateur!CI151*VLOOKUP('Données projet'!$B$12,Paramètres!$A$1:$I$89,3,0)*0.475*44/12</f>
        <v>5.1928615311472628</v>
      </c>
      <c r="CM151" s="21">
        <f>EXP(-LN(2)/2)*CM150+(1-EXP(-LN(2)/2))/(LN(2)/2)*CG151*CJ151*VLOOKUP('Données projet'!$B$12,Paramètres!$A$1:$I$89,3,0)*0.475*44/12</f>
        <v>2.1048718514430639E-9</v>
      </c>
      <c r="CN151" s="22">
        <f t="shared" si="120"/>
        <v>42.191577063909875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319</v>
      </c>
      <c r="CU151" s="17">
        <f>CT151*VLOOKUP('Données projet'!$B$13,Paramètres!$A$1:$I$89,3,0)*VLOOKUP('Données projet'!$B$13,Paramètres!$A$1:$I$89,5,0)</f>
        <v>253.79640000000001</v>
      </c>
      <c r="CV151" s="13">
        <f t="shared" si="149"/>
        <v>61.39816832228076</v>
      </c>
      <c r="CW151" s="20">
        <f t="shared" si="121"/>
        <v>548.96387316130563</v>
      </c>
      <c r="CX151" s="59">
        <f t="shared" si="122"/>
        <v>842.29720649463889</v>
      </c>
      <c r="CY151" s="59">
        <f ca="1">AVERAGE(OFFSET($CX$3,0,0,'Données projet'!$E$13+1,1))-AVERAGE(OFFSET($H$3,0,0,'Données projet'!$E$13+1,1))</f>
        <v>279.49721661620544</v>
      </c>
      <c r="CZ151" s="59">
        <f t="shared" si="150"/>
        <v>275.18739333988754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11.647008469727409</v>
      </c>
      <c r="DG151" s="21">
        <f>EXP(-LN(2)/25)*DG150+(1-EXP(-LN(2)/25))/(LN(2)/25)*Calculateur!DB151*Calculateur!DD151*VLOOKUP('Données projet'!$B$13,Paramètres!$A$1:$I$89,3,0)*0.475*44/12</f>
        <v>1.1451990250171256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12.792207494744535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-6.3550942286383367E-14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278.5296012747549</v>
      </c>
      <c r="T152" s="59">
        <f t="shared" si="142"/>
        <v>370.55343097937077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35.228060496147876</v>
      </c>
      <c r="AA152" s="21">
        <f>EXP(-LN(2)/25)*AA151+(1-EXP(-LN(2)/25))/(LN(2)/25)*Calculateur!V152*Calculateur!X152*VLOOKUP('Données projet'!$B$9,Paramètres!$A$1:$I$89,3,0)*0.475*44/12</f>
        <v>4.2521404862805801</v>
      </c>
      <c r="AB152" s="21">
        <f>EXP(-LN(2)/2)*AB151+(1-EXP(-LN(2)/2))/(LN(2)/2)*V152*Y152*VLOOKUP('Données projet'!$B$9,Paramètres!$A$1:$I$89,3,0)*0.475*44/12</f>
        <v>2.4273066404214542E-13</v>
      </c>
      <c r="AC152" s="22">
        <f t="shared" si="111"/>
        <v>39.480200982428698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-6.2527760746888816E-13</v>
      </c>
      <c r="AJ152" s="13">
        <f>AI152*VLOOKUP('Données projet'!$B$10,Paramètres!$A$1:$I$89,3,0)*VLOOKUP('Données projet'!$B$10,Paramètres!$A$1:$I$89,5,0)</f>
        <v>-3.0075852919253523E-13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255.05550867459038</v>
      </c>
      <c r="AO152" s="59">
        <f t="shared" si="144"/>
        <v>119.28597757550295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155.98998970047924</v>
      </c>
      <c r="AV152" s="21">
        <f>EXP(-LN(2)/25)*AV151+(1-EXP(-LN(2)/25))/(LN(2)/25)*Calculateur!AQ152*Calculateur!AS152*VLOOKUP('Données projet'!$B$10,Paramètres!$A$1:$I$89,3,0)*0.475*44/12</f>
        <v>31.706190571772975</v>
      </c>
      <c r="AW152" s="21">
        <f>EXP(-LN(2)/2)*AW151+(1-EXP(-LN(2)/2))/(LN(2)/2)*AQ152*AT152*VLOOKUP('Données projet'!$B$10,Paramètres!$A$1:$I$89,3,0)*0.475*44/12</f>
        <v>0.199344738774618</v>
      </c>
      <c r="AX152" s="21">
        <f t="shared" si="114"/>
        <v>187.89552501102682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1.1368683772161603E-12</v>
      </c>
      <c r="BE152" s="13">
        <f>BD152*VLOOKUP('Données projet'!$B$11,Paramètres!$A$1:$I$89,3,0)*VLOOKUP('Données projet'!$B$11,Paramètres!$A$1:$I$89,5,0)</f>
        <v>5.3205440053716299E-13</v>
      </c>
      <c r="BF152" s="13">
        <f t="shared" si="145"/>
        <v>6.579711042921201E-12</v>
      </c>
      <c r="BG152" s="20">
        <f t="shared" si="115"/>
        <v>1.2386324814023317E-11</v>
      </c>
      <c r="BH152" s="59">
        <f t="shared" si="116"/>
        <v>293.33333333334571</v>
      </c>
      <c r="BI152" s="59">
        <f ca="1">AVERAGE(OFFSET($BH$3,0,0,'Données projet'!$E$11+1,1))-AVERAGE(OFFSET($H$3,0,0,'Données projet'!$E$11+1,1))</f>
        <v>181.79645720099597</v>
      </c>
      <c r="BJ152" s="59">
        <f t="shared" si="146"/>
        <v>120.20040029102233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102.06774247583198</v>
      </c>
      <c r="BQ152" s="21">
        <f>EXP(-LN(2)/25)*BQ151+(1-EXP(-LN(2)/25))/(LN(2)/25)*Calculateur!BL152*Calculateur!BN152*VLOOKUP('Données projet'!$B$11,Paramètres!$A$1:$I$89,3,0)*0.475*44/12</f>
        <v>21.135432803702521</v>
      </c>
      <c r="BR152" s="21">
        <f>EXP(-LN(2)/2)*BR151+(1-EXP(-LN(2)/2))/(LN(2)/2)*BL152*BO152*VLOOKUP('Données projet'!$B$11,Paramètres!$A$1:$I$89,3,0)*0.475*44/12</f>
        <v>3.6355786760606017E-2</v>
      </c>
      <c r="BS152" s="22">
        <f t="shared" si="117"/>
        <v>123.2395310662951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-3.979039320256561E-13</v>
      </c>
      <c r="BZ152" s="13">
        <f>BY152*VLOOKUP('Données projet'!$B$12,Paramètres!$A$1:$I$89,3,0)*VLOOKUP('Données projet'!$B$12,Paramètres!$A$1:$I$89,5,0)</f>
        <v>-2.379465513513424E-13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213.18424462765137</v>
      </c>
      <c r="CE152" s="59">
        <f t="shared" si="148"/>
        <v>158.77848520346532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36.273193286089715</v>
      </c>
      <c r="CL152" s="21">
        <f>EXP(-LN(2)/25)*CL151+(1-EXP(-LN(2)/25))/(LN(2)/25)*Calculateur!CG152*Calculateur!CI152*VLOOKUP('Données projet'!$B$12,Paramètres!$A$1:$I$89,3,0)*0.475*44/12</f>
        <v>5.0508624594973215</v>
      </c>
      <c r="CM152" s="21">
        <f>EXP(-LN(2)/2)*CM151+(1-EXP(-LN(2)/2))/(LN(2)/2)*CG152*CJ152*VLOOKUP('Données projet'!$B$12,Paramètres!$A$1:$I$89,3,0)*0.475*44/12</f>
        <v>1.4883691596840738E-9</v>
      </c>
      <c r="CN152" s="22">
        <f t="shared" si="120"/>
        <v>41.324055747075406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319</v>
      </c>
      <c r="CU152" s="17">
        <f>CT152*VLOOKUP('Données projet'!$B$13,Paramètres!$A$1:$I$89,3,0)*VLOOKUP('Données projet'!$B$13,Paramètres!$A$1:$I$89,5,0)</f>
        <v>253.79640000000001</v>
      </c>
      <c r="CV152" s="13">
        <f t="shared" si="149"/>
        <v>61.39816832228076</v>
      </c>
      <c r="CW152" s="20">
        <f t="shared" si="121"/>
        <v>548.96387316130563</v>
      </c>
      <c r="CX152" s="59">
        <f t="shared" si="122"/>
        <v>842.29720649463889</v>
      </c>
      <c r="CY152" s="59">
        <f ca="1">AVERAGE(OFFSET($CX$3,0,0,'Données projet'!$E$13+1,1))-AVERAGE(OFFSET($H$3,0,0,'Données projet'!$E$13+1,1))</f>
        <v>279.49721661620544</v>
      </c>
      <c r="CZ152" s="59">
        <f t="shared" si="150"/>
        <v>275.18739333988754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11.418617737609761</v>
      </c>
      <c r="DG152" s="21">
        <f>EXP(-LN(2)/25)*DG151+(1-EXP(-LN(2)/25))/(LN(2)/25)*Calculateur!DB152*Calculateur!DD152*VLOOKUP('Données projet'!$B$13,Paramètres!$A$1:$I$89,3,0)*0.475*44/12</f>
        <v>1.113883497454633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12.532501235064395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-6.3550942286383367E-14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278.5296012747549</v>
      </c>
      <c r="T153" s="59">
        <f t="shared" si="142"/>
        <v>370.55343097937077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34.537259716813651</v>
      </c>
      <c r="AA153" s="21">
        <f>EXP(-LN(2)/25)*AA152+(1-EXP(-LN(2)/25))/(LN(2)/25)*Calculateur!V153*Calculateur!X153*VLOOKUP('Données projet'!$B$9,Paramètres!$A$1:$I$89,3,0)*0.475*44/12</f>
        <v>4.1358654810728881</v>
      </c>
      <c r="AB153" s="21">
        <f>EXP(-LN(2)/2)*AB152+(1-EXP(-LN(2)/2))/(LN(2)/2)*V153*Y153*VLOOKUP('Données projet'!$B$9,Paramètres!$A$1:$I$89,3,0)*0.475*44/12</f>
        <v>1.716364985461147E-13</v>
      </c>
      <c r="AC153" s="22">
        <f t="shared" si="111"/>
        <v>38.673125197886712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-6.2527760746888816E-13</v>
      </c>
      <c r="AJ153" s="13">
        <f>AI153*VLOOKUP('Données projet'!$B$10,Paramètres!$A$1:$I$89,3,0)*VLOOKUP('Données projet'!$B$10,Paramètres!$A$1:$I$89,5,0)</f>
        <v>-3.0075852919253523E-13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255.05550867459038</v>
      </c>
      <c r="AO153" s="59">
        <f t="shared" si="144"/>
        <v>119.28597757550295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152.93112114695182</v>
      </c>
      <c r="AV153" s="21">
        <f>EXP(-LN(2)/25)*AV152+(1-EXP(-LN(2)/25))/(LN(2)/25)*Calculateur!AQ153*Calculateur!AS153*VLOOKUP('Données projet'!$B$10,Paramètres!$A$1:$I$89,3,0)*0.475*44/12</f>
        <v>30.839183123231745</v>
      </c>
      <c r="AW153" s="21">
        <f>EXP(-LN(2)/2)*AW152+(1-EXP(-LN(2)/2))/(LN(2)/2)*AQ153*AT153*VLOOKUP('Données projet'!$B$10,Paramètres!$A$1:$I$89,3,0)*0.475*44/12</f>
        <v>0.14095801658139329</v>
      </c>
      <c r="AX153" s="21">
        <f t="shared" si="114"/>
        <v>183.91126228676495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1.1368683772161603E-12</v>
      </c>
      <c r="BE153" s="13">
        <f>BD153*VLOOKUP('Données projet'!$B$11,Paramètres!$A$1:$I$89,3,0)*VLOOKUP('Données projet'!$B$11,Paramètres!$A$1:$I$89,5,0)</f>
        <v>5.3205440053716299E-13</v>
      </c>
      <c r="BF153" s="13">
        <f t="shared" si="145"/>
        <v>6.579711042921201E-12</v>
      </c>
      <c r="BG153" s="20">
        <f t="shared" si="115"/>
        <v>1.2386324814023317E-11</v>
      </c>
      <c r="BH153" s="59">
        <f t="shared" si="116"/>
        <v>293.33333333334571</v>
      </c>
      <c r="BI153" s="59">
        <f ca="1">AVERAGE(OFFSET($BH$3,0,0,'Données projet'!$E$11+1,1))-AVERAGE(OFFSET($H$3,0,0,'Données projet'!$E$11+1,1))</f>
        <v>181.79645720099597</v>
      </c>
      <c r="BJ153" s="59">
        <f t="shared" si="146"/>
        <v>120.20040029102233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100.06625630105664</v>
      </c>
      <c r="BQ153" s="21">
        <f>EXP(-LN(2)/25)*BQ152+(1-EXP(-LN(2)/25))/(LN(2)/25)*Calculateur!BL153*Calculateur!BN153*VLOOKUP('Données projet'!$B$11,Paramètres!$A$1:$I$89,3,0)*0.475*44/12</f>
        <v>20.55748328222117</v>
      </c>
      <c r="BR153" s="21">
        <f>EXP(-LN(2)/2)*BR152+(1-EXP(-LN(2)/2))/(LN(2)/2)*BL153*BO153*VLOOKUP('Données projet'!$B$11,Paramètres!$A$1:$I$89,3,0)*0.475*44/12</f>
        <v>2.5707423353796621E-2</v>
      </c>
      <c r="BS153" s="22">
        <f t="shared" si="117"/>
        <v>120.6494470066316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-3.979039320256561E-13</v>
      </c>
      <c r="BZ153" s="13">
        <f>BY153*VLOOKUP('Données projet'!$B$12,Paramètres!$A$1:$I$89,3,0)*VLOOKUP('Données projet'!$B$12,Paramètres!$A$1:$I$89,5,0)</f>
        <v>-2.379465513513424E-13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213.18424462765137</v>
      </c>
      <c r="CE153" s="59">
        <f t="shared" si="148"/>
        <v>158.77848520346532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35.561898090212793</v>
      </c>
      <c r="CL153" s="21">
        <f>EXP(-LN(2)/25)*CL152+(1-EXP(-LN(2)/25))/(LN(2)/25)*Calculateur!CG153*Calculateur!CI153*VLOOKUP('Données projet'!$B$12,Paramètres!$A$1:$I$89,3,0)*0.475*44/12</f>
        <v>4.912746359929054</v>
      </c>
      <c r="CM153" s="21">
        <f>EXP(-LN(2)/2)*CM152+(1-EXP(-LN(2)/2))/(LN(2)/2)*CG153*CJ153*VLOOKUP('Données projet'!$B$12,Paramètres!$A$1:$I$89,3,0)*0.475*44/12</f>
        <v>1.0524359257215319E-9</v>
      </c>
      <c r="CN153" s="22">
        <f t="shared" si="120"/>
        <v>40.47464445119428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319</v>
      </c>
      <c r="CU153" s="17">
        <f>CT153*VLOOKUP('Données projet'!$B$13,Paramètres!$A$1:$I$89,3,0)*VLOOKUP('Données projet'!$B$13,Paramètres!$A$1:$I$89,5,0)</f>
        <v>253.79640000000001</v>
      </c>
      <c r="CV153" s="13">
        <f t="shared" si="149"/>
        <v>61.39816832228076</v>
      </c>
      <c r="CW153" s="20">
        <f t="shared" si="121"/>
        <v>548.96387316130563</v>
      </c>
      <c r="CX153" s="59">
        <f t="shared" si="122"/>
        <v>842.29720649463889</v>
      </c>
      <c r="CY153" s="59">
        <f ca="1">AVERAGE(OFFSET($CX$3,0,0,'Données projet'!$E$13+1,1))-AVERAGE(OFFSET($H$3,0,0,'Données projet'!$E$13+1,1))</f>
        <v>279.49721661620544</v>
      </c>
      <c r="CZ153" s="59">
        <f t="shared" si="150"/>
        <v>275.18739333988754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11.19470560844435</v>
      </c>
      <c r="DG153" s="21">
        <f>EXP(-LN(2)/25)*DG152+(1-EXP(-LN(2)/25))/(LN(2)/25)*Calculateur!DB153*Calculateur!DD153*VLOOKUP('Données projet'!$B$13,Paramètres!$A$1:$I$89,3,0)*0.475*44/12</f>
        <v>1.0834242946401487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12.278129903084498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-6.3550942286383367E-14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278.5296012747549</v>
      </c>
      <c r="T154" s="59">
        <f t="shared" si="142"/>
        <v>370.55343097937077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33.860005119415305</v>
      </c>
      <c r="AA154" s="21">
        <f>EXP(-LN(2)/25)*AA153+(1-EXP(-LN(2)/25))/(LN(2)/25)*Calculateur!V154*Calculateur!X154*VLOOKUP('Données projet'!$B$9,Paramètres!$A$1:$I$89,3,0)*0.475*44/12</f>
        <v>4.0227700219972373</v>
      </c>
      <c r="AB154" s="21">
        <f>EXP(-LN(2)/2)*AB153+(1-EXP(-LN(2)/2))/(LN(2)/2)*V154*Y154*VLOOKUP('Données projet'!$B$9,Paramètres!$A$1:$I$89,3,0)*0.475*44/12</f>
        <v>1.2136533202107271E-13</v>
      </c>
      <c r="AC154" s="22">
        <f t="shared" ref="AC154:AC203" si="163">SUM(Z154:AB154)</f>
        <v>37.882775141412665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-6.2527760746888816E-13</v>
      </c>
      <c r="AJ154" s="13">
        <f>AI154*VLOOKUP('Données projet'!$B$10,Paramètres!$A$1:$I$89,3,0)*VLOOKUP('Données projet'!$B$10,Paramètres!$A$1:$I$89,5,0)</f>
        <v>-3.0075852919253523E-13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255.05550867459038</v>
      </c>
      <c r="AO154" s="59">
        <f t="shared" si="144"/>
        <v>119.28597757550295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149.9322351400335</v>
      </c>
      <c r="AV154" s="21">
        <f>EXP(-LN(2)/25)*AV153+(1-EXP(-LN(2)/25))/(LN(2)/25)*Calculateur!AQ154*Calculateur!AS154*VLOOKUP('Données projet'!$B$10,Paramètres!$A$1:$I$89,3,0)*0.475*44/12</f>
        <v>29.995884038964817</v>
      </c>
      <c r="AW154" s="21">
        <f>EXP(-LN(2)/2)*AW153+(1-EXP(-LN(2)/2))/(LN(2)/2)*AQ154*AT154*VLOOKUP('Données projet'!$B$10,Paramètres!$A$1:$I$89,3,0)*0.475*44/12</f>
        <v>9.9672369387309001E-2</v>
      </c>
      <c r="AX154" s="21">
        <f t="shared" ref="AX154:AX203" si="166">SUM(AU154:AW154)</f>
        <v>180.02779154838564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1.1368683772161603E-12</v>
      </c>
      <c r="BE154" s="13">
        <f>BD154*VLOOKUP('Données projet'!$B$11,Paramètres!$A$1:$I$89,3,0)*VLOOKUP('Données projet'!$B$11,Paramètres!$A$1:$I$89,5,0)</f>
        <v>5.3205440053716299E-13</v>
      </c>
      <c r="BF154" s="13">
        <f t="shared" ref="BF154:BF203" si="167">EXP(-1.0587+0.8836*LN(BE154)+0.284)</f>
        <v>6.579711042921201E-12</v>
      </c>
      <c r="BG154" s="20">
        <f t="shared" ref="BG154:BG203" si="168">(BE154+BF154)*0.475*44/12</f>
        <v>1.2386324814023317E-11</v>
      </c>
      <c r="BH154" s="59">
        <f t="shared" si="116"/>
        <v>293.33333333334571</v>
      </c>
      <c r="BI154" s="59">
        <f ca="1">AVERAGE(OFFSET($BH$3,0,0,'Données projet'!$E$11+1,1))-AVERAGE(OFFSET($H$3,0,0,'Données projet'!$E$11+1,1))</f>
        <v>181.79645720099597</v>
      </c>
      <c r="BJ154" s="59">
        <f t="shared" si="146"/>
        <v>120.20040029102233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98.104018049382617</v>
      </c>
      <c r="BQ154" s="21">
        <f>EXP(-LN(2)/25)*BQ153+(1-EXP(-LN(2)/25))/(LN(2)/25)*Calculateur!BL154*Calculateur!BN154*VLOOKUP('Données projet'!$B$11,Paramètres!$A$1:$I$89,3,0)*0.475*44/12</f>
        <v>19.995337820797772</v>
      </c>
      <c r="BR154" s="21">
        <f>EXP(-LN(2)/2)*BR153+(1-EXP(-LN(2)/2))/(LN(2)/2)*BL154*BO154*VLOOKUP('Données projet'!$B$11,Paramètres!$A$1:$I$89,3,0)*0.475*44/12</f>
        <v>1.8177893380303008E-2</v>
      </c>
      <c r="BS154" s="22">
        <f t="shared" ref="BS154:BS203" si="169">SUM(BP154:BR154)</f>
        <v>118.11753376356069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-3.979039320256561E-13</v>
      </c>
      <c r="BZ154" s="13">
        <f>BY154*VLOOKUP('Données projet'!$B$12,Paramètres!$A$1:$I$89,3,0)*VLOOKUP('Données projet'!$B$12,Paramètres!$A$1:$I$89,5,0)</f>
        <v>-2.379465513513424E-13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213.18424462765137</v>
      </c>
      <c r="CE154" s="59">
        <f t="shared" si="148"/>
        <v>158.77848520346532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34.864550959279782</v>
      </c>
      <c r="CL154" s="21">
        <f>EXP(-LN(2)/25)*CL153+(1-EXP(-LN(2)/25))/(LN(2)/25)*Calculateur!CG154*Calculateur!CI154*VLOOKUP('Données projet'!$B$12,Paramètres!$A$1:$I$89,3,0)*0.475*44/12</f>
        <v>4.7784070523666911</v>
      </c>
      <c r="CM154" s="21">
        <f>EXP(-LN(2)/2)*CM153+(1-EXP(-LN(2)/2))/(LN(2)/2)*CG154*CJ154*VLOOKUP('Données projet'!$B$12,Paramètres!$A$1:$I$89,3,0)*0.475*44/12</f>
        <v>7.4418457984203688E-10</v>
      </c>
      <c r="CN154" s="22">
        <f t="shared" ref="CN154:CN203" si="172">SUM(CK154:CM154)</f>
        <v>39.642958012390658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319</v>
      </c>
      <c r="CU154" s="17">
        <f>CT154*VLOOKUP('Données projet'!$B$13,Paramètres!$A$1:$I$89,3,0)*VLOOKUP('Données projet'!$B$13,Paramètres!$A$1:$I$89,5,0)</f>
        <v>253.79640000000001</v>
      </c>
      <c r="CV154" s="13">
        <f t="shared" ref="CV154:CV203" si="173">EXP(-1.0587+0.8836*LN(CU154)+0.284)</f>
        <v>61.39816832228076</v>
      </c>
      <c r="CW154" s="20">
        <f t="shared" ref="CW154:CW203" si="174">(CU154+CV154)*0.475*44/12</f>
        <v>548.96387316130563</v>
      </c>
      <c r="CX154" s="59">
        <f t="shared" si="122"/>
        <v>842.29720649463889</v>
      </c>
      <c r="CY154" s="59">
        <f ca="1">AVERAGE(OFFSET($CX$3,0,0,'Données projet'!$E$13+1,1))-AVERAGE(OFFSET($H$3,0,0,'Données projet'!$E$13+1,1))</f>
        <v>279.49721661620544</v>
      </c>
      <c r="CZ154" s="59">
        <f t="shared" si="150"/>
        <v>275.18739333988754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10.97518425955896</v>
      </c>
      <c r="DG154" s="21">
        <f>EXP(-LN(2)/25)*DG153+(1-EXP(-LN(2)/25))/(LN(2)/25)*Calculateur!DB154*Calculateur!DD154*VLOOKUP('Données projet'!$B$13,Paramètres!$A$1:$I$89,3,0)*0.475*44/12</f>
        <v>1.0537980003284064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12.028982259887366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-6.3550942286383367E-14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278.5296012747549</v>
      </c>
      <c r="T155" s="59">
        <f t="shared" si="142"/>
        <v>370.55343097937077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33.19603107158742</v>
      </c>
      <c r="AA155" s="21">
        <f>EXP(-LN(2)/25)*AA154+(1-EXP(-LN(2)/25))/(LN(2)/25)*Calculateur!V155*Calculateur!X155*VLOOKUP('Données projet'!$B$9,Paramètres!$A$1:$I$89,3,0)*0.475*44/12</f>
        <v>3.9127671641974415</v>
      </c>
      <c r="AB155" s="21">
        <f>EXP(-LN(2)/2)*AB154+(1-EXP(-LN(2)/2))/(LN(2)/2)*V155*Y155*VLOOKUP('Données projet'!$B$9,Paramètres!$A$1:$I$89,3,0)*0.475*44/12</f>
        <v>8.5818249273057349E-14</v>
      </c>
      <c r="AC155" s="22">
        <f t="shared" si="163"/>
        <v>37.108798235784946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-6.2527760746888816E-13</v>
      </c>
      <c r="AJ155" s="13">
        <f>AI155*VLOOKUP('Données projet'!$B$10,Paramètres!$A$1:$I$89,3,0)*VLOOKUP('Données projet'!$B$10,Paramètres!$A$1:$I$89,5,0)</f>
        <v>-3.0075852919253523E-13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255.05550867459038</v>
      </c>
      <c r="AO155" s="59">
        <f t="shared" si="144"/>
        <v>119.28597757550295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146.99215545857098</v>
      </c>
      <c r="AV155" s="21">
        <f>EXP(-LN(2)/25)*AV154+(1-EXP(-LN(2)/25))/(LN(2)/25)*Calculateur!AQ155*Calculateur!AS155*VLOOKUP('Données projet'!$B$10,Paramètres!$A$1:$I$89,3,0)*0.475*44/12</f>
        <v>29.17564501250434</v>
      </c>
      <c r="AW155" s="21">
        <f>EXP(-LN(2)/2)*AW154+(1-EXP(-LN(2)/2))/(LN(2)/2)*AQ155*AT155*VLOOKUP('Données projet'!$B$10,Paramètres!$A$1:$I$89,3,0)*0.475*44/12</f>
        <v>7.0479008290696643E-2</v>
      </c>
      <c r="AX155" s="21">
        <f t="shared" si="166"/>
        <v>176.23827947936601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1.1368683772161603E-12</v>
      </c>
      <c r="BE155" s="13">
        <f>BD155*VLOOKUP('Données projet'!$B$11,Paramètres!$A$1:$I$89,3,0)*VLOOKUP('Données projet'!$B$11,Paramètres!$A$1:$I$89,5,0)</f>
        <v>5.3205440053716299E-13</v>
      </c>
      <c r="BF155" s="13">
        <f t="shared" si="167"/>
        <v>6.579711042921201E-12</v>
      </c>
      <c r="BG155" s="20">
        <f t="shared" si="168"/>
        <v>1.2386324814023317E-11</v>
      </c>
      <c r="BH155" s="59">
        <f t="shared" si="116"/>
        <v>293.33333333334571</v>
      </c>
      <c r="BI155" s="59">
        <f ca="1">AVERAGE(OFFSET($BH$3,0,0,'Données projet'!$E$11+1,1))-AVERAGE(OFFSET($H$3,0,0,'Données projet'!$E$11+1,1))</f>
        <v>181.79645720099597</v>
      </c>
      <c r="BJ155" s="59">
        <f t="shared" si="146"/>
        <v>120.20040029102233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96.180258092976771</v>
      </c>
      <c r="BQ155" s="21">
        <f>EXP(-LN(2)/25)*BQ154+(1-EXP(-LN(2)/25))/(LN(2)/25)*Calculateur!BL155*Calculateur!BN155*VLOOKUP('Données projet'!$B$11,Paramètres!$A$1:$I$89,3,0)*0.475*44/12</f>
        <v>19.448564256578941</v>
      </c>
      <c r="BR155" s="21">
        <f>EXP(-LN(2)/2)*BR154+(1-EXP(-LN(2)/2))/(LN(2)/2)*BL155*BO155*VLOOKUP('Données projet'!$B$11,Paramètres!$A$1:$I$89,3,0)*0.475*44/12</f>
        <v>1.285371167689831E-2</v>
      </c>
      <c r="BS155" s="22">
        <f t="shared" si="169"/>
        <v>115.64167606123262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-3.979039320256561E-13</v>
      </c>
      <c r="BZ155" s="13">
        <f>BY155*VLOOKUP('Données projet'!$B$12,Paramètres!$A$1:$I$89,3,0)*VLOOKUP('Données projet'!$B$12,Paramètres!$A$1:$I$89,5,0)</f>
        <v>-2.379465513513424E-13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213.18424462765137</v>
      </c>
      <c r="CE155" s="59">
        <f t="shared" si="148"/>
        <v>158.77848520346532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34.180878380244621</v>
      </c>
      <c r="CL155" s="21">
        <f>EXP(-LN(2)/25)*CL154+(1-EXP(-LN(2)/25))/(LN(2)/25)*Calculateur!CG155*Calculateur!CI155*VLOOKUP('Données projet'!$B$12,Paramètres!$A$1:$I$89,3,0)*0.475*44/12</f>
        <v>4.6477412602342181</v>
      </c>
      <c r="CM155" s="21">
        <f>EXP(-LN(2)/2)*CM154+(1-EXP(-LN(2)/2))/(LN(2)/2)*CG155*CJ155*VLOOKUP('Données projet'!$B$12,Paramètres!$A$1:$I$89,3,0)*0.475*44/12</f>
        <v>5.2621796286076597E-10</v>
      </c>
      <c r="CN155" s="22">
        <f t="shared" si="172"/>
        <v>38.828619641005062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319</v>
      </c>
      <c r="CU155" s="17">
        <f>CT155*VLOOKUP('Données projet'!$B$13,Paramètres!$A$1:$I$89,3,0)*VLOOKUP('Données projet'!$B$13,Paramètres!$A$1:$I$89,5,0)</f>
        <v>253.79640000000001</v>
      </c>
      <c r="CV155" s="13">
        <f t="shared" si="173"/>
        <v>61.39816832228076</v>
      </c>
      <c r="CW155" s="20">
        <f t="shared" si="174"/>
        <v>548.96387316130563</v>
      </c>
      <c r="CX155" s="59">
        <f t="shared" si="122"/>
        <v>842.29720649463889</v>
      </c>
      <c r="CY155" s="59">
        <f ca="1">AVERAGE(OFFSET($CX$3,0,0,'Données projet'!$E$13+1,1))-AVERAGE(OFFSET($H$3,0,0,'Données projet'!$E$13+1,1))</f>
        <v>279.49721661620544</v>
      </c>
      <c r="CZ155" s="59">
        <f t="shared" si="150"/>
        <v>275.18739333988754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10.75996759043041</v>
      </c>
      <c r="DG155" s="21">
        <f>EXP(-LN(2)/25)*DG154+(1-EXP(-LN(2)/25))/(LN(2)/25)*Calculateur!DB155*Calculateur!DD155*VLOOKUP('Données projet'!$B$13,Paramètres!$A$1:$I$89,3,0)*0.475*44/12</f>
        <v>1.0249818385925977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11.784949429023008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-6.3550942286383367E-14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278.5296012747549</v>
      </c>
      <c r="T156" s="59">
        <f t="shared" si="142"/>
        <v>370.55343097937077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32.545077149853263</v>
      </c>
      <c r="AA156" s="21">
        <f>EXP(-LN(2)/25)*AA155+(1-EXP(-LN(2)/25))/(LN(2)/25)*Calculateur!V156*Calculateur!X156*VLOOKUP('Données projet'!$B$9,Paramètres!$A$1:$I$89,3,0)*0.475*44/12</f>
        <v>3.8057723403289803</v>
      </c>
      <c r="AB156" s="21">
        <f>EXP(-LN(2)/2)*AB155+(1-EXP(-LN(2)/2))/(LN(2)/2)*V156*Y156*VLOOKUP('Données projet'!$B$9,Paramètres!$A$1:$I$89,3,0)*0.475*44/12</f>
        <v>6.0682666010536354E-14</v>
      </c>
      <c r="AC156" s="22">
        <f t="shared" si="163"/>
        <v>36.350849490182306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-6.2527760746888816E-13</v>
      </c>
      <c r="AJ156" s="13">
        <f>AI156*VLOOKUP('Données projet'!$B$10,Paramètres!$A$1:$I$89,3,0)*VLOOKUP('Données projet'!$B$10,Paramètres!$A$1:$I$89,5,0)</f>
        <v>-3.0075852919253523E-13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255.05550867459038</v>
      </c>
      <c r="AO156" s="59">
        <f t="shared" si="144"/>
        <v>119.28597757550295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144.10972894639039</v>
      </c>
      <c r="AV156" s="21">
        <f>EXP(-LN(2)/25)*AV155+(1-EXP(-LN(2)/25))/(LN(2)/25)*Calculateur!AQ156*Calculateur!AS156*VLOOKUP('Données projet'!$B$10,Paramètres!$A$1:$I$89,3,0)*0.475*44/12</f>
        <v>28.37783546535692</v>
      </c>
      <c r="AW156" s="21">
        <f>EXP(-LN(2)/2)*AW155+(1-EXP(-LN(2)/2))/(LN(2)/2)*AQ156*AT156*VLOOKUP('Données projet'!$B$10,Paramètres!$A$1:$I$89,3,0)*0.475*44/12</f>
        <v>4.9836184693654501E-2</v>
      </c>
      <c r="AX156" s="21">
        <f t="shared" si="166"/>
        <v>172.53740059644096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1.1368683772161603E-12</v>
      </c>
      <c r="BE156" s="13">
        <f>BD156*VLOOKUP('Données projet'!$B$11,Paramètres!$A$1:$I$89,3,0)*VLOOKUP('Données projet'!$B$11,Paramètres!$A$1:$I$89,5,0)</f>
        <v>5.3205440053716299E-13</v>
      </c>
      <c r="BF156" s="13">
        <f t="shared" si="167"/>
        <v>6.579711042921201E-12</v>
      </c>
      <c r="BG156" s="20">
        <f t="shared" si="168"/>
        <v>1.2386324814023317E-11</v>
      </c>
      <c r="BH156" s="59">
        <f t="shared" si="116"/>
        <v>293.33333333334571</v>
      </c>
      <c r="BI156" s="59">
        <f ca="1">AVERAGE(OFFSET($BH$3,0,0,'Données projet'!$E$11+1,1))-AVERAGE(OFFSET($H$3,0,0,'Données projet'!$E$11+1,1))</f>
        <v>181.79645720099597</v>
      </c>
      <c r="BJ156" s="59">
        <f t="shared" si="146"/>
        <v>120.20040029102233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94.294221895938335</v>
      </c>
      <c r="BQ156" s="21">
        <f>EXP(-LN(2)/25)*BQ155+(1-EXP(-LN(2)/25))/(LN(2)/25)*Calculateur!BL156*Calculateur!BN156*VLOOKUP('Données projet'!$B$11,Paramètres!$A$1:$I$89,3,0)*0.475*44/12</f>
        <v>18.916742244227244</v>
      </c>
      <c r="BR156" s="21">
        <f>EXP(-LN(2)/2)*BR155+(1-EXP(-LN(2)/2))/(LN(2)/2)*BL156*BO156*VLOOKUP('Données projet'!$B$11,Paramètres!$A$1:$I$89,3,0)*0.475*44/12</f>
        <v>9.0889466901515042E-3</v>
      </c>
      <c r="BS156" s="22">
        <f t="shared" si="169"/>
        <v>113.22005308685573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-3.979039320256561E-13</v>
      </c>
      <c r="BZ156" s="13">
        <f>BY156*VLOOKUP('Données projet'!$B$12,Paramètres!$A$1:$I$89,3,0)*VLOOKUP('Données projet'!$B$12,Paramètres!$A$1:$I$89,5,0)</f>
        <v>-2.379465513513424E-13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213.18424462765137</v>
      </c>
      <c r="CE156" s="59">
        <f t="shared" si="148"/>
        <v>158.77848520346532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33.510612203485238</v>
      </c>
      <c r="CL156" s="21">
        <f>EXP(-LN(2)/25)*CL155+(1-EXP(-LN(2)/25))/(LN(2)/25)*Calculateur!CG156*Calculateur!CI156*VLOOKUP('Données projet'!$B$12,Paramètres!$A$1:$I$89,3,0)*0.475*44/12</f>
        <v>4.520648531059023</v>
      </c>
      <c r="CM156" s="21">
        <f>EXP(-LN(2)/2)*CM155+(1-EXP(-LN(2)/2))/(LN(2)/2)*CG156*CJ156*VLOOKUP('Données projet'!$B$12,Paramètres!$A$1:$I$89,3,0)*0.475*44/12</f>
        <v>3.7209228992101844E-10</v>
      </c>
      <c r="CN156" s="22">
        <f t="shared" si="172"/>
        <v>38.031260734916351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319</v>
      </c>
      <c r="CU156" s="17">
        <f>CT156*VLOOKUP('Données projet'!$B$13,Paramètres!$A$1:$I$89,3,0)*VLOOKUP('Données projet'!$B$13,Paramètres!$A$1:$I$89,5,0)</f>
        <v>253.79640000000001</v>
      </c>
      <c r="CV156" s="13">
        <f t="shared" si="173"/>
        <v>61.39816832228076</v>
      </c>
      <c r="CW156" s="20">
        <f t="shared" si="174"/>
        <v>548.96387316130563</v>
      </c>
      <c r="CX156" s="59">
        <f t="shared" si="122"/>
        <v>842.29720649463889</v>
      </c>
      <c r="CY156" s="59">
        <f ca="1">AVERAGE(OFFSET($CX$3,0,0,'Données projet'!$E$13+1,1))-AVERAGE(OFFSET($H$3,0,0,'Données projet'!$E$13+1,1))</f>
        <v>279.49721661620544</v>
      </c>
      <c r="CZ156" s="59">
        <f t="shared" si="150"/>
        <v>275.18739333988754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10.548971188914264</v>
      </c>
      <c r="DG156" s="21">
        <f>EXP(-LN(2)/25)*DG155+(1-EXP(-LN(2)/25))/(LN(2)/25)*Calculateur!DB156*Calculateur!DD156*VLOOKUP('Données projet'!$B$13,Paramètres!$A$1:$I$89,3,0)*0.475*44/12</f>
        <v>0.9969536563148309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11.545924845229095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-6.3550942286383367E-14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278.5296012747549</v>
      </c>
      <c r="T157" s="59">
        <f t="shared" si="142"/>
        <v>370.55343097937077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31.906888037481625</v>
      </c>
      <c r="AA157" s="21">
        <f>EXP(-LN(2)/25)*AA156+(1-EXP(-LN(2)/25))/(LN(2)/25)*Calculateur!V157*Calculateur!X157*VLOOKUP('Données projet'!$B$9,Paramètres!$A$1:$I$89,3,0)*0.475*44/12</f>
        <v>3.7017032955458151</v>
      </c>
      <c r="AB157" s="21">
        <f>EXP(-LN(2)/2)*AB156+(1-EXP(-LN(2)/2))/(LN(2)/2)*V157*Y157*VLOOKUP('Données projet'!$B$9,Paramètres!$A$1:$I$89,3,0)*0.475*44/12</f>
        <v>4.2909124636528675E-14</v>
      </c>
      <c r="AC157" s="22">
        <f t="shared" si="163"/>
        <v>35.608591333027483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-6.2527760746888816E-13</v>
      </c>
      <c r="AJ157" s="13">
        <f>AI157*VLOOKUP('Données projet'!$B$10,Paramètres!$A$1:$I$89,3,0)*VLOOKUP('Données projet'!$B$10,Paramètres!$A$1:$I$89,5,0)</f>
        <v>-3.0075852919253523E-13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255.05550867459038</v>
      </c>
      <c r="AO157" s="59">
        <f t="shared" si="144"/>
        <v>119.28597757550295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141.2838250600071</v>
      </c>
      <c r="AV157" s="21">
        <f>EXP(-LN(2)/25)*AV156+(1-EXP(-LN(2)/25))/(LN(2)/25)*Calculateur!AQ157*Calculateur!AS157*VLOOKUP('Données projet'!$B$10,Paramètres!$A$1:$I$89,3,0)*0.475*44/12</f>
        <v>27.601842062231228</v>
      </c>
      <c r="AW157" s="21">
        <f>EXP(-LN(2)/2)*AW156+(1-EXP(-LN(2)/2))/(LN(2)/2)*AQ157*AT157*VLOOKUP('Données projet'!$B$10,Paramètres!$A$1:$I$89,3,0)*0.475*44/12</f>
        <v>3.5239504145348322E-2</v>
      </c>
      <c r="AX157" s="21">
        <f t="shared" si="166"/>
        <v>168.92090662638367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1.1368683772161603E-12</v>
      </c>
      <c r="BE157" s="13">
        <f>BD157*VLOOKUP('Données projet'!$B$11,Paramètres!$A$1:$I$89,3,0)*VLOOKUP('Données projet'!$B$11,Paramètres!$A$1:$I$89,5,0)</f>
        <v>5.3205440053716299E-13</v>
      </c>
      <c r="BF157" s="13">
        <f t="shared" si="167"/>
        <v>6.579711042921201E-12</v>
      </c>
      <c r="BG157" s="20">
        <f t="shared" si="168"/>
        <v>1.2386324814023317E-11</v>
      </c>
      <c r="BH157" s="59">
        <f t="shared" si="116"/>
        <v>293.33333333334571</v>
      </c>
      <c r="BI157" s="59">
        <f ca="1">AVERAGE(OFFSET($BH$3,0,0,'Données projet'!$E$11+1,1))-AVERAGE(OFFSET($H$3,0,0,'Données projet'!$E$11+1,1))</f>
        <v>181.79645720099597</v>
      </c>
      <c r="BJ157" s="59">
        <f t="shared" si="146"/>
        <v>120.20040029102233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92.445169718355331</v>
      </c>
      <c r="BQ157" s="21">
        <f>EXP(-LN(2)/25)*BQ156+(1-EXP(-LN(2)/25))/(LN(2)/25)*Calculateur!BL157*Calculateur!BN157*VLOOKUP('Données projet'!$B$11,Paramètres!$A$1:$I$89,3,0)*0.475*44/12</f>
        <v>18.399462932770611</v>
      </c>
      <c r="BR157" s="21">
        <f>EXP(-LN(2)/2)*BR156+(1-EXP(-LN(2)/2))/(LN(2)/2)*BL157*BO157*VLOOKUP('Données projet'!$B$11,Paramètres!$A$1:$I$89,3,0)*0.475*44/12</f>
        <v>6.4268558384491551E-3</v>
      </c>
      <c r="BS157" s="22">
        <f t="shared" si="169"/>
        <v>110.8510595069644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-3.979039320256561E-13</v>
      </c>
      <c r="BZ157" s="13">
        <f>BY157*VLOOKUP('Données projet'!$B$12,Paramètres!$A$1:$I$89,3,0)*VLOOKUP('Données projet'!$B$12,Paramètres!$A$1:$I$89,5,0)</f>
        <v>-2.379465513513424E-13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213.18424462765137</v>
      </c>
      <c r="CE157" s="59">
        <f t="shared" si="148"/>
        <v>158.77848520346532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32.853489537630111</v>
      </c>
      <c r="CL157" s="21">
        <f>EXP(-LN(2)/25)*CL156+(1-EXP(-LN(2)/25))/(LN(2)/25)*Calculateur!CG157*Calculateur!CI157*VLOOKUP('Données projet'!$B$12,Paramètres!$A$1:$I$89,3,0)*0.475*44/12</f>
        <v>4.39703115924664</v>
      </c>
      <c r="CM157" s="21">
        <f>EXP(-LN(2)/2)*CM156+(1-EXP(-LN(2)/2))/(LN(2)/2)*CG157*CJ157*VLOOKUP('Données projet'!$B$12,Paramètres!$A$1:$I$89,3,0)*0.475*44/12</f>
        <v>2.6310898143038299E-10</v>
      </c>
      <c r="CN157" s="22">
        <f t="shared" si="172"/>
        <v>37.250520697139855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319</v>
      </c>
      <c r="CU157" s="17">
        <f>CT157*VLOOKUP('Données projet'!$B$13,Paramètres!$A$1:$I$89,3,0)*VLOOKUP('Données projet'!$B$13,Paramètres!$A$1:$I$89,5,0)</f>
        <v>253.79640000000001</v>
      </c>
      <c r="CV157" s="13">
        <f t="shared" si="173"/>
        <v>61.39816832228076</v>
      </c>
      <c r="CW157" s="20">
        <f t="shared" si="174"/>
        <v>548.96387316130563</v>
      </c>
      <c r="CX157" s="59">
        <f t="shared" si="122"/>
        <v>842.29720649463889</v>
      </c>
      <c r="CY157" s="59">
        <f ca="1">AVERAGE(OFFSET($CX$3,0,0,'Données projet'!$E$13+1,1))-AVERAGE(OFFSET($H$3,0,0,'Données projet'!$E$13+1,1))</f>
        <v>279.49721661620544</v>
      </c>
      <c r="CZ157" s="59">
        <f t="shared" si="150"/>
        <v>275.18739333988754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10.342112298136753</v>
      </c>
      <c r="DG157" s="21">
        <f>EXP(-LN(2)/25)*DG156+(1-EXP(-LN(2)/25))/(LN(2)/25)*Calculateur!DB157*Calculateur!DD157*VLOOKUP('Données projet'!$B$13,Paramètres!$A$1:$I$89,3,0)*0.475*44/12</f>
        <v>0.96969190615538758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11.311804204292141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-6.3550942286383367E-14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278.5296012747549</v>
      </c>
      <c r="T158" s="59">
        <f t="shared" si="142"/>
        <v>370.55343097937077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31.281213424346671</v>
      </c>
      <c r="AA158" s="21">
        <f>EXP(-LN(2)/25)*AA157+(1-EXP(-LN(2)/25))/(LN(2)/25)*Calculateur!V158*Calculateur!X158*VLOOKUP('Données projet'!$B$9,Paramètres!$A$1:$I$89,3,0)*0.475*44/12</f>
        <v>3.600480024264999</v>
      </c>
      <c r="AB158" s="21">
        <f>EXP(-LN(2)/2)*AB157+(1-EXP(-LN(2)/2))/(LN(2)/2)*V158*Y158*VLOOKUP('Données projet'!$B$9,Paramètres!$A$1:$I$89,3,0)*0.475*44/12</f>
        <v>3.0341333005268177E-14</v>
      </c>
      <c r="AC158" s="22">
        <f t="shared" si="163"/>
        <v>34.881693448611699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-6.2527760746888816E-13</v>
      </c>
      <c r="AJ158" s="13">
        <f>AI158*VLOOKUP('Données projet'!$B$10,Paramètres!$A$1:$I$89,3,0)*VLOOKUP('Données projet'!$B$10,Paramètres!$A$1:$I$89,5,0)</f>
        <v>-3.0075852919253523E-13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255.05550867459038</v>
      </c>
      <c r="AO158" s="59">
        <f t="shared" si="144"/>
        <v>119.28597757550295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138.51333542520462</v>
      </c>
      <c r="AV158" s="21">
        <f>EXP(-LN(2)/25)*AV157+(1-EXP(-LN(2)/25))/(LN(2)/25)*Calculateur!AQ158*Calculateur!AS158*VLOOKUP('Données projet'!$B$10,Paramètres!$A$1:$I$89,3,0)*0.475*44/12</f>
        <v>26.847068239521725</v>
      </c>
      <c r="AW158" s="21">
        <f>EXP(-LN(2)/2)*AW157+(1-EXP(-LN(2)/2))/(LN(2)/2)*AQ158*AT158*VLOOKUP('Données projet'!$B$10,Paramètres!$A$1:$I$89,3,0)*0.475*44/12</f>
        <v>2.491809234682725E-2</v>
      </c>
      <c r="AX158" s="21">
        <f t="shared" si="166"/>
        <v>165.38532175707317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1.1368683772161603E-12</v>
      </c>
      <c r="BE158" s="13">
        <f>BD158*VLOOKUP('Données projet'!$B$11,Paramètres!$A$1:$I$89,3,0)*VLOOKUP('Données projet'!$B$11,Paramètres!$A$1:$I$89,5,0)</f>
        <v>5.3205440053716299E-13</v>
      </c>
      <c r="BF158" s="13">
        <f t="shared" si="167"/>
        <v>6.579711042921201E-12</v>
      </c>
      <c r="BG158" s="20">
        <f t="shared" si="168"/>
        <v>1.2386324814023317E-11</v>
      </c>
      <c r="BH158" s="59">
        <f t="shared" si="116"/>
        <v>293.33333333334571</v>
      </c>
      <c r="BI158" s="59">
        <f ca="1">AVERAGE(OFFSET($BH$3,0,0,'Données projet'!$E$11+1,1))-AVERAGE(OFFSET($H$3,0,0,'Données projet'!$E$11+1,1))</f>
        <v>181.79645720099597</v>
      </c>
      <c r="BJ158" s="59">
        <f t="shared" si="146"/>
        <v>120.20040029102233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90.632376326164263</v>
      </c>
      <c r="BQ158" s="21">
        <f>EXP(-LN(2)/25)*BQ157+(1-EXP(-LN(2)/25))/(LN(2)/25)*Calculateur!BL158*Calculateur!BN158*VLOOKUP('Données projet'!$B$11,Paramètres!$A$1:$I$89,3,0)*0.475*44/12</f>
        <v>17.896328651288297</v>
      </c>
      <c r="BR158" s="21">
        <f>EXP(-LN(2)/2)*BR157+(1-EXP(-LN(2)/2))/(LN(2)/2)*BL158*BO158*VLOOKUP('Données projet'!$B$11,Paramètres!$A$1:$I$89,3,0)*0.475*44/12</f>
        <v>4.5444733450757521E-3</v>
      </c>
      <c r="BS158" s="22">
        <f t="shared" si="169"/>
        <v>108.53324945079764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-3.979039320256561E-13</v>
      </c>
      <c r="BZ158" s="13">
        <f>BY158*VLOOKUP('Données projet'!$B$12,Paramètres!$A$1:$I$89,3,0)*VLOOKUP('Données projet'!$B$12,Paramètres!$A$1:$I$89,5,0)</f>
        <v>-2.379465513513424E-13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213.18424462765137</v>
      </c>
      <c r="CE158" s="59">
        <f t="shared" si="148"/>
        <v>158.77848520346532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32.209252646447148</v>
      </c>
      <c r="CL158" s="21">
        <f>EXP(-LN(2)/25)*CL157+(1-EXP(-LN(2)/25))/(LN(2)/25)*Calculateur!CG158*Calculateur!CI158*VLOOKUP('Données projet'!$B$12,Paramètres!$A$1:$I$89,3,0)*0.475*44/12</f>
        <v>4.2767941109672218</v>
      </c>
      <c r="CM158" s="21">
        <f>EXP(-LN(2)/2)*CM157+(1-EXP(-LN(2)/2))/(LN(2)/2)*CG158*CJ158*VLOOKUP('Données projet'!$B$12,Paramètres!$A$1:$I$89,3,0)*0.475*44/12</f>
        <v>1.8604614496050922E-10</v>
      </c>
      <c r="CN158" s="22">
        <f t="shared" si="172"/>
        <v>36.48604675760042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319</v>
      </c>
      <c r="CU158" s="17">
        <f>CT158*VLOOKUP('Données projet'!$B$13,Paramètres!$A$1:$I$89,3,0)*VLOOKUP('Données projet'!$B$13,Paramètres!$A$1:$I$89,5,0)</f>
        <v>253.79640000000001</v>
      </c>
      <c r="CV158" s="13">
        <f t="shared" si="173"/>
        <v>61.39816832228076</v>
      </c>
      <c r="CW158" s="20">
        <f t="shared" si="174"/>
        <v>548.96387316130563</v>
      </c>
      <c r="CX158" s="59">
        <f t="shared" si="122"/>
        <v>842.29720649463889</v>
      </c>
      <c r="CY158" s="59">
        <f ca="1">AVERAGE(OFFSET($CX$3,0,0,'Données projet'!$E$13+1,1))-AVERAGE(OFFSET($H$3,0,0,'Données projet'!$E$13+1,1))</f>
        <v>279.49721661620544</v>
      </c>
      <c r="CZ158" s="59">
        <f t="shared" si="150"/>
        <v>275.18739333988754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10.139309784035923</v>
      </c>
      <c r="DG158" s="21">
        <f>EXP(-LN(2)/25)*DG157+(1-EXP(-LN(2)/25))/(LN(2)/25)*Calculateur!DB158*Calculateur!DD158*VLOOKUP('Données projet'!$B$13,Paramètres!$A$1:$I$89,3,0)*0.475*44/12</f>
        <v>0.94317562998768745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11.08248541402361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-6.3550942286383367E-14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278.5296012747549</v>
      </c>
      <c r="T159" s="59">
        <f t="shared" si="142"/>
        <v>370.55343097937077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30.667807908751463</v>
      </c>
      <c r="AA159" s="21">
        <f>EXP(-LN(2)/25)*AA158+(1-EXP(-LN(2)/25))/(LN(2)/25)*Calculateur!V159*Calculateur!X159*VLOOKUP('Données projet'!$B$9,Paramètres!$A$1:$I$89,3,0)*0.475*44/12</f>
        <v>3.502024708660457</v>
      </c>
      <c r="AB159" s="21">
        <f>EXP(-LN(2)/2)*AB158+(1-EXP(-LN(2)/2))/(LN(2)/2)*V159*Y159*VLOOKUP('Données projet'!$B$9,Paramètres!$A$1:$I$89,3,0)*0.475*44/12</f>
        <v>2.1454562318264337E-14</v>
      </c>
      <c r="AC159" s="22">
        <f t="shared" si="163"/>
        <v>34.169832617411942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-6.2527760746888816E-13</v>
      </c>
      <c r="AJ159" s="13">
        <f>AI159*VLOOKUP('Données projet'!$B$10,Paramètres!$A$1:$I$89,3,0)*VLOOKUP('Données projet'!$B$10,Paramètres!$A$1:$I$89,5,0)</f>
        <v>-3.0075852919253523E-13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255.05550867459038</v>
      </c>
      <c r="AO159" s="59">
        <f t="shared" si="144"/>
        <v>119.28597757550295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135.79717340230877</v>
      </c>
      <c r="AV159" s="21">
        <f>EXP(-LN(2)/25)*AV158+(1-EXP(-LN(2)/25))/(LN(2)/25)*Calculateur!AQ159*Calculateur!AS159*VLOOKUP('Données projet'!$B$10,Paramètres!$A$1:$I$89,3,0)*0.475*44/12</f>
        <v>26.112933746686046</v>
      </c>
      <c r="AW159" s="21">
        <f>EXP(-LN(2)/2)*AW158+(1-EXP(-LN(2)/2))/(LN(2)/2)*AQ159*AT159*VLOOKUP('Données projet'!$B$10,Paramètres!$A$1:$I$89,3,0)*0.475*44/12</f>
        <v>1.7619752072674161E-2</v>
      </c>
      <c r="AX159" s="21">
        <f t="shared" si="166"/>
        <v>161.9277269010675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1.1368683772161603E-12</v>
      </c>
      <c r="BE159" s="13">
        <f>BD159*VLOOKUP('Données projet'!$B$11,Paramètres!$A$1:$I$89,3,0)*VLOOKUP('Données projet'!$B$11,Paramètres!$A$1:$I$89,5,0)</f>
        <v>5.3205440053716299E-13</v>
      </c>
      <c r="BF159" s="13">
        <f t="shared" si="167"/>
        <v>6.579711042921201E-12</v>
      </c>
      <c r="BG159" s="20">
        <f t="shared" si="168"/>
        <v>1.2386324814023317E-11</v>
      </c>
      <c r="BH159" s="59">
        <f t="shared" si="116"/>
        <v>293.33333333334571</v>
      </c>
      <c r="BI159" s="59">
        <f ca="1">AVERAGE(OFFSET($BH$3,0,0,'Données projet'!$E$11+1,1))-AVERAGE(OFFSET($H$3,0,0,'Données projet'!$E$11+1,1))</f>
        <v>181.79645720099597</v>
      </c>
      <c r="BJ159" s="59">
        <f t="shared" si="146"/>
        <v>120.20040029102233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88.855130706699271</v>
      </c>
      <c r="BQ159" s="21">
        <f>EXP(-LN(2)/25)*BQ158+(1-EXP(-LN(2)/25))/(LN(2)/25)*Calculateur!BL159*Calculateur!BN159*VLOOKUP('Données projet'!$B$11,Paramètres!$A$1:$I$89,3,0)*0.475*44/12</f>
        <v>17.406952603191797</v>
      </c>
      <c r="BR159" s="21">
        <f>EXP(-LN(2)/2)*BR158+(1-EXP(-LN(2)/2))/(LN(2)/2)*BL159*BO159*VLOOKUP('Données projet'!$B$11,Paramètres!$A$1:$I$89,3,0)*0.475*44/12</f>
        <v>3.2134279192245776E-3</v>
      </c>
      <c r="BS159" s="22">
        <f t="shared" si="169"/>
        <v>106.26529673781029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-3.979039320256561E-13</v>
      </c>
      <c r="BZ159" s="13">
        <f>BY159*VLOOKUP('Données projet'!$B$12,Paramètres!$A$1:$I$89,3,0)*VLOOKUP('Données projet'!$B$12,Paramètres!$A$1:$I$89,5,0)</f>
        <v>-2.379465513513424E-13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213.18424462765137</v>
      </c>
      <c r="CE159" s="59">
        <f t="shared" si="148"/>
        <v>158.77848520346532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31.577648847754581</v>
      </c>
      <c r="CL159" s="21">
        <f>EXP(-LN(2)/25)*CL158+(1-EXP(-LN(2)/25))/(LN(2)/25)*Calculateur!CG159*Calculateur!CI159*VLOOKUP('Données projet'!$B$12,Paramètres!$A$1:$I$89,3,0)*0.475*44/12</f>
        <v>4.1598449510959954</v>
      </c>
      <c r="CM159" s="21">
        <f>EXP(-LN(2)/2)*CM158+(1-EXP(-LN(2)/2))/(LN(2)/2)*CG159*CJ159*VLOOKUP('Données projet'!$B$12,Paramètres!$A$1:$I$89,3,0)*0.475*44/12</f>
        <v>1.3155449071519149E-10</v>
      </c>
      <c r="CN159" s="22">
        <f t="shared" si="172"/>
        <v>35.737493798982136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319</v>
      </c>
      <c r="CU159" s="17">
        <f>CT159*VLOOKUP('Données projet'!$B$13,Paramètres!$A$1:$I$89,3,0)*VLOOKUP('Données projet'!$B$13,Paramètres!$A$1:$I$89,5,0)</f>
        <v>253.79640000000001</v>
      </c>
      <c r="CV159" s="13">
        <f t="shared" si="173"/>
        <v>61.39816832228076</v>
      </c>
      <c r="CW159" s="20">
        <f t="shared" si="174"/>
        <v>548.96387316130563</v>
      </c>
      <c r="CX159" s="59">
        <f t="shared" si="122"/>
        <v>842.29720649463889</v>
      </c>
      <c r="CY159" s="59">
        <f ca="1">AVERAGE(OFFSET($CX$3,0,0,'Données projet'!$E$13+1,1))-AVERAGE(OFFSET($H$3,0,0,'Données projet'!$E$13+1,1))</f>
        <v>279.49721661620544</v>
      </c>
      <c r="CZ159" s="59">
        <f t="shared" si="150"/>
        <v>275.18739333988754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9.9404841035392906</v>
      </c>
      <c r="DG159" s="21">
        <f>EXP(-LN(2)/25)*DG158+(1-EXP(-LN(2)/25))/(LN(2)/25)*Calculateur!DB159*Calculateur!DD159*VLOOKUP('Données projet'!$B$13,Paramètres!$A$1:$I$89,3,0)*0.475*44/12</f>
        <v>0.91738444278622344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10.857868546325514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-6.3550942286383367E-14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278.5296012747549</v>
      </c>
      <c r="T160" s="59">
        <f t="shared" si="142"/>
        <v>370.55343097937077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30.066430901176656</v>
      </c>
      <c r="AA160" s="21">
        <f>EXP(-LN(2)/25)*AA159+(1-EXP(-LN(2)/25))/(LN(2)/25)*Calculateur!V160*Calculateur!X160*VLOOKUP('Données projet'!$B$9,Paramètres!$A$1:$I$89,3,0)*0.475*44/12</f>
        <v>3.4062616588386612</v>
      </c>
      <c r="AB160" s="21">
        <f>EXP(-LN(2)/2)*AB159+(1-EXP(-LN(2)/2))/(LN(2)/2)*V160*Y160*VLOOKUP('Données projet'!$B$9,Paramètres!$A$1:$I$89,3,0)*0.475*44/12</f>
        <v>1.5170666502634088E-14</v>
      </c>
      <c r="AC160" s="22">
        <f t="shared" si="163"/>
        <v>33.472692560015332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-6.2527760746888816E-13</v>
      </c>
      <c r="AJ160" s="13">
        <f>AI160*VLOOKUP('Données projet'!$B$10,Paramètres!$A$1:$I$89,3,0)*VLOOKUP('Données projet'!$B$10,Paramètres!$A$1:$I$89,5,0)</f>
        <v>-3.0075852919253523E-13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255.05550867459038</v>
      </c>
      <c r="AO160" s="59">
        <f t="shared" si="144"/>
        <v>119.28597757550295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133.13427365998669</v>
      </c>
      <c r="AV160" s="21">
        <f>EXP(-LN(2)/25)*AV159+(1-EXP(-LN(2)/25))/(LN(2)/25)*Calculateur!AQ160*Calculateur!AS160*VLOOKUP('Données projet'!$B$10,Paramètres!$A$1:$I$89,3,0)*0.475*44/12</f>
        <v>25.398874200163412</v>
      </c>
      <c r="AW160" s="21">
        <f>EXP(-LN(2)/2)*AW159+(1-EXP(-LN(2)/2))/(LN(2)/2)*AQ160*AT160*VLOOKUP('Données projet'!$B$10,Paramètres!$A$1:$I$89,3,0)*0.475*44/12</f>
        <v>1.2459046173413625E-2</v>
      </c>
      <c r="AX160" s="21">
        <f t="shared" si="166"/>
        <v>158.54560690632351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1.1368683772161603E-12</v>
      </c>
      <c r="BE160" s="13">
        <f>BD160*VLOOKUP('Données projet'!$B$11,Paramètres!$A$1:$I$89,3,0)*VLOOKUP('Données projet'!$B$11,Paramètres!$A$1:$I$89,5,0)</f>
        <v>5.3205440053716299E-13</v>
      </c>
      <c r="BF160" s="13">
        <f t="shared" si="167"/>
        <v>6.579711042921201E-12</v>
      </c>
      <c r="BG160" s="20">
        <f t="shared" si="168"/>
        <v>1.2386324814023317E-11</v>
      </c>
      <c r="BH160" s="59">
        <f t="shared" si="116"/>
        <v>293.33333333334571</v>
      </c>
      <c r="BI160" s="59">
        <f ca="1">AVERAGE(OFFSET($BH$3,0,0,'Données projet'!$E$11+1,1))-AVERAGE(OFFSET($H$3,0,0,'Données projet'!$E$11+1,1))</f>
        <v>181.79645720099597</v>
      </c>
      <c r="BJ160" s="59">
        <f t="shared" si="146"/>
        <v>120.20040029102233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87.112735789819197</v>
      </c>
      <c r="BQ160" s="21">
        <f>EXP(-LN(2)/25)*BQ159+(1-EXP(-LN(2)/25))/(LN(2)/25)*Calculateur!BL160*Calculateur!BN160*VLOOKUP('Données projet'!$B$11,Paramètres!$A$1:$I$89,3,0)*0.475*44/12</f>
        <v>16.930958568865666</v>
      </c>
      <c r="BR160" s="21">
        <f>EXP(-LN(2)/2)*BR159+(1-EXP(-LN(2)/2))/(LN(2)/2)*BL160*BO160*VLOOKUP('Données projet'!$B$11,Paramètres!$A$1:$I$89,3,0)*0.475*44/12</f>
        <v>2.272236672537876E-3</v>
      </c>
      <c r="BS160" s="22">
        <f t="shared" si="169"/>
        <v>104.0459665953574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-3.979039320256561E-13</v>
      </c>
      <c r="BZ160" s="13">
        <f>BY160*VLOOKUP('Données projet'!$B$12,Paramètres!$A$1:$I$89,3,0)*VLOOKUP('Données projet'!$B$12,Paramètres!$A$1:$I$89,5,0)</f>
        <v>-2.379465513513424E-13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213.18424462765137</v>
      </c>
      <c r="CE160" s="59">
        <f t="shared" si="148"/>
        <v>158.77848520346532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30.958430414314098</v>
      </c>
      <c r="CL160" s="21">
        <f>EXP(-LN(2)/25)*CL159+(1-EXP(-LN(2)/25))/(LN(2)/25)*Calculateur!CG160*Calculateur!CI160*VLOOKUP('Données projet'!$B$12,Paramètres!$A$1:$I$89,3,0)*0.475*44/12</f>
        <v>4.0460937721515373</v>
      </c>
      <c r="CM160" s="21">
        <f>EXP(-LN(2)/2)*CM159+(1-EXP(-LN(2)/2))/(LN(2)/2)*CG160*CJ160*VLOOKUP('Données projet'!$B$12,Paramètres!$A$1:$I$89,3,0)*0.475*44/12</f>
        <v>9.3023072480254609E-11</v>
      </c>
      <c r="CN160" s="22">
        <f t="shared" si="172"/>
        <v>35.004524186558662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319</v>
      </c>
      <c r="CU160" s="17">
        <f>CT160*VLOOKUP('Données projet'!$B$13,Paramètres!$A$1:$I$89,3,0)*VLOOKUP('Données projet'!$B$13,Paramètres!$A$1:$I$89,5,0)</f>
        <v>253.79640000000001</v>
      </c>
      <c r="CV160" s="13">
        <f t="shared" si="173"/>
        <v>61.39816832228076</v>
      </c>
      <c r="CW160" s="20">
        <f t="shared" si="174"/>
        <v>548.96387316130563</v>
      </c>
      <c r="CX160" s="59">
        <f t="shared" si="122"/>
        <v>842.29720649463889</v>
      </c>
      <c r="CY160" s="59">
        <f ca="1">AVERAGE(OFFSET($CX$3,0,0,'Données projet'!$E$13+1,1))-AVERAGE(OFFSET($H$3,0,0,'Données projet'!$E$13+1,1))</f>
        <v>279.49721661620544</v>
      </c>
      <c r="CZ160" s="59">
        <f t="shared" si="150"/>
        <v>275.18739333988754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9.7455572733655078</v>
      </c>
      <c r="DG160" s="21">
        <f>EXP(-LN(2)/25)*DG159+(1-EXP(-LN(2)/25))/(LN(2)/25)*Calculateur!DB160*Calculateur!DD160*VLOOKUP('Données projet'!$B$13,Paramètres!$A$1:$I$89,3,0)*0.475*44/12</f>
        <v>0.892298516955083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10.637855790320591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-6.3550942286383367E-14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278.5296012747549</v>
      </c>
      <c r="T161" s="59">
        <f t="shared" si="142"/>
        <v>370.55343097937077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29.476846529916635</v>
      </c>
      <c r="AA161" s="21">
        <f>EXP(-LN(2)/25)*AA160+(1-EXP(-LN(2)/25))/(LN(2)/25)*Calculateur!V161*Calculateur!X161*VLOOKUP('Données projet'!$B$9,Paramètres!$A$1:$I$89,3,0)*0.475*44/12</f>
        <v>3.3131172546502023</v>
      </c>
      <c r="AB161" s="21">
        <f>EXP(-LN(2)/2)*AB160+(1-EXP(-LN(2)/2))/(LN(2)/2)*V161*Y161*VLOOKUP('Données projet'!$B$9,Paramètres!$A$1:$I$89,3,0)*0.475*44/12</f>
        <v>1.0727281159132169E-14</v>
      </c>
      <c r="AC161" s="22">
        <f t="shared" si="163"/>
        <v>32.789963784566851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-6.2527760746888816E-13</v>
      </c>
      <c r="AJ161" s="13">
        <f>AI161*VLOOKUP('Données projet'!$B$10,Paramètres!$A$1:$I$89,3,0)*VLOOKUP('Données projet'!$B$10,Paramètres!$A$1:$I$89,5,0)</f>
        <v>-3.0075852919253523E-13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255.05550867459038</v>
      </c>
      <c r="AO161" s="59">
        <f t="shared" si="144"/>
        <v>119.28597757550295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130.52359175740307</v>
      </c>
      <c r="AV161" s="21">
        <f>EXP(-LN(2)/25)*AV160+(1-EXP(-LN(2)/25))/(LN(2)/25)*Calculateur!AQ161*Calculateur!AS161*VLOOKUP('Données projet'!$B$10,Paramètres!$A$1:$I$89,3,0)*0.475*44/12</f>
        <v>24.704340649491201</v>
      </c>
      <c r="AW161" s="21">
        <f>EXP(-LN(2)/2)*AW160+(1-EXP(-LN(2)/2))/(LN(2)/2)*AQ161*AT161*VLOOKUP('Données projet'!$B$10,Paramètres!$A$1:$I$89,3,0)*0.475*44/12</f>
        <v>8.8098760363370804E-3</v>
      </c>
      <c r="AX161" s="21">
        <f t="shared" si="166"/>
        <v>155.23674228293061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1.1368683772161603E-12</v>
      </c>
      <c r="BE161" s="13">
        <f>BD161*VLOOKUP('Données projet'!$B$11,Paramètres!$A$1:$I$89,3,0)*VLOOKUP('Données projet'!$B$11,Paramètres!$A$1:$I$89,5,0)</f>
        <v>5.3205440053716299E-13</v>
      </c>
      <c r="BF161" s="13">
        <f t="shared" si="167"/>
        <v>6.579711042921201E-12</v>
      </c>
      <c r="BG161" s="20">
        <f t="shared" si="168"/>
        <v>1.2386324814023317E-11</v>
      </c>
      <c r="BH161" s="59">
        <f t="shared" si="116"/>
        <v>293.33333333334571</v>
      </c>
      <c r="BI161" s="59">
        <f ca="1">AVERAGE(OFFSET($BH$3,0,0,'Données projet'!$E$11+1,1))-AVERAGE(OFFSET($H$3,0,0,'Données projet'!$E$11+1,1))</f>
        <v>181.79645720099597</v>
      </c>
      <c r="BJ161" s="59">
        <f t="shared" si="146"/>
        <v>120.20040029102233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85.404508174503178</v>
      </c>
      <c r="BQ161" s="21">
        <f>EXP(-LN(2)/25)*BQ160+(1-EXP(-LN(2)/25))/(LN(2)/25)*Calculateur!BL161*Calculateur!BN161*VLOOKUP('Données projet'!$B$11,Paramètres!$A$1:$I$89,3,0)*0.475*44/12</f>
        <v>16.467980616439618</v>
      </c>
      <c r="BR161" s="21">
        <f>EXP(-LN(2)/2)*BR160+(1-EXP(-LN(2)/2))/(LN(2)/2)*BL161*BO161*VLOOKUP('Données projet'!$B$11,Paramètres!$A$1:$I$89,3,0)*0.475*44/12</f>
        <v>1.6067139596122888E-3</v>
      </c>
      <c r="BS161" s="22">
        <f t="shared" si="169"/>
        <v>101.87409550490241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-3.979039320256561E-13</v>
      </c>
      <c r="BZ161" s="13">
        <f>BY161*VLOOKUP('Données projet'!$B$12,Paramètres!$A$1:$I$89,3,0)*VLOOKUP('Données projet'!$B$12,Paramètres!$A$1:$I$89,5,0)</f>
        <v>-2.379465513513424E-13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213.18424462765137</v>
      </c>
      <c r="CE161" s="59">
        <f t="shared" si="148"/>
        <v>158.77848520346532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30.351354476667431</v>
      </c>
      <c r="CL161" s="21">
        <f>EXP(-LN(2)/25)*CL160+(1-EXP(-LN(2)/25))/(LN(2)/25)*Calculateur!CG161*Calculateur!CI161*VLOOKUP('Données projet'!$B$12,Paramètres!$A$1:$I$89,3,0)*0.475*44/12</f>
        <v>3.9354531251772293</v>
      </c>
      <c r="CM161" s="21">
        <f>EXP(-LN(2)/2)*CM160+(1-EXP(-LN(2)/2))/(LN(2)/2)*CG161*CJ161*VLOOKUP('Données projet'!$B$12,Paramètres!$A$1:$I$89,3,0)*0.475*44/12</f>
        <v>6.5777245357595747E-11</v>
      </c>
      <c r="CN161" s="22">
        <f t="shared" si="172"/>
        <v>34.286807601910432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319</v>
      </c>
      <c r="CU161" s="17">
        <f>CT161*VLOOKUP('Données projet'!$B$13,Paramètres!$A$1:$I$89,3,0)*VLOOKUP('Données projet'!$B$13,Paramètres!$A$1:$I$89,5,0)</f>
        <v>253.79640000000001</v>
      </c>
      <c r="CV161" s="13">
        <f t="shared" si="173"/>
        <v>61.39816832228076</v>
      </c>
      <c r="CW161" s="20">
        <f t="shared" si="174"/>
        <v>548.96387316130563</v>
      </c>
      <c r="CX161" s="59">
        <f t="shared" si="122"/>
        <v>842.29720649463889</v>
      </c>
      <c r="CY161" s="59">
        <f ca="1">AVERAGE(OFFSET($CX$3,0,0,'Données projet'!$E$13+1,1))-AVERAGE(OFFSET($H$3,0,0,'Données projet'!$E$13+1,1))</f>
        <v>279.49721661620544</v>
      </c>
      <c r="CZ161" s="59">
        <f t="shared" si="150"/>
        <v>275.18739333988754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9.5544528394378059</v>
      </c>
      <c r="DG161" s="21">
        <f>EXP(-LN(2)/25)*DG160+(1-EXP(-LN(2)/25))/(LN(2)/25)*Calculateur!DB161*Calculateur!DD161*VLOOKUP('Données projet'!$B$13,Paramètres!$A$1:$I$89,3,0)*0.475*44/12</f>
        <v>0.86789856708500668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10.422351406522813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-6.3550942286383367E-14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278.5296012747549</v>
      </c>
      <c r="T162" s="59">
        <f t="shared" si="142"/>
        <v>370.55343097937077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28.898823548566064</v>
      </c>
      <c r="AA162" s="21">
        <f>EXP(-LN(2)/25)*AA161+(1-EXP(-LN(2)/25))/(LN(2)/25)*Calculateur!V162*Calculateur!X162*VLOOKUP('Données projet'!$B$9,Paramètres!$A$1:$I$89,3,0)*0.475*44/12</f>
        <v>3.2225198890925282</v>
      </c>
      <c r="AB162" s="21">
        <f>EXP(-LN(2)/2)*AB161+(1-EXP(-LN(2)/2))/(LN(2)/2)*V162*Y162*VLOOKUP('Données projet'!$B$9,Paramètres!$A$1:$I$89,3,0)*0.475*44/12</f>
        <v>7.5853332513170442E-15</v>
      </c>
      <c r="AC162" s="22">
        <f t="shared" si="163"/>
        <v>32.121343437658602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-6.2527760746888816E-13</v>
      </c>
      <c r="AJ162" s="13">
        <f>AI162*VLOOKUP('Données projet'!$B$10,Paramètres!$A$1:$I$89,3,0)*VLOOKUP('Données projet'!$B$10,Paramètres!$A$1:$I$89,5,0)</f>
        <v>-3.0075852919253523E-13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255.05550867459038</v>
      </c>
      <c r="AO162" s="59">
        <f t="shared" si="144"/>
        <v>119.28597757550295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127.96410373457039</v>
      </c>
      <c r="AV162" s="21">
        <f>EXP(-LN(2)/25)*AV161+(1-EXP(-LN(2)/25))/(LN(2)/25)*Calculateur!AQ162*Calculateur!AS162*VLOOKUP('Données projet'!$B$10,Paramètres!$A$1:$I$89,3,0)*0.475*44/12</f>
        <v>24.028799155286052</v>
      </c>
      <c r="AW162" s="21">
        <f>EXP(-LN(2)/2)*AW161+(1-EXP(-LN(2)/2))/(LN(2)/2)*AQ162*AT162*VLOOKUP('Données projet'!$B$10,Paramètres!$A$1:$I$89,3,0)*0.475*44/12</f>
        <v>6.2295230867068126E-3</v>
      </c>
      <c r="AX162" s="21">
        <f t="shared" si="166"/>
        <v>151.99913241294317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1.1368683772161603E-12</v>
      </c>
      <c r="BE162" s="13">
        <f>BD162*VLOOKUP('Données projet'!$B$11,Paramètres!$A$1:$I$89,3,0)*VLOOKUP('Données projet'!$B$11,Paramètres!$A$1:$I$89,5,0)</f>
        <v>5.3205440053716299E-13</v>
      </c>
      <c r="BF162" s="13">
        <f t="shared" si="167"/>
        <v>6.579711042921201E-12</v>
      </c>
      <c r="BG162" s="20">
        <f t="shared" si="168"/>
        <v>1.2386324814023317E-11</v>
      </c>
      <c r="BH162" s="59">
        <f t="shared" si="116"/>
        <v>293.33333333334571</v>
      </c>
      <c r="BI162" s="59">
        <f ca="1">AVERAGE(OFFSET($BH$3,0,0,'Données projet'!$E$11+1,1))-AVERAGE(OFFSET($H$3,0,0,'Données projet'!$E$11+1,1))</f>
        <v>181.79645720099597</v>
      </c>
      <c r="BJ162" s="59">
        <f t="shared" si="146"/>
        <v>120.20040029102233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83.729777860807545</v>
      </c>
      <c r="BQ162" s="21">
        <f>EXP(-LN(2)/25)*BQ161+(1-EXP(-LN(2)/25))/(LN(2)/25)*Calculateur!BL162*Calculateur!BN162*VLOOKUP('Données projet'!$B$11,Paramètres!$A$1:$I$89,3,0)*0.475*44/12</f>
        <v>16.017662820469614</v>
      </c>
      <c r="BR162" s="21">
        <f>EXP(-LN(2)/2)*BR161+(1-EXP(-LN(2)/2))/(LN(2)/2)*BL162*BO162*VLOOKUP('Données projet'!$B$11,Paramètres!$A$1:$I$89,3,0)*0.475*44/12</f>
        <v>1.136118336268938E-3</v>
      </c>
      <c r="BS162" s="22">
        <f t="shared" si="169"/>
        <v>99.748576799613417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-3.979039320256561E-13</v>
      </c>
      <c r="BZ162" s="13">
        <f>BY162*VLOOKUP('Données projet'!$B$12,Paramètres!$A$1:$I$89,3,0)*VLOOKUP('Données projet'!$B$12,Paramètres!$A$1:$I$89,5,0)</f>
        <v>-2.379465513513424E-13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213.18424462765137</v>
      </c>
      <c r="CE162" s="59">
        <f t="shared" si="148"/>
        <v>158.77848520346532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29.756182927878257</v>
      </c>
      <c r="CL162" s="21">
        <f>EXP(-LN(2)/25)*CL161+(1-EXP(-LN(2)/25))/(LN(2)/25)*Calculateur!CG162*Calculateur!CI162*VLOOKUP('Données projet'!$B$12,Paramètres!$A$1:$I$89,3,0)*0.475*44/12</f>
        <v>3.8278379525127728</v>
      </c>
      <c r="CM162" s="21">
        <f>EXP(-LN(2)/2)*CM161+(1-EXP(-LN(2)/2))/(LN(2)/2)*CG162*CJ162*VLOOKUP('Données projet'!$B$12,Paramètres!$A$1:$I$89,3,0)*0.475*44/12</f>
        <v>4.6511536240127305E-11</v>
      </c>
      <c r="CN162" s="22">
        <f t="shared" si="172"/>
        <v>33.584020880437542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319</v>
      </c>
      <c r="CU162" s="17">
        <f>CT162*VLOOKUP('Données projet'!$B$13,Paramètres!$A$1:$I$89,3,0)*VLOOKUP('Données projet'!$B$13,Paramètres!$A$1:$I$89,5,0)</f>
        <v>253.79640000000001</v>
      </c>
      <c r="CV162" s="13">
        <f t="shared" si="173"/>
        <v>61.39816832228076</v>
      </c>
      <c r="CW162" s="20">
        <f t="shared" si="174"/>
        <v>548.96387316130563</v>
      </c>
      <c r="CX162" s="59">
        <f t="shared" si="122"/>
        <v>842.29720649463889</v>
      </c>
      <c r="CY162" s="59">
        <f ca="1">AVERAGE(OFFSET($CX$3,0,0,'Données projet'!$E$13+1,1))-AVERAGE(OFFSET($H$3,0,0,'Données projet'!$E$13+1,1))</f>
        <v>279.49721661620544</v>
      </c>
      <c r="CZ162" s="59">
        <f t="shared" si="150"/>
        <v>275.18739333988754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9.3670958468972305</v>
      </c>
      <c r="DG162" s="21">
        <f>EXP(-LN(2)/25)*DG161+(1-EXP(-LN(2)/25))/(LN(2)/25)*Calculateur!DB162*Calculateur!DD162*VLOOKUP('Données projet'!$B$13,Paramètres!$A$1:$I$89,3,0)*0.475*44/12</f>
        <v>0.84416583512726517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10.211261682024496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-6.3550942286383367E-14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278.5296012747549</v>
      </c>
      <c r="T163" s="59">
        <f t="shared" si="142"/>
        <v>370.55343097937077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28.332135245320572</v>
      </c>
      <c r="AA163" s="21">
        <f>EXP(-LN(2)/25)*AA162+(1-EXP(-LN(2)/25))/(LN(2)/25)*Calculateur!V163*Calculateur!X163*VLOOKUP('Données projet'!$B$9,Paramètres!$A$1:$I$89,3,0)*0.475*44/12</f>
        <v>3.1343999132603373</v>
      </c>
      <c r="AB163" s="21">
        <f>EXP(-LN(2)/2)*AB162+(1-EXP(-LN(2)/2))/(LN(2)/2)*V163*Y163*VLOOKUP('Données projet'!$B$9,Paramètres!$A$1:$I$89,3,0)*0.475*44/12</f>
        <v>5.3636405795660843E-15</v>
      </c>
      <c r="AC163" s="22">
        <f t="shared" si="163"/>
        <v>31.466535158580918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-6.2527760746888816E-13</v>
      </c>
      <c r="AJ163" s="13">
        <f>AI163*VLOOKUP('Données projet'!$B$10,Paramètres!$A$1:$I$89,3,0)*VLOOKUP('Données projet'!$B$10,Paramètres!$A$1:$I$89,5,0)</f>
        <v>-3.0075852919253523E-13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255.05550867459038</v>
      </c>
      <c r="AO163" s="59">
        <f t="shared" si="144"/>
        <v>119.28597757550295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125.4548057107319</v>
      </c>
      <c r="AV163" s="21">
        <f>EXP(-LN(2)/25)*AV162+(1-EXP(-LN(2)/25))/(LN(2)/25)*Calculateur!AQ163*Calculateur!AS163*VLOOKUP('Données projet'!$B$10,Paramètres!$A$1:$I$89,3,0)*0.475*44/12</f>
        <v>23.371730378765125</v>
      </c>
      <c r="AW163" s="21">
        <f>EXP(-LN(2)/2)*AW162+(1-EXP(-LN(2)/2))/(LN(2)/2)*AQ163*AT163*VLOOKUP('Données projet'!$B$10,Paramètres!$A$1:$I$89,3,0)*0.475*44/12</f>
        <v>4.4049380181685402E-3</v>
      </c>
      <c r="AX163" s="21">
        <f t="shared" si="166"/>
        <v>148.83094102751519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1.1368683772161603E-12</v>
      </c>
      <c r="BE163" s="13">
        <f>BD163*VLOOKUP('Données projet'!$B$11,Paramètres!$A$1:$I$89,3,0)*VLOOKUP('Données projet'!$B$11,Paramètres!$A$1:$I$89,5,0)</f>
        <v>5.3205440053716299E-13</v>
      </c>
      <c r="BF163" s="13">
        <f t="shared" si="167"/>
        <v>6.579711042921201E-12</v>
      </c>
      <c r="BG163" s="20">
        <f t="shared" si="168"/>
        <v>1.2386324814023317E-11</v>
      </c>
      <c r="BH163" s="59">
        <f t="shared" si="116"/>
        <v>293.33333333334571</v>
      </c>
      <c r="BI163" s="59">
        <f ca="1">AVERAGE(OFFSET($BH$3,0,0,'Données projet'!$E$11+1,1))-AVERAGE(OFFSET($H$3,0,0,'Données projet'!$E$11+1,1))</f>
        <v>181.79645720099597</v>
      </c>
      <c r="BJ163" s="59">
        <f t="shared" si="146"/>
        <v>120.20040029102233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82.087887987078844</v>
      </c>
      <c r="BQ163" s="21">
        <f>EXP(-LN(2)/25)*BQ162+(1-EXP(-LN(2)/25))/(LN(2)/25)*Calculateur!BL163*Calculateur!BN163*VLOOKUP('Données projet'!$B$11,Paramètres!$A$1:$I$89,3,0)*0.475*44/12</f>
        <v>15.579658988311593</v>
      </c>
      <c r="BR163" s="21">
        <f>EXP(-LN(2)/2)*BR162+(1-EXP(-LN(2)/2))/(LN(2)/2)*BL163*BO163*VLOOKUP('Données projet'!$B$11,Paramètres!$A$1:$I$89,3,0)*0.475*44/12</f>
        <v>8.0335697980614439E-4</v>
      </c>
      <c r="BS163" s="22">
        <f t="shared" si="169"/>
        <v>97.668350332370238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-3.979039320256561E-13</v>
      </c>
      <c r="BZ163" s="13">
        <f>BY163*VLOOKUP('Données projet'!$B$12,Paramètres!$A$1:$I$89,3,0)*VLOOKUP('Données projet'!$B$12,Paramètres!$A$1:$I$89,5,0)</f>
        <v>-2.379465513513424E-13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213.18424462765137</v>
      </c>
      <c r="CE163" s="59">
        <f t="shared" si="148"/>
        <v>158.77848520346532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29.172682330142038</v>
      </c>
      <c r="CL163" s="21">
        <f>EXP(-LN(2)/25)*CL162+(1-EXP(-LN(2)/25))/(LN(2)/25)*Calculateur!CG163*Calculateur!CI163*VLOOKUP('Données projet'!$B$12,Paramètres!$A$1:$I$89,3,0)*0.475*44/12</f>
        <v>3.7231655224040616</v>
      </c>
      <c r="CM163" s="21">
        <f>EXP(-LN(2)/2)*CM162+(1-EXP(-LN(2)/2))/(LN(2)/2)*CG163*CJ163*VLOOKUP('Données projet'!$B$12,Paramètres!$A$1:$I$89,3,0)*0.475*44/12</f>
        <v>3.2888622678797873E-11</v>
      </c>
      <c r="CN163" s="22">
        <f t="shared" si="172"/>
        <v>32.895847852578989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319</v>
      </c>
      <c r="CU163" s="17">
        <f>CT163*VLOOKUP('Données projet'!$B$13,Paramètres!$A$1:$I$89,3,0)*VLOOKUP('Données projet'!$B$13,Paramètres!$A$1:$I$89,5,0)</f>
        <v>253.79640000000001</v>
      </c>
      <c r="CV163" s="13">
        <f t="shared" si="173"/>
        <v>61.39816832228076</v>
      </c>
      <c r="CW163" s="20">
        <f t="shared" si="174"/>
        <v>548.96387316130563</v>
      </c>
      <c r="CX163" s="59">
        <f t="shared" si="122"/>
        <v>842.29720649463889</v>
      </c>
      <c r="CY163" s="59">
        <f ca="1">AVERAGE(OFFSET($CX$3,0,0,'Données projet'!$E$13+1,1))-AVERAGE(OFFSET($H$3,0,0,'Données projet'!$E$13+1,1))</f>
        <v>279.49721661620544</v>
      </c>
      <c r="CZ163" s="59">
        <f t="shared" si="150"/>
        <v>275.18739333988754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9.1834128107038939</v>
      </c>
      <c r="DG163" s="21">
        <f>EXP(-LN(2)/25)*DG162+(1-EXP(-LN(2)/25))/(LN(2)/25)*Calculateur!DB163*Calculateur!DD163*VLOOKUP('Données projet'!$B$13,Paramètres!$A$1:$I$89,3,0)*0.475*44/12</f>
        <v>0.82108207597295824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10.004494886676852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-6.3550942286383367E-14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278.5296012747549</v>
      </c>
      <c r="T164" s="59">
        <f t="shared" si="142"/>
        <v>370.55343097937077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27.776559354055987</v>
      </c>
      <c r="AA164" s="21">
        <f>EXP(-LN(2)/25)*AA163+(1-EXP(-LN(2)/25))/(LN(2)/25)*Calculateur!V164*Calculateur!X164*VLOOKUP('Données projet'!$B$9,Paramètres!$A$1:$I$89,3,0)*0.475*44/12</f>
        <v>3.0486895828013059</v>
      </c>
      <c r="AB164" s="21">
        <f>EXP(-LN(2)/2)*AB163+(1-EXP(-LN(2)/2))/(LN(2)/2)*V164*Y164*VLOOKUP('Données projet'!$B$9,Paramètres!$A$1:$I$89,3,0)*0.475*44/12</f>
        <v>3.7926666256585221E-15</v>
      </c>
      <c r="AC164" s="22">
        <f t="shared" si="163"/>
        <v>30.825248936857296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-6.2527760746888816E-13</v>
      </c>
      <c r="AJ164" s="13">
        <f>AI164*VLOOKUP('Données projet'!$B$10,Paramètres!$A$1:$I$89,3,0)*VLOOKUP('Données projet'!$B$10,Paramètres!$A$1:$I$89,5,0)</f>
        <v>-3.0075852919253523E-13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255.05550867459038</v>
      </c>
      <c r="AO164" s="59">
        <f t="shared" si="144"/>
        <v>119.28597757550295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122.99471349062023</v>
      </c>
      <c r="AV164" s="21">
        <f>EXP(-LN(2)/25)*AV163+(1-EXP(-LN(2)/25))/(LN(2)/25)*Calculateur!AQ164*Calculateur!AS164*VLOOKUP('Données projet'!$B$10,Paramètres!$A$1:$I$89,3,0)*0.475*44/12</f>
        <v>22.732629182491909</v>
      </c>
      <c r="AW164" s="21">
        <f>EXP(-LN(2)/2)*AW163+(1-EXP(-LN(2)/2))/(LN(2)/2)*AQ164*AT164*VLOOKUP('Données projet'!$B$10,Paramètres!$A$1:$I$89,3,0)*0.475*44/12</f>
        <v>3.1147615433534063E-3</v>
      </c>
      <c r="AX164" s="21">
        <f t="shared" si="166"/>
        <v>145.73045743465548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1.1368683772161603E-12</v>
      </c>
      <c r="BE164" s="13">
        <f>BD164*VLOOKUP('Données projet'!$B$11,Paramètres!$A$1:$I$89,3,0)*VLOOKUP('Données projet'!$B$11,Paramètres!$A$1:$I$89,5,0)</f>
        <v>5.3205440053716299E-13</v>
      </c>
      <c r="BF164" s="13">
        <f t="shared" si="167"/>
        <v>6.579711042921201E-12</v>
      </c>
      <c r="BG164" s="20">
        <f t="shared" si="168"/>
        <v>1.2386324814023317E-11</v>
      </c>
      <c r="BH164" s="59">
        <f t="shared" si="116"/>
        <v>293.33333333334571</v>
      </c>
      <c r="BI164" s="59">
        <f ca="1">AVERAGE(OFFSET($BH$3,0,0,'Données projet'!$E$11+1,1))-AVERAGE(OFFSET($H$3,0,0,'Données projet'!$E$11+1,1))</f>
        <v>181.79645720099597</v>
      </c>
      <c r="BJ164" s="59">
        <f t="shared" si="146"/>
        <v>120.20040029102233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80.478194572320035</v>
      </c>
      <c r="BQ164" s="21">
        <f>EXP(-LN(2)/25)*BQ163+(1-EXP(-LN(2)/25))/(LN(2)/25)*Calculateur!BL164*Calculateur!BN164*VLOOKUP('Données projet'!$B$11,Paramètres!$A$1:$I$89,3,0)*0.475*44/12</f>
        <v>15.153632393977555</v>
      </c>
      <c r="BR164" s="21">
        <f>EXP(-LN(2)/2)*BR163+(1-EXP(-LN(2)/2))/(LN(2)/2)*BL164*BO164*VLOOKUP('Données projet'!$B$11,Paramètres!$A$1:$I$89,3,0)*0.475*44/12</f>
        <v>5.6805916813446901E-4</v>
      </c>
      <c r="BS164" s="22">
        <f t="shared" si="169"/>
        <v>95.632395025465726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-3.979039320256561E-13</v>
      </c>
      <c r="BZ164" s="13">
        <f>BY164*VLOOKUP('Données projet'!$B$12,Paramètres!$A$1:$I$89,3,0)*VLOOKUP('Données projet'!$B$12,Paramètres!$A$1:$I$89,5,0)</f>
        <v>-2.379465513513424E-13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213.18424462765137</v>
      </c>
      <c r="CE164" s="59">
        <f t="shared" si="148"/>
        <v>158.77848520346532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28.600623823227203</v>
      </c>
      <c r="CL164" s="21">
        <f>EXP(-LN(2)/25)*CL163+(1-EXP(-LN(2)/25))/(LN(2)/25)*Calculateur!CG164*Calculateur!CI164*VLOOKUP('Données projet'!$B$12,Paramètres!$A$1:$I$89,3,0)*0.475*44/12</f>
        <v>3.6213553654011572</v>
      </c>
      <c r="CM164" s="21">
        <f>EXP(-LN(2)/2)*CM163+(1-EXP(-LN(2)/2))/(LN(2)/2)*CG164*CJ164*VLOOKUP('Données projet'!$B$12,Paramètres!$A$1:$I$89,3,0)*0.475*44/12</f>
        <v>2.3255768120063652E-11</v>
      </c>
      <c r="CN164" s="22">
        <f t="shared" si="172"/>
        <v>32.221979188651616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319</v>
      </c>
      <c r="CU164" s="17">
        <f>CT164*VLOOKUP('Données projet'!$B$13,Paramètres!$A$1:$I$89,3,0)*VLOOKUP('Données projet'!$B$13,Paramètres!$A$1:$I$89,5,0)</f>
        <v>253.79640000000001</v>
      </c>
      <c r="CV164" s="13">
        <f t="shared" si="173"/>
        <v>61.39816832228076</v>
      </c>
      <c r="CW164" s="20">
        <f t="shared" si="174"/>
        <v>548.96387316130563</v>
      </c>
      <c r="CX164" s="59">
        <f t="shared" si="122"/>
        <v>842.29720649463889</v>
      </c>
      <c r="CY164" s="59">
        <f ca="1">AVERAGE(OFFSET($CX$3,0,0,'Données projet'!$E$13+1,1))-AVERAGE(OFFSET($H$3,0,0,'Données projet'!$E$13+1,1))</f>
        <v>279.49721661620544</v>
      </c>
      <c r="CZ164" s="59">
        <f t="shared" si="150"/>
        <v>275.18739333988754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9.00333168681472</v>
      </c>
      <c r="DG164" s="21">
        <f>EXP(-LN(2)/25)*DG163+(1-EXP(-LN(2)/25))/(LN(2)/25)*Calculateur!DB164*Calculateur!DD164*VLOOKUP('Données projet'!$B$13,Paramètres!$A$1:$I$89,3,0)*0.475*44/12</f>
        <v>0.79862954342664794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9.8019612302413677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-6.3550942286383367E-14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278.5296012747549</v>
      </c>
      <c r="T165" s="59">
        <f t="shared" si="142"/>
        <v>370.55343097937077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27.23187796715127</v>
      </c>
      <c r="AA165" s="21">
        <f>EXP(-LN(2)/25)*AA164+(1-EXP(-LN(2)/25))/(LN(2)/25)*Calculateur!V165*Calculateur!X165*VLOOKUP('Données projet'!$B$9,Paramètres!$A$1:$I$89,3,0)*0.475*44/12</f>
        <v>2.965323005835987</v>
      </c>
      <c r="AB165" s="21">
        <f>EXP(-LN(2)/2)*AB164+(1-EXP(-LN(2)/2))/(LN(2)/2)*V165*Y165*VLOOKUP('Données projet'!$B$9,Paramètres!$A$1:$I$89,3,0)*0.475*44/12</f>
        <v>2.6818202897830422E-15</v>
      </c>
      <c r="AC165" s="22">
        <f t="shared" si="163"/>
        <v>30.197200972987261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-6.2527760746888816E-13</v>
      </c>
      <c r="AJ165" s="13">
        <f>AI165*VLOOKUP('Données projet'!$B$10,Paramètres!$A$1:$I$89,3,0)*VLOOKUP('Données projet'!$B$10,Paramètres!$A$1:$I$89,5,0)</f>
        <v>-3.0075852919253523E-13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255.05550867459038</v>
      </c>
      <c r="AO165" s="59">
        <f t="shared" si="144"/>
        <v>119.28597757550295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120.58286217843684</v>
      </c>
      <c r="AV165" s="21">
        <f>EXP(-LN(2)/25)*AV164+(1-EXP(-LN(2)/25))/(LN(2)/25)*Calculateur!AQ165*Calculateur!AS165*VLOOKUP('Données projet'!$B$10,Paramètres!$A$1:$I$89,3,0)*0.475*44/12</f>
        <v>22.111004242039655</v>
      </c>
      <c r="AW165" s="21">
        <f>EXP(-LN(2)/2)*AW164+(1-EXP(-LN(2)/2))/(LN(2)/2)*AQ165*AT165*VLOOKUP('Données projet'!$B$10,Paramètres!$A$1:$I$89,3,0)*0.475*44/12</f>
        <v>2.2024690090842701E-3</v>
      </c>
      <c r="AX165" s="21">
        <f t="shared" si="166"/>
        <v>142.69606888948559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1.1368683772161603E-12</v>
      </c>
      <c r="BE165" s="13">
        <f>BD165*VLOOKUP('Données projet'!$B$11,Paramètres!$A$1:$I$89,3,0)*VLOOKUP('Données projet'!$B$11,Paramètres!$A$1:$I$89,5,0)</f>
        <v>5.3205440053716299E-13</v>
      </c>
      <c r="BF165" s="13">
        <f t="shared" si="167"/>
        <v>6.579711042921201E-12</v>
      </c>
      <c r="BG165" s="20">
        <f t="shared" si="168"/>
        <v>1.2386324814023317E-11</v>
      </c>
      <c r="BH165" s="59">
        <f t="shared" si="116"/>
        <v>293.33333333334571</v>
      </c>
      <c r="BI165" s="59">
        <f ca="1">AVERAGE(OFFSET($BH$3,0,0,'Données projet'!$E$11+1,1))-AVERAGE(OFFSET($H$3,0,0,'Données projet'!$E$11+1,1))</f>
        <v>181.79645720099597</v>
      </c>
      <c r="BJ165" s="59">
        <f t="shared" si="146"/>
        <v>120.20040029102233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78.900066263608608</v>
      </c>
      <c r="BQ165" s="21">
        <f>EXP(-LN(2)/25)*BQ164+(1-EXP(-LN(2)/25))/(LN(2)/25)*Calculateur!BL165*Calculateur!BN165*VLOOKUP('Données projet'!$B$11,Paramètres!$A$1:$I$89,3,0)*0.475*44/12</f>
        <v>14.739255519269344</v>
      </c>
      <c r="BR165" s="21">
        <f>EXP(-LN(2)/2)*BR164+(1-EXP(-LN(2)/2))/(LN(2)/2)*BL165*BO165*VLOOKUP('Données projet'!$B$11,Paramètres!$A$1:$I$89,3,0)*0.475*44/12</f>
        <v>4.016784899030722E-4</v>
      </c>
      <c r="BS165" s="22">
        <f t="shared" si="169"/>
        <v>93.639723461367865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-3.979039320256561E-13</v>
      </c>
      <c r="BZ165" s="13">
        <f>BY165*VLOOKUP('Données projet'!$B$12,Paramètres!$A$1:$I$89,3,0)*VLOOKUP('Données projet'!$B$12,Paramètres!$A$1:$I$89,5,0)</f>
        <v>-2.379465513513424E-13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213.18424462765137</v>
      </c>
      <c r="CE165" s="59">
        <f t="shared" si="148"/>
        <v>158.77848520346532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28.039783034711732</v>
      </c>
      <c r="CL165" s="21">
        <f>EXP(-LN(2)/25)*CL164+(1-EXP(-LN(2)/25))/(LN(2)/25)*Calculateur!CG165*Calculateur!CI165*VLOOKUP('Données projet'!$B$12,Paramètres!$A$1:$I$89,3,0)*0.475*44/12</f>
        <v>3.5223292124954608</v>
      </c>
      <c r="CM165" s="21">
        <f>EXP(-LN(2)/2)*CM164+(1-EXP(-LN(2)/2))/(LN(2)/2)*CG165*CJ165*VLOOKUP('Données projet'!$B$12,Paramètres!$A$1:$I$89,3,0)*0.475*44/12</f>
        <v>1.6444311339398937E-11</v>
      </c>
      <c r="CN165" s="22">
        <f t="shared" si="172"/>
        <v>31.562112247223638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319</v>
      </c>
      <c r="CU165" s="17">
        <f>CT165*VLOOKUP('Données projet'!$B$13,Paramètres!$A$1:$I$89,3,0)*VLOOKUP('Données projet'!$B$13,Paramètres!$A$1:$I$89,5,0)</f>
        <v>253.79640000000001</v>
      </c>
      <c r="CV165" s="13">
        <f t="shared" si="173"/>
        <v>61.39816832228076</v>
      </c>
      <c r="CW165" s="20">
        <f t="shared" si="174"/>
        <v>548.96387316130563</v>
      </c>
      <c r="CX165" s="59">
        <f t="shared" si="122"/>
        <v>842.29720649463889</v>
      </c>
      <c r="CY165" s="59">
        <f ca="1">AVERAGE(OFFSET($CX$3,0,0,'Données projet'!$E$13+1,1))-AVERAGE(OFFSET($H$3,0,0,'Données projet'!$E$13+1,1))</f>
        <v>279.49721661620544</v>
      </c>
      <c r="CZ165" s="59">
        <f t="shared" si="150"/>
        <v>275.18739333988754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8.8267818439263728</v>
      </c>
      <c r="DG165" s="21">
        <f>EXP(-LN(2)/25)*DG164+(1-EXP(-LN(2)/25))/(LN(2)/25)*Calculateur!DB165*Calculateur!DD165*VLOOKUP('Données projet'!$B$13,Paramètres!$A$1:$I$89,3,0)*0.475*44/12</f>
        <v>0.7767909765635439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9.6035728204899158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-6.3550942286383367E-14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278.5296012747549</v>
      </c>
      <c r="T166" s="59">
        <f t="shared" si="142"/>
        <v>370.55343097937077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26.697877450020911</v>
      </c>
      <c r="AA166" s="21">
        <f>EXP(-LN(2)/25)*AA165+(1-EXP(-LN(2)/25))/(LN(2)/25)*Calculateur!V166*Calculateur!X166*VLOOKUP('Données projet'!$B$9,Paramètres!$A$1:$I$89,3,0)*0.475*44/12</f>
        <v>2.8842360923018422</v>
      </c>
      <c r="AB166" s="21">
        <f>EXP(-LN(2)/2)*AB165+(1-EXP(-LN(2)/2))/(LN(2)/2)*V166*Y166*VLOOKUP('Données projet'!$B$9,Paramètres!$A$1:$I$89,3,0)*0.475*44/12</f>
        <v>1.8963333128292611E-15</v>
      </c>
      <c r="AC166" s="22">
        <f t="shared" si="163"/>
        <v>29.582113542322755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-6.2527760746888816E-13</v>
      </c>
      <c r="AJ166" s="13">
        <f>AI166*VLOOKUP('Données projet'!$B$10,Paramètres!$A$1:$I$89,3,0)*VLOOKUP('Données projet'!$B$10,Paramètres!$A$1:$I$89,5,0)</f>
        <v>-3.0075852919253523E-13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255.05550867459038</v>
      </c>
      <c r="AO166" s="59">
        <f t="shared" si="144"/>
        <v>119.28597757550295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118.21830579940134</v>
      </c>
      <c r="AV166" s="21">
        <f>EXP(-LN(2)/25)*AV165+(1-EXP(-LN(2)/25))/(LN(2)/25)*Calculateur!AQ166*Calculateur!AS166*VLOOKUP('Données projet'!$B$10,Paramètres!$A$1:$I$89,3,0)*0.475*44/12</f>
        <v>21.506377668273903</v>
      </c>
      <c r="AW166" s="21">
        <f>EXP(-LN(2)/2)*AW165+(1-EXP(-LN(2)/2))/(LN(2)/2)*AQ166*AT166*VLOOKUP('Données projet'!$B$10,Paramètres!$A$1:$I$89,3,0)*0.475*44/12</f>
        <v>1.5573807716767031E-3</v>
      </c>
      <c r="AX166" s="21">
        <f t="shared" si="166"/>
        <v>139.72624084844693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1.1368683772161603E-12</v>
      </c>
      <c r="BE166" s="13">
        <f>BD166*VLOOKUP('Données projet'!$B$11,Paramètres!$A$1:$I$89,3,0)*VLOOKUP('Données projet'!$B$11,Paramètres!$A$1:$I$89,5,0)</f>
        <v>5.3205440053716299E-13</v>
      </c>
      <c r="BF166" s="13">
        <f t="shared" si="167"/>
        <v>6.579711042921201E-12</v>
      </c>
      <c r="BG166" s="20">
        <f t="shared" si="168"/>
        <v>1.2386324814023317E-11</v>
      </c>
      <c r="BH166" s="59">
        <f t="shared" si="116"/>
        <v>293.33333333334571</v>
      </c>
      <c r="BI166" s="59">
        <f ca="1">AVERAGE(OFFSET($BH$3,0,0,'Données projet'!$E$11+1,1))-AVERAGE(OFFSET($H$3,0,0,'Données projet'!$E$11+1,1))</f>
        <v>181.79645720099597</v>
      </c>
      <c r="BJ166" s="59">
        <f t="shared" si="146"/>
        <v>120.20040029102233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77.352884088467789</v>
      </c>
      <c r="BQ166" s="21">
        <f>EXP(-LN(2)/25)*BQ165+(1-EXP(-LN(2)/25))/(LN(2)/25)*Calculateur!BL166*Calculateur!BN166*VLOOKUP('Données projet'!$B$11,Paramètres!$A$1:$I$89,3,0)*0.475*44/12</f>
        <v>14.336209801991163</v>
      </c>
      <c r="BR166" s="21">
        <f>EXP(-LN(2)/2)*BR165+(1-EXP(-LN(2)/2))/(LN(2)/2)*BL166*BO166*VLOOKUP('Données projet'!$B$11,Paramètres!$A$1:$I$89,3,0)*0.475*44/12</f>
        <v>2.8402958406723451E-4</v>
      </c>
      <c r="BS166" s="22">
        <f t="shared" si="169"/>
        <v>91.689377920043015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-3.979039320256561E-13</v>
      </c>
      <c r="BZ166" s="13">
        <f>BY166*VLOOKUP('Données projet'!$B$12,Paramètres!$A$1:$I$89,3,0)*VLOOKUP('Données projet'!$B$12,Paramètres!$A$1:$I$89,5,0)</f>
        <v>-2.379465513513424E-13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213.18424462765137</v>
      </c>
      <c r="CE166" s="59">
        <f t="shared" si="148"/>
        <v>158.77848520346532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27.489939991979949</v>
      </c>
      <c r="CL166" s="21">
        <f>EXP(-LN(2)/25)*CL165+(1-EXP(-LN(2)/25))/(LN(2)/25)*Calculateur!CG166*Calculateur!CI166*VLOOKUP('Données projet'!$B$12,Paramètres!$A$1:$I$89,3,0)*0.475*44/12</f>
        <v>3.4260109349485295</v>
      </c>
      <c r="CM166" s="21">
        <f>EXP(-LN(2)/2)*CM165+(1-EXP(-LN(2)/2))/(LN(2)/2)*CG166*CJ166*VLOOKUP('Données projet'!$B$12,Paramètres!$A$1:$I$89,3,0)*0.475*44/12</f>
        <v>1.1627884060031826E-11</v>
      </c>
      <c r="CN166" s="22">
        <f t="shared" si="172"/>
        <v>30.915950926940106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319</v>
      </c>
      <c r="CU166" s="17">
        <f>CT166*VLOOKUP('Données projet'!$B$13,Paramètres!$A$1:$I$89,3,0)*VLOOKUP('Données projet'!$B$13,Paramètres!$A$1:$I$89,5,0)</f>
        <v>253.79640000000001</v>
      </c>
      <c r="CV166" s="13">
        <f t="shared" si="173"/>
        <v>61.39816832228076</v>
      </c>
      <c r="CW166" s="20">
        <f t="shared" si="174"/>
        <v>548.96387316130563</v>
      </c>
      <c r="CX166" s="59">
        <f t="shared" si="122"/>
        <v>842.29720649463889</v>
      </c>
      <c r="CY166" s="59">
        <f ca="1">AVERAGE(OFFSET($CX$3,0,0,'Données projet'!$E$13+1,1))-AVERAGE(OFFSET($H$3,0,0,'Données projet'!$E$13+1,1))</f>
        <v>279.49721661620544</v>
      </c>
      <c r="CZ166" s="59">
        <f t="shared" si="150"/>
        <v>275.18739333988754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8.6536940357722951</v>
      </c>
      <c r="DG166" s="21">
        <f>EXP(-LN(2)/25)*DG165+(1-EXP(-LN(2)/25))/(LN(2)/25)*Calculateur!DB166*Calculateur!DD166*VLOOKUP('Données projet'!$B$13,Paramètres!$A$1:$I$89,3,0)*0.475*44/12</f>
        <v>0.75554958645975168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9.4092436222320472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-6.3550942286383367E-14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278.5296012747549</v>
      </c>
      <c r="T167" s="59">
        <f t="shared" si="142"/>
        <v>370.55343097937077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26.174348357323325</v>
      </c>
      <c r="AA167" s="21">
        <f>EXP(-LN(2)/25)*AA166+(1-EXP(-LN(2)/25))/(LN(2)/25)*Calculateur!V167*Calculateur!X167*VLOOKUP('Données projet'!$B$9,Paramètres!$A$1:$I$89,3,0)*0.475*44/12</f>
        <v>2.8053665046824641</v>
      </c>
      <c r="AB167" s="21">
        <f>EXP(-LN(2)/2)*AB166+(1-EXP(-LN(2)/2))/(LN(2)/2)*V167*Y167*VLOOKUP('Données projet'!$B$9,Paramètres!$A$1:$I$89,3,0)*0.475*44/12</f>
        <v>1.3409101448915211E-15</v>
      </c>
      <c r="AC167" s="22">
        <f t="shared" si="163"/>
        <v>28.979714862005789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-6.2527760746888816E-13</v>
      </c>
      <c r="AJ167" s="13">
        <f>AI167*VLOOKUP('Données projet'!$B$10,Paramètres!$A$1:$I$89,3,0)*VLOOKUP('Données projet'!$B$10,Paramètres!$A$1:$I$89,5,0)</f>
        <v>-3.0075852919253523E-13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255.05550867459038</v>
      </c>
      <c r="AO167" s="59">
        <f t="shared" si="144"/>
        <v>119.28597757550295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115.90011692872173</v>
      </c>
      <c r="AV167" s="21">
        <f>EXP(-LN(2)/25)*AV166+(1-EXP(-LN(2)/25))/(LN(2)/25)*Calculateur!AQ167*Calculateur!AS167*VLOOKUP('Données projet'!$B$10,Paramètres!$A$1:$I$89,3,0)*0.475*44/12</f>
        <v>20.918284639963705</v>
      </c>
      <c r="AW167" s="21">
        <f>EXP(-LN(2)/2)*AW166+(1-EXP(-LN(2)/2))/(LN(2)/2)*AQ167*AT167*VLOOKUP('Données projet'!$B$10,Paramètres!$A$1:$I$89,3,0)*0.475*44/12</f>
        <v>1.101234504542135E-3</v>
      </c>
      <c r="AX167" s="21">
        <f t="shared" si="166"/>
        <v>136.81950280318998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1.1368683772161603E-12</v>
      </c>
      <c r="BE167" s="13">
        <f>BD167*VLOOKUP('Données projet'!$B$11,Paramètres!$A$1:$I$89,3,0)*VLOOKUP('Données projet'!$B$11,Paramètres!$A$1:$I$89,5,0)</f>
        <v>5.3205440053716299E-13</v>
      </c>
      <c r="BF167" s="13">
        <f t="shared" si="167"/>
        <v>6.579711042921201E-12</v>
      </c>
      <c r="BG167" s="20">
        <f t="shared" si="168"/>
        <v>1.2386324814023317E-11</v>
      </c>
      <c r="BH167" s="59">
        <f t="shared" si="116"/>
        <v>293.33333333334571</v>
      </c>
      <c r="BI167" s="59">
        <f ca="1">AVERAGE(OFFSET($BH$3,0,0,'Données projet'!$E$11+1,1))-AVERAGE(OFFSET($H$3,0,0,'Données projet'!$E$11+1,1))</f>
        <v>181.79645720099597</v>
      </c>
      <c r="BJ167" s="59">
        <f t="shared" si="146"/>
        <v>120.20040029102233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75.836041212093534</v>
      </c>
      <c r="BQ167" s="21">
        <f>EXP(-LN(2)/25)*BQ166+(1-EXP(-LN(2)/25))/(LN(2)/25)*Calculateur!BL167*Calculateur!BN167*VLOOKUP('Données projet'!$B$11,Paramètres!$A$1:$I$89,3,0)*0.475*44/12</f>
        <v>13.944185391047208</v>
      </c>
      <c r="BR167" s="21">
        <f>EXP(-LN(2)/2)*BR166+(1-EXP(-LN(2)/2))/(LN(2)/2)*BL167*BO167*VLOOKUP('Données projet'!$B$11,Paramètres!$A$1:$I$89,3,0)*0.475*44/12</f>
        <v>2.008392449515361E-4</v>
      </c>
      <c r="BS167" s="22">
        <f t="shared" si="169"/>
        <v>89.780427442385701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-3.979039320256561E-13</v>
      </c>
      <c r="BZ167" s="13">
        <f>BY167*VLOOKUP('Données projet'!$B$12,Paramètres!$A$1:$I$89,3,0)*VLOOKUP('Données projet'!$B$12,Paramètres!$A$1:$I$89,5,0)</f>
        <v>-2.379465513513424E-13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213.18424462765137</v>
      </c>
      <c r="CE167" s="59">
        <f t="shared" si="148"/>
        <v>158.77848520346532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26.950879035944993</v>
      </c>
      <c r="CL167" s="21">
        <f>EXP(-LN(2)/25)*CL166+(1-EXP(-LN(2)/25))/(LN(2)/25)*Calculateur!CG167*Calculateur!CI167*VLOOKUP('Données projet'!$B$12,Paramètres!$A$1:$I$89,3,0)*0.475*44/12</f>
        <v>3.3323264857662771</v>
      </c>
      <c r="CM167" s="21">
        <f>EXP(-LN(2)/2)*CM166+(1-EXP(-LN(2)/2))/(LN(2)/2)*CG167*CJ167*VLOOKUP('Données projet'!$B$12,Paramètres!$A$1:$I$89,3,0)*0.475*44/12</f>
        <v>8.2221556696994683E-12</v>
      </c>
      <c r="CN167" s="22">
        <f t="shared" si="172"/>
        <v>30.283205521719491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319</v>
      </c>
      <c r="CU167" s="17">
        <f>CT167*VLOOKUP('Données projet'!$B$13,Paramètres!$A$1:$I$89,3,0)*VLOOKUP('Données projet'!$B$13,Paramètres!$A$1:$I$89,5,0)</f>
        <v>253.79640000000001</v>
      </c>
      <c r="CV167" s="13">
        <f t="shared" si="173"/>
        <v>61.39816832228076</v>
      </c>
      <c r="CW167" s="20">
        <f t="shared" si="174"/>
        <v>548.96387316130563</v>
      </c>
      <c r="CX167" s="59">
        <f t="shared" si="122"/>
        <v>842.29720649463889</v>
      </c>
      <c r="CY167" s="59">
        <f ca="1">AVERAGE(OFFSET($CX$3,0,0,'Données projet'!$E$13+1,1))-AVERAGE(OFFSET($H$3,0,0,'Données projet'!$E$13+1,1))</f>
        <v>279.49721661620544</v>
      </c>
      <c r="CZ167" s="59">
        <f t="shared" si="150"/>
        <v>275.18739333988754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8.4840003739629797</v>
      </c>
      <c r="DG167" s="21">
        <f>EXP(-LN(2)/25)*DG166+(1-EXP(-LN(2)/25))/(LN(2)/25)*Calculateur!DB167*Calculateur!DD167*VLOOKUP('Données projet'!$B$13,Paramètres!$A$1:$I$89,3,0)*0.475*44/12</f>
        <v>0.73488904328538385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9.2188894172483629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-6.3550942286383367E-14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278.5296012747549</v>
      </c>
      <c r="T168" s="59">
        <f t="shared" si="142"/>
        <v>370.55343097937077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25.661085350812321</v>
      </c>
      <c r="AA168" s="21">
        <f>EXP(-LN(2)/25)*AA167+(1-EXP(-LN(2)/25))/(LN(2)/25)*Calculateur!V168*Calculateur!X168*VLOOKUP('Données projet'!$B$9,Paramètres!$A$1:$I$89,3,0)*0.475*44/12</f>
        <v>2.7286536100841094</v>
      </c>
      <c r="AB168" s="21">
        <f>EXP(-LN(2)/2)*AB167+(1-EXP(-LN(2)/2))/(LN(2)/2)*V168*Y168*VLOOKUP('Données projet'!$B$9,Paramètres!$A$1:$I$89,3,0)*0.475*44/12</f>
        <v>9.4816665641463053E-16</v>
      </c>
      <c r="AC168" s="22">
        <f t="shared" si="163"/>
        <v>28.38973896089643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-6.2527760746888816E-13</v>
      </c>
      <c r="AJ168" s="13">
        <f>AI168*VLOOKUP('Données projet'!$B$10,Paramètres!$A$1:$I$89,3,0)*VLOOKUP('Données projet'!$B$10,Paramètres!$A$1:$I$89,5,0)</f>
        <v>-3.0075852919253523E-13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255.05550867459038</v>
      </c>
      <c r="AO168" s="59">
        <f t="shared" si="144"/>
        <v>119.28597757550295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113.62738632784055</v>
      </c>
      <c r="AV168" s="21">
        <f>EXP(-LN(2)/25)*AV167+(1-EXP(-LN(2)/25))/(LN(2)/25)*Calculateur!AQ168*Calculateur!AS168*VLOOKUP('Données projet'!$B$10,Paramètres!$A$1:$I$89,3,0)*0.475*44/12</f>
        <v>20.346273046439119</v>
      </c>
      <c r="AW168" s="21">
        <f>EXP(-LN(2)/2)*AW167+(1-EXP(-LN(2)/2))/(LN(2)/2)*AQ168*AT168*VLOOKUP('Données projet'!$B$10,Paramètres!$A$1:$I$89,3,0)*0.475*44/12</f>
        <v>7.7869038583835157E-4</v>
      </c>
      <c r="AX168" s="21">
        <f t="shared" si="166"/>
        <v>133.97443806466549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1.1368683772161603E-12</v>
      </c>
      <c r="BE168" s="13">
        <f>BD168*VLOOKUP('Données projet'!$B$11,Paramètres!$A$1:$I$89,3,0)*VLOOKUP('Données projet'!$B$11,Paramètres!$A$1:$I$89,5,0)</f>
        <v>5.3205440053716299E-13</v>
      </c>
      <c r="BF168" s="13">
        <f t="shared" si="167"/>
        <v>6.579711042921201E-12</v>
      </c>
      <c r="BG168" s="20">
        <f t="shared" si="168"/>
        <v>1.2386324814023317E-11</v>
      </c>
      <c r="BH168" s="59">
        <f t="shared" si="116"/>
        <v>293.33333333334571</v>
      </c>
      <c r="BI168" s="59">
        <f ca="1">AVERAGE(OFFSET($BH$3,0,0,'Données projet'!$E$11+1,1))-AVERAGE(OFFSET($H$3,0,0,'Données projet'!$E$11+1,1))</f>
        <v>181.79645720099597</v>
      </c>
      <c r="BJ168" s="59">
        <f t="shared" si="146"/>
        <v>120.20040029102233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74.348942699342174</v>
      </c>
      <c r="BQ168" s="21">
        <f>EXP(-LN(2)/25)*BQ167+(1-EXP(-LN(2)/25))/(LN(2)/25)*Calculateur!BL168*Calculateur!BN168*VLOOKUP('Données projet'!$B$11,Paramètres!$A$1:$I$89,3,0)*0.475*44/12</f>
        <v>13.562880908236183</v>
      </c>
      <c r="BR168" s="21">
        <f>EXP(-LN(2)/2)*BR167+(1-EXP(-LN(2)/2))/(LN(2)/2)*BL168*BO168*VLOOKUP('Données projet'!$B$11,Paramètres!$A$1:$I$89,3,0)*0.475*44/12</f>
        <v>1.4201479203361725E-4</v>
      </c>
      <c r="BS168" s="22">
        <f t="shared" si="169"/>
        <v>87.911965622370388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-3.979039320256561E-13</v>
      </c>
      <c r="BZ168" s="13">
        <f>BY168*VLOOKUP('Données projet'!$B$12,Paramètres!$A$1:$I$89,3,0)*VLOOKUP('Données projet'!$B$12,Paramètres!$A$1:$I$89,5,0)</f>
        <v>-2.379465513513424E-13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213.18424462765137</v>
      </c>
      <c r="CE168" s="59">
        <f t="shared" si="148"/>
        <v>158.77848520346532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26.422388736463166</v>
      </c>
      <c r="CL168" s="21">
        <f>EXP(-LN(2)/25)*CL167+(1-EXP(-LN(2)/25))/(LN(2)/25)*Calculateur!CG168*Calculateur!CI168*VLOOKUP('Données projet'!$B$12,Paramètres!$A$1:$I$89,3,0)*0.475*44/12</f>
        <v>3.2412038427735643</v>
      </c>
      <c r="CM168" s="21">
        <f>EXP(-LN(2)/2)*CM167+(1-EXP(-LN(2)/2))/(LN(2)/2)*CG168*CJ168*VLOOKUP('Données projet'!$B$12,Paramètres!$A$1:$I$89,3,0)*0.475*44/12</f>
        <v>5.8139420300159131E-12</v>
      </c>
      <c r="CN168" s="22">
        <f t="shared" si="172"/>
        <v>29.663592579242543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319</v>
      </c>
      <c r="CU168" s="17">
        <f>CT168*VLOOKUP('Données projet'!$B$13,Paramètres!$A$1:$I$89,3,0)*VLOOKUP('Données projet'!$B$13,Paramètres!$A$1:$I$89,5,0)</f>
        <v>253.79640000000001</v>
      </c>
      <c r="CV168" s="13">
        <f t="shared" si="173"/>
        <v>61.39816832228076</v>
      </c>
      <c r="CW168" s="20">
        <f t="shared" si="174"/>
        <v>548.96387316130563</v>
      </c>
      <c r="CX168" s="59">
        <f t="shared" si="122"/>
        <v>842.29720649463889</v>
      </c>
      <c r="CY168" s="59">
        <f ca="1">AVERAGE(OFFSET($CX$3,0,0,'Données projet'!$E$13+1,1))-AVERAGE(OFFSET($H$3,0,0,'Données projet'!$E$13+1,1))</f>
        <v>279.49721661620544</v>
      </c>
      <c r="CZ168" s="59">
        <f t="shared" si="150"/>
        <v>275.18739333988754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8.3176343013588312</v>
      </c>
      <c r="DG168" s="21">
        <f>EXP(-LN(2)/25)*DG167+(1-EXP(-LN(2)/25))/(LN(2)/25)*Calculateur!DB168*Calculateur!DD168*VLOOKUP('Données projet'!$B$13,Paramètres!$A$1:$I$89,3,0)*0.475*44/12</f>
        <v>0.71479346375060981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9.0324277651094409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-6.3550942286383367E-14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278.5296012747549</v>
      </c>
      <c r="T169" s="59">
        <f t="shared" si="142"/>
        <v>370.55343097937077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25.157887118799476</v>
      </c>
      <c r="AA169" s="21">
        <f>EXP(-LN(2)/25)*AA168+(1-EXP(-LN(2)/25))/(LN(2)/25)*Calculateur!V169*Calculateur!X169*VLOOKUP('Données projet'!$B$9,Paramètres!$A$1:$I$89,3,0)*0.475*44/12</f>
        <v>2.6540384336227025</v>
      </c>
      <c r="AB169" s="21">
        <f>EXP(-LN(2)/2)*AB168+(1-EXP(-LN(2)/2))/(LN(2)/2)*V169*Y169*VLOOKUP('Données projet'!$B$9,Paramètres!$A$1:$I$89,3,0)*0.475*44/12</f>
        <v>6.7045507244576054E-16</v>
      </c>
      <c r="AC169" s="22">
        <f t="shared" si="163"/>
        <v>27.811925552422178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-6.2527760746888816E-13</v>
      </c>
      <c r="AJ169" s="13">
        <f>AI169*VLOOKUP('Données projet'!$B$10,Paramètres!$A$1:$I$89,3,0)*VLOOKUP('Données projet'!$B$10,Paramètres!$A$1:$I$89,5,0)</f>
        <v>-3.0075852919253523E-13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255.05550867459038</v>
      </c>
      <c r="AO169" s="59">
        <f t="shared" si="144"/>
        <v>119.28597757550295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111.39922258781388</v>
      </c>
      <c r="AV169" s="21">
        <f>EXP(-LN(2)/25)*AV168+(1-EXP(-LN(2)/25))/(LN(2)/25)*Calculateur!AQ169*Calculateur!AS169*VLOOKUP('Données projet'!$B$10,Paramètres!$A$1:$I$89,3,0)*0.475*44/12</f>
        <v>19.789903140020243</v>
      </c>
      <c r="AW169" s="21">
        <f>EXP(-LN(2)/2)*AW168+(1-EXP(-LN(2)/2))/(LN(2)/2)*AQ169*AT169*VLOOKUP('Données projet'!$B$10,Paramètres!$A$1:$I$89,3,0)*0.475*44/12</f>
        <v>5.5061725227106752E-4</v>
      </c>
      <c r="AX169" s="21">
        <f t="shared" si="166"/>
        <v>131.18967634508638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1.1368683772161603E-12</v>
      </c>
      <c r="BE169" s="13">
        <f>BD169*VLOOKUP('Données projet'!$B$11,Paramètres!$A$1:$I$89,3,0)*VLOOKUP('Données projet'!$B$11,Paramètres!$A$1:$I$89,5,0)</f>
        <v>5.3205440053716299E-13</v>
      </c>
      <c r="BF169" s="13">
        <f t="shared" si="167"/>
        <v>6.579711042921201E-12</v>
      </c>
      <c r="BG169" s="20">
        <f t="shared" si="168"/>
        <v>1.2386324814023317E-11</v>
      </c>
      <c r="BH169" s="59">
        <f t="shared" si="116"/>
        <v>293.33333333334571</v>
      </c>
      <c r="BI169" s="59">
        <f ca="1">AVERAGE(OFFSET($BH$3,0,0,'Données projet'!$E$11+1,1))-AVERAGE(OFFSET($H$3,0,0,'Données projet'!$E$11+1,1))</f>
        <v>181.79645720099597</v>
      </c>
      <c r="BJ169" s="59">
        <f t="shared" si="146"/>
        <v>120.20040029102233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72.891005281385347</v>
      </c>
      <c r="BQ169" s="21">
        <f>EXP(-LN(2)/25)*BQ168+(1-EXP(-LN(2)/25))/(LN(2)/25)*Calculateur!BL169*Calculateur!BN169*VLOOKUP('Données projet'!$B$11,Paramètres!$A$1:$I$89,3,0)*0.475*44/12</f>
        <v>13.192003216559556</v>
      </c>
      <c r="BR169" s="21">
        <f>EXP(-LN(2)/2)*BR168+(1-EXP(-LN(2)/2))/(LN(2)/2)*BL169*BO169*VLOOKUP('Données projet'!$B$11,Paramètres!$A$1:$I$89,3,0)*0.475*44/12</f>
        <v>1.0041962247576805E-4</v>
      </c>
      <c r="BS169" s="22">
        <f t="shared" si="169"/>
        <v>86.083108917567372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-3.979039320256561E-13</v>
      </c>
      <c r="BZ169" s="13">
        <f>BY169*VLOOKUP('Données projet'!$B$12,Paramètres!$A$1:$I$89,3,0)*VLOOKUP('Données projet'!$B$12,Paramètres!$A$1:$I$89,5,0)</f>
        <v>-2.379465513513424E-13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213.18424462765137</v>
      </c>
      <c r="CE169" s="59">
        <f t="shared" si="148"/>
        <v>158.77848520346532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25.904261809406922</v>
      </c>
      <c r="CL169" s="21">
        <f>EXP(-LN(2)/25)*CL168+(1-EXP(-LN(2)/25))/(LN(2)/25)*Calculateur!CG169*Calculateur!CI169*VLOOKUP('Données projet'!$B$12,Paramètres!$A$1:$I$89,3,0)*0.475*44/12</f>
        <v>3.1525729532454192</v>
      </c>
      <c r="CM169" s="21">
        <f>EXP(-LN(2)/2)*CM168+(1-EXP(-LN(2)/2))/(LN(2)/2)*CG169*CJ169*VLOOKUP('Données projet'!$B$12,Paramètres!$A$1:$I$89,3,0)*0.475*44/12</f>
        <v>4.1110778348497342E-12</v>
      </c>
      <c r="CN169" s="22">
        <f t="shared" si="172"/>
        <v>29.05683476265645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319</v>
      </c>
      <c r="CU169" s="17">
        <f>CT169*VLOOKUP('Données projet'!$B$13,Paramètres!$A$1:$I$89,3,0)*VLOOKUP('Données projet'!$B$13,Paramètres!$A$1:$I$89,5,0)</f>
        <v>253.79640000000001</v>
      </c>
      <c r="CV169" s="13">
        <f t="shared" si="173"/>
        <v>61.39816832228076</v>
      </c>
      <c r="CW169" s="20">
        <f t="shared" si="174"/>
        <v>548.96387316130563</v>
      </c>
      <c r="CX169" s="59">
        <f t="shared" si="122"/>
        <v>842.29720649463889</v>
      </c>
      <c r="CY169" s="59">
        <f ca="1">AVERAGE(OFFSET($CX$3,0,0,'Données projet'!$E$13+1,1))-AVERAGE(OFFSET($H$3,0,0,'Données projet'!$E$13+1,1))</f>
        <v>279.49721661620544</v>
      </c>
      <c r="CZ169" s="59">
        <f t="shared" si="150"/>
        <v>275.18739333988754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8.1545305659651657</v>
      </c>
      <c r="DG169" s="21">
        <f>EXP(-LN(2)/25)*DG168+(1-EXP(-LN(2)/25))/(LN(2)/25)*Calculateur!DB169*Calculateur!DD169*VLOOKUP('Données projet'!$B$13,Paramètres!$A$1:$I$89,3,0)*0.475*44/12</f>
        <v>0.69524739889499476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8.8497779648601611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-6.3550942286383367E-14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278.5296012747549</v>
      </c>
      <c r="T170" s="59">
        <f t="shared" si="142"/>
        <v>370.55343097937077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24.664556297195787</v>
      </c>
      <c r="AA170" s="21">
        <f>EXP(-LN(2)/25)*AA169+(1-EXP(-LN(2)/25))/(LN(2)/25)*Calculateur!V170*Calculateur!X170*VLOOKUP('Données projet'!$B$9,Paramètres!$A$1:$I$89,3,0)*0.475*44/12</f>
        <v>2.5814636130854742</v>
      </c>
      <c r="AB170" s="21">
        <f>EXP(-LN(2)/2)*AB169+(1-EXP(-LN(2)/2))/(LN(2)/2)*V170*Y170*VLOOKUP('Données projet'!$B$9,Paramètres!$A$1:$I$89,3,0)*0.475*44/12</f>
        <v>4.7408332820731527E-16</v>
      </c>
      <c r="AC170" s="22">
        <f t="shared" si="163"/>
        <v>27.246019910281262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-6.2527760746888816E-13</v>
      </c>
      <c r="AJ170" s="13">
        <f>AI170*VLOOKUP('Données projet'!$B$10,Paramètres!$A$1:$I$89,3,0)*VLOOKUP('Données projet'!$B$10,Paramètres!$A$1:$I$89,5,0)</f>
        <v>-3.0075852919253523E-13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255.05550867459038</v>
      </c>
      <c r="AO170" s="59">
        <f t="shared" si="144"/>
        <v>119.28597757550295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109.21475177968344</v>
      </c>
      <c r="AV170" s="21">
        <f>EXP(-LN(2)/25)*AV169+(1-EXP(-LN(2)/25))/(LN(2)/25)*Calculateur!AQ170*Calculateur!AS170*VLOOKUP('Données projet'!$B$10,Paramètres!$A$1:$I$89,3,0)*0.475*44/12</f>
        <v>19.248747197950614</v>
      </c>
      <c r="AW170" s="21">
        <f>EXP(-LN(2)/2)*AW169+(1-EXP(-LN(2)/2))/(LN(2)/2)*AQ170*AT170*VLOOKUP('Données projet'!$B$10,Paramètres!$A$1:$I$89,3,0)*0.475*44/12</f>
        <v>3.8934519291917579E-4</v>
      </c>
      <c r="AX170" s="21">
        <f t="shared" si="166"/>
        <v>128.46388832282699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1.1368683772161603E-12</v>
      </c>
      <c r="BE170" s="13">
        <f>BD170*VLOOKUP('Données projet'!$B$11,Paramètres!$A$1:$I$89,3,0)*VLOOKUP('Données projet'!$B$11,Paramètres!$A$1:$I$89,5,0)</f>
        <v>5.3205440053716299E-13</v>
      </c>
      <c r="BF170" s="13">
        <f t="shared" si="167"/>
        <v>6.579711042921201E-12</v>
      </c>
      <c r="BG170" s="20">
        <f t="shared" si="168"/>
        <v>1.2386324814023317E-11</v>
      </c>
      <c r="BH170" s="59">
        <f t="shared" si="116"/>
        <v>293.33333333334571</v>
      </c>
      <c r="BI170" s="59">
        <f ca="1">AVERAGE(OFFSET($BH$3,0,0,'Données projet'!$E$11+1,1))-AVERAGE(OFFSET($H$3,0,0,'Données projet'!$E$11+1,1))</f>
        <v>181.79645720099597</v>
      </c>
      <c r="BJ170" s="59">
        <f t="shared" si="146"/>
        <v>120.20040029102233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71.461657126940622</v>
      </c>
      <c r="BQ170" s="21">
        <f>EXP(-LN(2)/25)*BQ169+(1-EXP(-LN(2)/25))/(LN(2)/25)*Calculateur!BL170*Calculateur!BN170*VLOOKUP('Données projet'!$B$11,Paramètres!$A$1:$I$89,3,0)*0.475*44/12</f>
        <v>12.831267194865436</v>
      </c>
      <c r="BR170" s="21">
        <f>EXP(-LN(2)/2)*BR169+(1-EXP(-LN(2)/2))/(LN(2)/2)*BL170*BO170*VLOOKUP('Données projet'!$B$11,Paramètres!$A$1:$I$89,3,0)*0.475*44/12</f>
        <v>7.1007396016808626E-5</v>
      </c>
      <c r="BS170" s="22">
        <f t="shared" si="169"/>
        <v>84.292995329202071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-3.979039320256561E-13</v>
      </c>
      <c r="BZ170" s="13">
        <f>BY170*VLOOKUP('Données projet'!$B$12,Paramètres!$A$1:$I$89,3,0)*VLOOKUP('Données projet'!$B$12,Paramètres!$A$1:$I$89,5,0)</f>
        <v>-2.379465513513424E-13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213.18424462765137</v>
      </c>
      <c r="CE170" s="59">
        <f t="shared" si="148"/>
        <v>158.77848520346532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25.39629503536403</v>
      </c>
      <c r="CL170" s="21">
        <f>EXP(-LN(2)/25)*CL169+(1-EXP(-LN(2)/25))/(LN(2)/25)*Calculateur!CG170*Calculateur!CI170*VLOOKUP('Données projet'!$B$12,Paramètres!$A$1:$I$89,3,0)*0.475*44/12</f>
        <v>3.0663656800523169</v>
      </c>
      <c r="CM170" s="21">
        <f>EXP(-LN(2)/2)*CM169+(1-EXP(-LN(2)/2))/(LN(2)/2)*CG170*CJ170*VLOOKUP('Données projet'!$B$12,Paramètres!$A$1:$I$89,3,0)*0.475*44/12</f>
        <v>2.9069710150079565E-12</v>
      </c>
      <c r="CN170" s="22">
        <f t="shared" si="172"/>
        <v>28.462660715419254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319</v>
      </c>
      <c r="CU170" s="17">
        <f>CT170*VLOOKUP('Données projet'!$B$13,Paramètres!$A$1:$I$89,3,0)*VLOOKUP('Données projet'!$B$13,Paramètres!$A$1:$I$89,5,0)</f>
        <v>253.79640000000001</v>
      </c>
      <c r="CV170" s="13">
        <f t="shared" si="173"/>
        <v>61.39816832228076</v>
      </c>
      <c r="CW170" s="20">
        <f t="shared" si="174"/>
        <v>548.96387316130563</v>
      </c>
      <c r="CX170" s="59">
        <f t="shared" si="122"/>
        <v>842.29720649463889</v>
      </c>
      <c r="CY170" s="59">
        <f ca="1">AVERAGE(OFFSET($CX$3,0,0,'Données projet'!$E$13+1,1))-AVERAGE(OFFSET($H$3,0,0,'Données projet'!$E$13+1,1))</f>
        <v>279.49721661620544</v>
      </c>
      <c r="CZ170" s="59">
        <f t="shared" si="150"/>
        <v>275.18739333988754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7.9946251953391148</v>
      </c>
      <c r="DG170" s="21">
        <f>EXP(-LN(2)/25)*DG169+(1-EXP(-LN(2)/25))/(LN(2)/25)*Calculateur!DB170*Calculateur!DD170*VLOOKUP('Données projet'!$B$13,Paramètres!$A$1:$I$89,3,0)*0.475*44/12</f>
        <v>0.67623582221073941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8.6708610175498535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-6.3550942286383367E-14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278.5296012747549</v>
      </c>
      <c r="T171" s="59">
        <f t="shared" si="142"/>
        <v>370.55343097937077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24.180899392101658</v>
      </c>
      <c r="AA171" s="21">
        <f>EXP(-LN(2)/25)*AA170+(1-EXP(-LN(2)/25))/(LN(2)/25)*Calculateur!V171*Calculateur!X171*VLOOKUP('Données projet'!$B$9,Paramètres!$A$1:$I$89,3,0)*0.475*44/12</f>
        <v>2.5108733548323805</v>
      </c>
      <c r="AB171" s="21">
        <f>EXP(-LN(2)/2)*AB170+(1-EXP(-LN(2)/2))/(LN(2)/2)*V171*Y171*VLOOKUP('Données projet'!$B$9,Paramètres!$A$1:$I$89,3,0)*0.475*44/12</f>
        <v>3.3522753622288027E-16</v>
      </c>
      <c r="AC171" s="22">
        <f t="shared" si="163"/>
        <v>26.691772746934038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-6.2527760746888816E-13</v>
      </c>
      <c r="AJ171" s="13">
        <f>AI171*VLOOKUP('Données projet'!$B$10,Paramètres!$A$1:$I$89,3,0)*VLOOKUP('Données projet'!$B$10,Paramètres!$A$1:$I$89,5,0)</f>
        <v>-3.0075852919253523E-13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255.05550867459038</v>
      </c>
      <c r="AO171" s="59">
        <f t="shared" si="144"/>
        <v>119.28597757550295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107.0731171117048</v>
      </c>
      <c r="AV171" s="21">
        <f>EXP(-LN(2)/25)*AV170+(1-EXP(-LN(2)/25))/(LN(2)/25)*Calculateur!AQ171*Calculateur!AS171*VLOOKUP('Données projet'!$B$10,Paramètres!$A$1:$I$89,3,0)*0.475*44/12</f>
        <v>18.722389193575033</v>
      </c>
      <c r="AW171" s="21">
        <f>EXP(-LN(2)/2)*AW170+(1-EXP(-LN(2)/2))/(LN(2)/2)*AQ171*AT171*VLOOKUP('Données projet'!$B$10,Paramètres!$A$1:$I$89,3,0)*0.475*44/12</f>
        <v>2.7530862613553376E-4</v>
      </c>
      <c r="AX171" s="21">
        <f t="shared" si="166"/>
        <v>125.79578161390597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1.1368683772161603E-12</v>
      </c>
      <c r="BE171" s="13">
        <f>BD171*VLOOKUP('Données projet'!$B$11,Paramètres!$A$1:$I$89,3,0)*VLOOKUP('Données projet'!$B$11,Paramètres!$A$1:$I$89,5,0)</f>
        <v>5.3205440053716299E-13</v>
      </c>
      <c r="BF171" s="13">
        <f t="shared" si="167"/>
        <v>6.579711042921201E-12</v>
      </c>
      <c r="BG171" s="20">
        <f t="shared" si="168"/>
        <v>1.2386324814023317E-11</v>
      </c>
      <c r="BH171" s="59">
        <f t="shared" si="116"/>
        <v>293.33333333334571</v>
      </c>
      <c r="BI171" s="59">
        <f ca="1">AVERAGE(OFFSET($BH$3,0,0,'Données projet'!$E$11+1,1))-AVERAGE(OFFSET($H$3,0,0,'Données projet'!$E$11+1,1))</f>
        <v>181.79645720099597</v>
      </c>
      <c r="BJ171" s="59">
        <f t="shared" si="146"/>
        <v>120.20040029102233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70.060337617988282</v>
      </c>
      <c r="BQ171" s="21">
        <f>EXP(-LN(2)/25)*BQ170+(1-EXP(-LN(2)/25))/(LN(2)/25)*Calculateur!BL171*Calculateur!BN171*VLOOKUP('Données projet'!$B$11,Paramètres!$A$1:$I$89,3,0)*0.475*44/12</f>
        <v>12.480395518654825</v>
      </c>
      <c r="BR171" s="21">
        <f>EXP(-LN(2)/2)*BR170+(1-EXP(-LN(2)/2))/(LN(2)/2)*BL171*BO171*VLOOKUP('Données projet'!$B$11,Paramètres!$A$1:$I$89,3,0)*0.475*44/12</f>
        <v>5.0209811237884025E-5</v>
      </c>
      <c r="BS171" s="22">
        <f t="shared" si="169"/>
        <v>82.540783346454347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-3.979039320256561E-13</v>
      </c>
      <c r="BZ171" s="13">
        <f>BY171*VLOOKUP('Données projet'!$B$12,Paramètres!$A$1:$I$89,3,0)*VLOOKUP('Données projet'!$B$12,Paramètres!$A$1:$I$89,5,0)</f>
        <v>-2.379465513513424E-13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213.18424462765137</v>
      </c>
      <c r="CE171" s="59">
        <f t="shared" si="148"/>
        <v>158.77848520346532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24.89828917993098</v>
      </c>
      <c r="CL171" s="21">
        <f>EXP(-LN(2)/25)*CL170+(1-EXP(-LN(2)/25))/(LN(2)/25)*Calculateur!CG171*Calculateur!CI171*VLOOKUP('Données projet'!$B$12,Paramètres!$A$1:$I$89,3,0)*0.475*44/12</f>
        <v>2.9825157492781234</v>
      </c>
      <c r="CM171" s="21">
        <f>EXP(-LN(2)/2)*CM170+(1-EXP(-LN(2)/2))/(LN(2)/2)*CG171*CJ171*VLOOKUP('Données projet'!$B$12,Paramètres!$A$1:$I$89,3,0)*0.475*44/12</f>
        <v>2.0555389174248671E-12</v>
      </c>
      <c r="CN171" s="22">
        <f t="shared" si="172"/>
        <v>27.880804929211163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319</v>
      </c>
      <c r="CU171" s="17">
        <f>CT171*VLOOKUP('Données projet'!$B$13,Paramètres!$A$1:$I$89,3,0)*VLOOKUP('Données projet'!$B$13,Paramètres!$A$1:$I$89,5,0)</f>
        <v>253.79640000000001</v>
      </c>
      <c r="CV171" s="13">
        <f t="shared" si="173"/>
        <v>61.39816832228076</v>
      </c>
      <c r="CW171" s="20">
        <f t="shared" si="174"/>
        <v>548.96387316130563</v>
      </c>
      <c r="CX171" s="59">
        <f t="shared" si="122"/>
        <v>842.29720649463889</v>
      </c>
      <c r="CY171" s="59">
        <f ca="1">AVERAGE(OFFSET($CX$3,0,0,'Données projet'!$E$13+1,1))-AVERAGE(OFFSET($H$3,0,0,'Données projet'!$E$13+1,1))</f>
        <v>279.49721661620544</v>
      </c>
      <c r="CZ171" s="59">
        <f t="shared" si="150"/>
        <v>275.18739333988754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7.8378554714983952</v>
      </c>
      <c r="DG171" s="21">
        <f>EXP(-LN(2)/25)*DG170+(1-EXP(-LN(2)/25))/(LN(2)/25)*Calculateur!DB171*Calculateur!DD171*VLOOKUP('Données projet'!$B$13,Paramètres!$A$1:$I$89,3,0)*0.475*44/12</f>
        <v>0.65774411809069044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8.4955995895890855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-6.3550942286383367E-14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278.5296012747549</v>
      </c>
      <c r="T172" s="59">
        <f t="shared" si="142"/>
        <v>370.55343097937077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23.706726703914843</v>
      </c>
      <c r="AA172" s="21">
        <f>EXP(-LN(2)/25)*AA171+(1-EXP(-LN(2)/25))/(LN(2)/25)*Calculateur!V172*Calculateur!X172*VLOOKUP('Données projet'!$B$9,Paramètres!$A$1:$I$89,3,0)*0.475*44/12</f>
        <v>2.4422133909033978</v>
      </c>
      <c r="AB172" s="21">
        <f>EXP(-LN(2)/2)*AB171+(1-EXP(-LN(2)/2))/(LN(2)/2)*V172*Y172*VLOOKUP('Données projet'!$B$9,Paramètres!$A$1:$I$89,3,0)*0.475*44/12</f>
        <v>2.3704166410365763E-16</v>
      </c>
      <c r="AC172" s="22">
        <f t="shared" si="163"/>
        <v>26.14894009481824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-6.2527760746888816E-13</v>
      </c>
      <c r="AJ172" s="13">
        <f>AI172*VLOOKUP('Données projet'!$B$10,Paramètres!$A$1:$I$89,3,0)*VLOOKUP('Données projet'!$B$10,Paramètres!$A$1:$I$89,5,0)</f>
        <v>-3.0075852919253523E-13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255.05550867459038</v>
      </c>
      <c r="AO172" s="59">
        <f t="shared" si="144"/>
        <v>119.28597757550295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104.97347859329706</v>
      </c>
      <c r="AV172" s="21">
        <f>EXP(-LN(2)/25)*AV171+(1-EXP(-LN(2)/25))/(LN(2)/25)*Calculateur!AQ172*Calculateur!AS172*VLOOKUP('Données projet'!$B$10,Paramètres!$A$1:$I$89,3,0)*0.475*44/12</f>
        <v>18.210424476509068</v>
      </c>
      <c r="AW172" s="21">
        <f>EXP(-LN(2)/2)*AW171+(1-EXP(-LN(2)/2))/(LN(2)/2)*AQ172*AT172*VLOOKUP('Données projet'!$B$10,Paramètres!$A$1:$I$89,3,0)*0.475*44/12</f>
        <v>1.9467259645958789E-4</v>
      </c>
      <c r="AX172" s="21">
        <f t="shared" si="166"/>
        <v>123.18409774240259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1.1368683772161603E-12</v>
      </c>
      <c r="BE172" s="13">
        <f>BD172*VLOOKUP('Données projet'!$B$11,Paramètres!$A$1:$I$89,3,0)*VLOOKUP('Données projet'!$B$11,Paramètres!$A$1:$I$89,5,0)</f>
        <v>5.3205440053716299E-13</v>
      </c>
      <c r="BF172" s="13">
        <f t="shared" si="167"/>
        <v>6.579711042921201E-12</v>
      </c>
      <c r="BG172" s="20">
        <f t="shared" si="168"/>
        <v>1.2386324814023317E-11</v>
      </c>
      <c r="BH172" s="59">
        <f t="shared" si="116"/>
        <v>293.33333333334571</v>
      </c>
      <c r="BI172" s="59">
        <f ca="1">AVERAGE(OFFSET($BH$3,0,0,'Données projet'!$E$11+1,1))-AVERAGE(OFFSET($H$3,0,0,'Données projet'!$E$11+1,1))</f>
        <v>181.79645720099597</v>
      </c>
      <c r="BJ172" s="59">
        <f t="shared" si="146"/>
        <v>120.20040029102233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68.686497129885993</v>
      </c>
      <c r="BQ172" s="21">
        <f>EXP(-LN(2)/25)*BQ171+(1-EXP(-LN(2)/25))/(LN(2)/25)*Calculateur!BL172*Calculateur!BN172*VLOOKUP('Données projet'!$B$11,Paramètres!$A$1:$I$89,3,0)*0.475*44/12</f>
        <v>12.139118446881733</v>
      </c>
      <c r="BR172" s="21">
        <f>EXP(-LN(2)/2)*BR171+(1-EXP(-LN(2)/2))/(LN(2)/2)*BL172*BO172*VLOOKUP('Données projet'!$B$11,Paramètres!$A$1:$I$89,3,0)*0.475*44/12</f>
        <v>3.5503698008404313E-5</v>
      </c>
      <c r="BS172" s="22">
        <f t="shared" si="169"/>
        <v>80.825651080465747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-3.979039320256561E-13</v>
      </c>
      <c r="BZ172" s="13">
        <f>BY172*VLOOKUP('Données projet'!$B$12,Paramètres!$A$1:$I$89,3,0)*VLOOKUP('Données projet'!$B$12,Paramètres!$A$1:$I$89,5,0)</f>
        <v>-2.379465513513424E-13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213.18424462765137</v>
      </c>
      <c r="CE172" s="59">
        <f t="shared" si="148"/>
        <v>158.77848520346532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24.410048915569394</v>
      </c>
      <c r="CL172" s="21">
        <f>EXP(-LN(2)/25)*CL171+(1-EXP(-LN(2)/25))/(LN(2)/25)*Calculateur!CG172*Calculateur!CI172*VLOOKUP('Données projet'!$B$12,Paramètres!$A$1:$I$89,3,0)*0.475*44/12</f>
        <v>2.9009586992704266</v>
      </c>
      <c r="CM172" s="21">
        <f>EXP(-LN(2)/2)*CM171+(1-EXP(-LN(2)/2))/(LN(2)/2)*CG172*CJ172*VLOOKUP('Données projet'!$B$12,Paramètres!$A$1:$I$89,3,0)*0.475*44/12</f>
        <v>1.4534855075039783E-12</v>
      </c>
      <c r="CN172" s="22">
        <f t="shared" si="172"/>
        <v>27.311007614841273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319</v>
      </c>
      <c r="CU172" s="17">
        <f>CT172*VLOOKUP('Données projet'!$B$13,Paramètres!$A$1:$I$89,3,0)*VLOOKUP('Données projet'!$B$13,Paramètres!$A$1:$I$89,5,0)</f>
        <v>253.79640000000001</v>
      </c>
      <c r="CV172" s="13">
        <f t="shared" si="173"/>
        <v>61.39816832228076</v>
      </c>
      <c r="CW172" s="20">
        <f t="shared" si="174"/>
        <v>548.96387316130563</v>
      </c>
      <c r="CX172" s="59">
        <f t="shared" si="122"/>
        <v>842.29720649463889</v>
      </c>
      <c r="CY172" s="59">
        <f ca="1">AVERAGE(OFFSET($CX$3,0,0,'Données projet'!$E$13+1,1))-AVERAGE(OFFSET($H$3,0,0,'Données projet'!$E$13+1,1))</f>
        <v>279.49721661620544</v>
      </c>
      <c r="CZ172" s="59">
        <f t="shared" si="150"/>
        <v>275.18739333988754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7.684159906322102</v>
      </c>
      <c r="DG172" s="21">
        <f>EXP(-LN(2)/25)*DG171+(1-EXP(-LN(2)/25))/(LN(2)/25)*Calculateur!DB172*Calculateur!DD172*VLOOKUP('Données projet'!$B$13,Paramètres!$A$1:$I$89,3,0)*0.475*44/12</f>
        <v>0.63975807059224066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8.323917976914343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-6.3550942286383367E-14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278.5296012747549</v>
      </c>
      <c r="T173" s="59">
        <f t="shared" si="142"/>
        <v>370.55343097937077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23.241852252926588</v>
      </c>
      <c r="AA173" s="21">
        <f>EXP(-LN(2)/25)*AA172+(1-EXP(-LN(2)/25))/(LN(2)/25)*Calculateur!V173*Calculateur!X173*VLOOKUP('Données projet'!$B$9,Paramètres!$A$1:$I$89,3,0)*0.475*44/12</f>
        <v>2.3754309372987241</v>
      </c>
      <c r="AB173" s="21">
        <f>EXP(-LN(2)/2)*AB172+(1-EXP(-LN(2)/2))/(LN(2)/2)*V173*Y173*VLOOKUP('Données projet'!$B$9,Paramètres!$A$1:$I$89,3,0)*0.475*44/12</f>
        <v>1.6761376811144013E-16</v>
      </c>
      <c r="AC173" s="22">
        <f t="shared" si="163"/>
        <v>25.617283190225312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-6.2527760746888816E-13</v>
      </c>
      <c r="AJ173" s="13">
        <f>AI173*VLOOKUP('Données projet'!$B$10,Paramètres!$A$1:$I$89,3,0)*VLOOKUP('Données projet'!$B$10,Paramètres!$A$1:$I$89,5,0)</f>
        <v>-3.0075852919253523E-13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255.05550867459038</v>
      </c>
      <c r="AO173" s="59">
        <f t="shared" si="144"/>
        <v>119.28597757550295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102.91501270558226</v>
      </c>
      <c r="AV173" s="21">
        <f>EXP(-LN(2)/25)*AV172+(1-EXP(-LN(2)/25))/(LN(2)/25)*Calculateur!AQ173*Calculateur!AS173*VLOOKUP('Données projet'!$B$10,Paramètres!$A$1:$I$89,3,0)*0.475*44/12</f>
        <v>17.712459461554324</v>
      </c>
      <c r="AW173" s="21">
        <f>EXP(-LN(2)/2)*AW172+(1-EXP(-LN(2)/2))/(LN(2)/2)*AQ173*AT173*VLOOKUP('Données projet'!$B$10,Paramètres!$A$1:$I$89,3,0)*0.475*44/12</f>
        <v>1.3765431306776688E-4</v>
      </c>
      <c r="AX173" s="21">
        <f t="shared" si="166"/>
        <v>120.62760982144964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1.1368683772161603E-12</v>
      </c>
      <c r="BE173" s="13">
        <f>BD173*VLOOKUP('Données projet'!$B$11,Paramètres!$A$1:$I$89,3,0)*VLOOKUP('Données projet'!$B$11,Paramètres!$A$1:$I$89,5,0)</f>
        <v>5.3205440053716299E-13</v>
      </c>
      <c r="BF173" s="13">
        <f t="shared" si="167"/>
        <v>6.579711042921201E-12</v>
      </c>
      <c r="BG173" s="20">
        <f t="shared" si="168"/>
        <v>1.2386324814023317E-11</v>
      </c>
      <c r="BH173" s="59">
        <f t="shared" si="116"/>
        <v>293.33333333334571</v>
      </c>
      <c r="BI173" s="59">
        <f ca="1">AVERAGE(OFFSET($BH$3,0,0,'Données projet'!$E$11+1,1))-AVERAGE(OFFSET($H$3,0,0,'Données projet'!$E$11+1,1))</f>
        <v>181.79645720099597</v>
      </c>
      <c r="BJ173" s="59">
        <f t="shared" si="146"/>
        <v>120.20040029102233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67.339596815795431</v>
      </c>
      <c r="BQ173" s="21">
        <f>EXP(-LN(2)/25)*BQ172+(1-EXP(-LN(2)/25))/(LN(2)/25)*Calculateur!BL173*Calculateur!BN173*VLOOKUP('Données projet'!$B$11,Paramètres!$A$1:$I$89,3,0)*0.475*44/12</f>
        <v>11.807173614583258</v>
      </c>
      <c r="BR173" s="21">
        <f>EXP(-LN(2)/2)*BR172+(1-EXP(-LN(2)/2))/(LN(2)/2)*BL173*BO173*VLOOKUP('Données projet'!$B$11,Paramètres!$A$1:$I$89,3,0)*0.475*44/12</f>
        <v>2.5104905618942012E-5</v>
      </c>
      <c r="BS173" s="22">
        <f t="shared" si="169"/>
        <v>79.146795535284312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-3.979039320256561E-13</v>
      </c>
      <c r="BZ173" s="13">
        <f>BY173*VLOOKUP('Données projet'!$B$12,Paramètres!$A$1:$I$89,3,0)*VLOOKUP('Données projet'!$B$12,Paramètres!$A$1:$I$89,5,0)</f>
        <v>-2.379465513513424E-13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213.18424462765137</v>
      </c>
      <c r="CE173" s="59">
        <f t="shared" si="148"/>
        <v>158.77848520346532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23.931382744994785</v>
      </c>
      <c r="CL173" s="21">
        <f>EXP(-LN(2)/25)*CL172+(1-EXP(-LN(2)/25))/(LN(2)/25)*Calculateur!CG173*Calculateur!CI173*VLOOKUP('Données projet'!$B$12,Paramètres!$A$1:$I$89,3,0)*0.475*44/12</f>
        <v>2.8216318310840891</v>
      </c>
      <c r="CM173" s="21">
        <f>EXP(-LN(2)/2)*CM172+(1-EXP(-LN(2)/2))/(LN(2)/2)*CG173*CJ173*VLOOKUP('Données projet'!$B$12,Paramètres!$A$1:$I$89,3,0)*0.475*44/12</f>
        <v>1.0277694587124335E-12</v>
      </c>
      <c r="CN173" s="22">
        <f t="shared" si="172"/>
        <v>26.753014576079902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319</v>
      </c>
      <c r="CU173" s="17">
        <f>CT173*VLOOKUP('Données projet'!$B$13,Paramètres!$A$1:$I$89,3,0)*VLOOKUP('Données projet'!$B$13,Paramètres!$A$1:$I$89,5,0)</f>
        <v>253.79640000000001</v>
      </c>
      <c r="CV173" s="13">
        <f t="shared" si="173"/>
        <v>61.39816832228076</v>
      </c>
      <c r="CW173" s="20">
        <f t="shared" si="174"/>
        <v>548.96387316130563</v>
      </c>
      <c r="CX173" s="59">
        <f t="shared" si="122"/>
        <v>842.29720649463889</v>
      </c>
      <c r="CY173" s="59">
        <f ca="1">AVERAGE(OFFSET($CX$3,0,0,'Données projet'!$E$13+1,1))-AVERAGE(OFFSET($H$3,0,0,'Données projet'!$E$13+1,1))</f>
        <v>279.49721661620544</v>
      </c>
      <c r="CZ173" s="59">
        <f t="shared" si="150"/>
        <v>275.18739333988754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7.5334782174338777</v>
      </c>
      <c r="DG173" s="21">
        <f>EXP(-LN(2)/25)*DG172+(1-EXP(-LN(2)/25))/(LN(2)/25)*Calculateur!DB173*Calculateur!DD173*VLOOKUP('Données projet'!$B$13,Paramètres!$A$1:$I$89,3,0)*0.475*44/12</f>
        <v>0.62226385250848104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8.1557420699423595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-6.3550942286383367E-14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278.5296012747549</v>
      </c>
      <c r="T174" s="59">
        <f t="shared" si="142"/>
        <v>370.55343097937077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22.786093706376796</v>
      </c>
      <c r="AA174" s="21">
        <f>EXP(-LN(2)/25)*AA173+(1-EXP(-LN(2)/25))/(LN(2)/25)*Calculateur!V174*Calculateur!X174*VLOOKUP('Données projet'!$B$9,Paramètres!$A$1:$I$89,3,0)*0.475*44/12</f>
        <v>2.3104746533998068</v>
      </c>
      <c r="AB174" s="21">
        <f>EXP(-LN(2)/2)*AB173+(1-EXP(-LN(2)/2))/(LN(2)/2)*V174*Y174*VLOOKUP('Données projet'!$B$9,Paramètres!$A$1:$I$89,3,0)*0.475*44/12</f>
        <v>1.1852083205182882E-16</v>
      </c>
      <c r="AC174" s="22">
        <f t="shared" si="163"/>
        <v>25.096568359776604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-6.2527760746888816E-13</v>
      </c>
      <c r="AJ174" s="13">
        <f>AI174*VLOOKUP('Données projet'!$B$10,Paramètres!$A$1:$I$89,3,0)*VLOOKUP('Données projet'!$B$10,Paramètres!$A$1:$I$89,5,0)</f>
        <v>-3.0075852919253523E-13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255.05550867459038</v>
      </c>
      <c r="AO174" s="59">
        <f t="shared" si="144"/>
        <v>119.28597757550295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100.89691207838533</v>
      </c>
      <c r="AV174" s="21">
        <f>EXP(-LN(2)/25)*AV173+(1-EXP(-LN(2)/25))/(LN(2)/25)*Calculateur!AQ174*Calculateur!AS174*VLOOKUP('Données projet'!$B$10,Paramètres!$A$1:$I$89,3,0)*0.475*44/12</f>
        <v>17.228111326120359</v>
      </c>
      <c r="AW174" s="21">
        <f>EXP(-LN(2)/2)*AW173+(1-EXP(-LN(2)/2))/(LN(2)/2)*AQ174*AT174*VLOOKUP('Données projet'!$B$10,Paramètres!$A$1:$I$89,3,0)*0.475*44/12</f>
        <v>9.7336298229793946E-5</v>
      </c>
      <c r="AX174" s="21">
        <f t="shared" si="166"/>
        <v>118.12512074080391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1.1368683772161603E-12</v>
      </c>
      <c r="BE174" s="13">
        <f>BD174*VLOOKUP('Données projet'!$B$11,Paramètres!$A$1:$I$89,3,0)*VLOOKUP('Données projet'!$B$11,Paramètres!$A$1:$I$89,5,0)</f>
        <v>5.3205440053716299E-13</v>
      </c>
      <c r="BF174" s="13">
        <f t="shared" si="167"/>
        <v>6.579711042921201E-12</v>
      </c>
      <c r="BG174" s="20">
        <f t="shared" si="168"/>
        <v>1.2386324814023317E-11</v>
      </c>
      <c r="BH174" s="59">
        <f t="shared" si="116"/>
        <v>293.33333333334571</v>
      </c>
      <c r="BI174" s="59">
        <f ca="1">AVERAGE(OFFSET($BH$3,0,0,'Données projet'!$E$11+1,1))-AVERAGE(OFFSET($H$3,0,0,'Données projet'!$E$11+1,1))</f>
        <v>181.79645720099597</v>
      </c>
      <c r="BJ174" s="59">
        <f t="shared" si="146"/>
        <v>120.20040029102233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66.019108395336104</v>
      </c>
      <c r="BQ174" s="21">
        <f>EXP(-LN(2)/25)*BQ173+(1-EXP(-LN(2)/25))/(LN(2)/25)*Calculateur!BL174*Calculateur!BN174*VLOOKUP('Données projet'!$B$11,Paramètres!$A$1:$I$89,3,0)*0.475*44/12</f>
        <v>11.484305831180205</v>
      </c>
      <c r="BR174" s="21">
        <f>EXP(-LN(2)/2)*BR173+(1-EXP(-LN(2)/2))/(LN(2)/2)*BL174*BO174*VLOOKUP('Données projet'!$B$11,Paramètres!$A$1:$I$89,3,0)*0.475*44/12</f>
        <v>1.7751849004202157E-5</v>
      </c>
      <c r="BS174" s="22">
        <f t="shared" si="169"/>
        <v>77.503431978365313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-3.979039320256561E-13</v>
      </c>
      <c r="BZ174" s="13">
        <f>BY174*VLOOKUP('Données projet'!$B$12,Paramètres!$A$1:$I$89,3,0)*VLOOKUP('Données projet'!$B$12,Paramètres!$A$1:$I$89,5,0)</f>
        <v>-2.379465513513424E-13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213.18424462765137</v>
      </c>
      <c r="CE174" s="59">
        <f t="shared" si="148"/>
        <v>158.77848520346532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23.462102926067608</v>
      </c>
      <c r="CL174" s="21">
        <f>EXP(-LN(2)/25)*CL173+(1-EXP(-LN(2)/25))/(LN(2)/25)*Calculateur!CG174*Calculateur!CI174*VLOOKUP('Données projet'!$B$12,Paramètres!$A$1:$I$89,3,0)*0.475*44/12</f>
        <v>2.7444741602799256</v>
      </c>
      <c r="CM174" s="21">
        <f>EXP(-LN(2)/2)*CM173+(1-EXP(-LN(2)/2))/(LN(2)/2)*CG174*CJ174*VLOOKUP('Données projet'!$B$12,Paramètres!$A$1:$I$89,3,0)*0.475*44/12</f>
        <v>7.2674275375198914E-13</v>
      </c>
      <c r="CN174" s="22">
        <f t="shared" si="172"/>
        <v>26.206577086348261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319</v>
      </c>
      <c r="CU174" s="17">
        <f>CT174*VLOOKUP('Données projet'!$B$13,Paramètres!$A$1:$I$89,3,0)*VLOOKUP('Données projet'!$B$13,Paramètres!$A$1:$I$89,5,0)</f>
        <v>253.79640000000001</v>
      </c>
      <c r="CV174" s="13">
        <f t="shared" si="173"/>
        <v>61.39816832228076</v>
      </c>
      <c r="CW174" s="20">
        <f t="shared" si="174"/>
        <v>548.96387316130563</v>
      </c>
      <c r="CX174" s="59">
        <f t="shared" si="122"/>
        <v>842.29720649463889</v>
      </c>
      <c r="CY174" s="59">
        <f ca="1">AVERAGE(OFFSET($CX$3,0,0,'Données projet'!$E$13+1,1))-AVERAGE(OFFSET($H$3,0,0,'Données projet'!$E$13+1,1))</f>
        <v>279.49721661620544</v>
      </c>
      <c r="CZ174" s="59">
        <f t="shared" si="150"/>
        <v>275.18739333988754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7.3857513045579966</v>
      </c>
      <c r="DG174" s="21">
        <f>EXP(-LN(2)/25)*DG173+(1-EXP(-LN(2)/25))/(LN(2)/25)*Calculateur!DB174*Calculateur!DD174*VLOOKUP('Données projet'!$B$13,Paramètres!$A$1:$I$89,3,0)*0.475*44/12</f>
        <v>0.60524801473820278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7.9909993192961997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-6.3550942286383367E-14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278.5296012747549</v>
      </c>
      <c r="T175" s="59">
        <f t="shared" si="142"/>
        <v>370.55343097937077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22.339272306939581</v>
      </c>
      <c r="AA175" s="21">
        <f>EXP(-LN(2)/25)*AA174+(1-EXP(-LN(2)/25))/(LN(2)/25)*Calculateur!V175*Calculateur!X175*VLOOKUP('Données projet'!$B$9,Paramètres!$A$1:$I$89,3,0)*0.475*44/12</f>
        <v>2.2472946025000078</v>
      </c>
      <c r="AB175" s="21">
        <f>EXP(-LN(2)/2)*AB174+(1-EXP(-LN(2)/2))/(LN(2)/2)*V175*Y175*VLOOKUP('Données projet'!$B$9,Paramètres!$A$1:$I$89,3,0)*0.475*44/12</f>
        <v>8.3806884055720067E-17</v>
      </c>
      <c r="AC175" s="22">
        <f t="shared" si="163"/>
        <v>24.58656690943959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-6.2527760746888816E-13</v>
      </c>
      <c r="AJ175" s="13">
        <f>AI175*VLOOKUP('Données projet'!$B$10,Paramètres!$A$1:$I$89,3,0)*VLOOKUP('Données projet'!$B$10,Paramètres!$A$1:$I$89,5,0)</f>
        <v>-3.0075852919253523E-13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255.05550867459038</v>
      </c>
      <c r="AO175" s="59">
        <f t="shared" si="144"/>
        <v>119.28597757550295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98.918385173567884</v>
      </c>
      <c r="AV175" s="21">
        <f>EXP(-LN(2)/25)*AV174+(1-EXP(-LN(2)/25))/(LN(2)/25)*Calculateur!AQ175*Calculateur!AS175*VLOOKUP('Données projet'!$B$10,Paramètres!$A$1:$I$89,3,0)*0.475*44/12</f>
        <v>16.757007715920597</v>
      </c>
      <c r="AW175" s="21">
        <f>EXP(-LN(2)/2)*AW174+(1-EXP(-LN(2)/2))/(LN(2)/2)*AQ175*AT175*VLOOKUP('Données projet'!$B$10,Paramètres!$A$1:$I$89,3,0)*0.475*44/12</f>
        <v>6.8827156533883441E-5</v>
      </c>
      <c r="AX175" s="21">
        <f t="shared" si="166"/>
        <v>115.67546171664502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1.1368683772161603E-12</v>
      </c>
      <c r="BE175" s="13">
        <f>BD175*VLOOKUP('Données projet'!$B$11,Paramètres!$A$1:$I$89,3,0)*VLOOKUP('Données projet'!$B$11,Paramètres!$A$1:$I$89,5,0)</f>
        <v>5.3205440053716299E-13</v>
      </c>
      <c r="BF175" s="13">
        <f t="shared" si="167"/>
        <v>6.579711042921201E-12</v>
      </c>
      <c r="BG175" s="20">
        <f t="shared" si="168"/>
        <v>1.2386324814023317E-11</v>
      </c>
      <c r="BH175" s="59">
        <f t="shared" si="116"/>
        <v>293.33333333334571</v>
      </c>
      <c r="BI175" s="59">
        <f ca="1">AVERAGE(OFFSET($BH$3,0,0,'Données projet'!$E$11+1,1))-AVERAGE(OFFSET($H$3,0,0,'Données projet'!$E$11+1,1))</f>
        <v>181.79645720099597</v>
      </c>
      <c r="BJ175" s="59">
        <f t="shared" si="146"/>
        <v>120.20040029102233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64.724513947383585</v>
      </c>
      <c r="BQ175" s="21">
        <f>EXP(-LN(2)/25)*BQ174+(1-EXP(-LN(2)/25))/(LN(2)/25)*Calculateur!BL175*Calculateur!BN175*VLOOKUP('Données projet'!$B$11,Paramètres!$A$1:$I$89,3,0)*0.475*44/12</f>
        <v>11.170266884293186</v>
      </c>
      <c r="BR175" s="21">
        <f>EXP(-LN(2)/2)*BR174+(1-EXP(-LN(2)/2))/(LN(2)/2)*BL175*BO175*VLOOKUP('Données projet'!$B$11,Paramètres!$A$1:$I$89,3,0)*0.475*44/12</f>
        <v>1.2552452809471006E-5</v>
      </c>
      <c r="BS175" s="22">
        <f t="shared" si="169"/>
        <v>75.894793384129585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-3.979039320256561E-13</v>
      </c>
      <c r="BZ175" s="13">
        <f>BY175*VLOOKUP('Données projet'!$B$12,Paramètres!$A$1:$I$89,3,0)*VLOOKUP('Données projet'!$B$12,Paramètres!$A$1:$I$89,5,0)</f>
        <v>-2.379465513513424E-13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213.18424462765137</v>
      </c>
      <c r="CE175" s="59">
        <f t="shared" si="148"/>
        <v>158.77848520346532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23.002025398157166</v>
      </c>
      <c r="CL175" s="21">
        <f>EXP(-LN(2)/25)*CL174+(1-EXP(-LN(2)/25))/(LN(2)/25)*Calculateur!CG175*Calculateur!CI175*VLOOKUP('Données projet'!$B$12,Paramètres!$A$1:$I$89,3,0)*0.475*44/12</f>
        <v>2.6694263700414473</v>
      </c>
      <c r="CM175" s="21">
        <f>EXP(-LN(2)/2)*CM174+(1-EXP(-LN(2)/2))/(LN(2)/2)*CG175*CJ175*VLOOKUP('Données projet'!$B$12,Paramètres!$A$1:$I$89,3,0)*0.475*44/12</f>
        <v>5.1388472935621677E-13</v>
      </c>
      <c r="CN175" s="22">
        <f t="shared" si="172"/>
        <v>25.671451768199127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319</v>
      </c>
      <c r="CU175" s="17">
        <f>CT175*VLOOKUP('Données projet'!$B$13,Paramètres!$A$1:$I$89,3,0)*VLOOKUP('Données projet'!$B$13,Paramètres!$A$1:$I$89,5,0)</f>
        <v>253.79640000000001</v>
      </c>
      <c r="CV175" s="13">
        <f t="shared" si="173"/>
        <v>61.39816832228076</v>
      </c>
      <c r="CW175" s="20">
        <f t="shared" si="174"/>
        <v>548.96387316130563</v>
      </c>
      <c r="CX175" s="59">
        <f t="shared" si="122"/>
        <v>842.29720649463889</v>
      </c>
      <c r="CY175" s="59">
        <f ca="1">AVERAGE(OFFSET($CX$3,0,0,'Données projet'!$E$13+1,1))-AVERAGE(OFFSET($H$3,0,0,'Données projet'!$E$13+1,1))</f>
        <v>279.49721661620544</v>
      </c>
      <c r="CZ175" s="59">
        <f t="shared" si="150"/>
        <v>275.18739333988754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7.2409212263390916</v>
      </c>
      <c r="DG175" s="21">
        <f>EXP(-LN(2)/25)*DG174+(1-EXP(-LN(2)/25))/(LN(2)/25)*Calculateur!DB175*Calculateur!DD175*VLOOKUP('Données projet'!$B$13,Paramètres!$A$1:$I$89,3,0)*0.475*44/12</f>
        <v>0.58869747594657684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7.8296187022856687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-6.3550942286383367E-14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278.5296012747549</v>
      </c>
      <c r="T176" s="59">
        <f t="shared" si="142"/>
        <v>370.55343097937077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21.901212802611184</v>
      </c>
      <c r="AA176" s="21">
        <f>EXP(-LN(2)/25)*AA175+(1-EXP(-LN(2)/25))/(LN(2)/25)*Calculateur!V176*Calculateur!X176*VLOOKUP('Données projet'!$B$9,Paramètres!$A$1:$I$89,3,0)*0.475*44/12</f>
        <v>2.1858422134145581</v>
      </c>
      <c r="AB176" s="21">
        <f>EXP(-LN(2)/2)*AB175+(1-EXP(-LN(2)/2))/(LN(2)/2)*V176*Y176*VLOOKUP('Données projet'!$B$9,Paramètres!$A$1:$I$89,3,0)*0.475*44/12</f>
        <v>5.9260416025914408E-17</v>
      </c>
      <c r="AC176" s="22">
        <f t="shared" si="163"/>
        <v>24.087055016025744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-6.2527760746888816E-13</v>
      </c>
      <c r="AJ176" s="13">
        <f>AI176*VLOOKUP('Données projet'!$B$10,Paramètres!$A$1:$I$89,3,0)*VLOOKUP('Données projet'!$B$10,Paramètres!$A$1:$I$89,5,0)</f>
        <v>-3.0075852919253523E-13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255.05550867459038</v>
      </c>
      <c r="AO176" s="59">
        <f t="shared" si="144"/>
        <v>119.28597757550295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96.978655974571666</v>
      </c>
      <c r="AV176" s="21">
        <f>EXP(-LN(2)/25)*AV175+(1-EXP(-LN(2)/25))/(LN(2)/25)*Calculateur!AQ176*Calculateur!AS176*VLOOKUP('Données projet'!$B$10,Paramètres!$A$1:$I$89,3,0)*0.475*44/12</f>
        <v>16.298786458716013</v>
      </c>
      <c r="AW176" s="21">
        <f>EXP(-LN(2)/2)*AW175+(1-EXP(-LN(2)/2))/(LN(2)/2)*AQ176*AT176*VLOOKUP('Données projet'!$B$10,Paramètres!$A$1:$I$89,3,0)*0.475*44/12</f>
        <v>4.8668149114896973E-5</v>
      </c>
      <c r="AX176" s="21">
        <f t="shared" si="166"/>
        <v>113.27749110143679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1.1368683772161603E-12</v>
      </c>
      <c r="BE176" s="13">
        <f>BD176*VLOOKUP('Données projet'!$B$11,Paramètres!$A$1:$I$89,3,0)*VLOOKUP('Données projet'!$B$11,Paramètres!$A$1:$I$89,5,0)</f>
        <v>5.3205440053716299E-13</v>
      </c>
      <c r="BF176" s="13">
        <f t="shared" si="167"/>
        <v>6.579711042921201E-12</v>
      </c>
      <c r="BG176" s="20">
        <f t="shared" si="168"/>
        <v>1.2386324814023317E-11</v>
      </c>
      <c r="BH176" s="59">
        <f t="shared" si="116"/>
        <v>293.33333333334571</v>
      </c>
      <c r="BI176" s="59">
        <f ca="1">AVERAGE(OFFSET($BH$3,0,0,'Données projet'!$E$11+1,1))-AVERAGE(OFFSET($H$3,0,0,'Données projet'!$E$11+1,1))</f>
        <v>181.79645720099597</v>
      </c>
      <c r="BJ176" s="59">
        <f t="shared" si="146"/>
        <v>120.20040029102233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63.455305706930766</v>
      </c>
      <c r="BQ176" s="21">
        <f>EXP(-LN(2)/25)*BQ175+(1-EXP(-LN(2)/25))/(LN(2)/25)*Calculateur!BL176*Calculateur!BN176*VLOOKUP('Données projet'!$B$11,Paramètres!$A$1:$I$89,3,0)*0.475*44/12</f>
        <v>10.864815348923383</v>
      </c>
      <c r="BR176" s="21">
        <f>EXP(-LN(2)/2)*BR175+(1-EXP(-LN(2)/2))/(LN(2)/2)*BL176*BO176*VLOOKUP('Données projet'!$B$11,Paramètres!$A$1:$I$89,3,0)*0.475*44/12</f>
        <v>8.8759245021010783E-6</v>
      </c>
      <c r="BS176" s="22">
        <f t="shared" si="169"/>
        <v>74.320129931778652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-3.979039320256561E-13</v>
      </c>
      <c r="BZ176" s="13">
        <f>BY176*VLOOKUP('Données projet'!$B$12,Paramètres!$A$1:$I$89,3,0)*VLOOKUP('Données projet'!$B$12,Paramètres!$A$1:$I$89,5,0)</f>
        <v>-2.379465513513424E-13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213.18424462765137</v>
      </c>
      <c r="CE176" s="59">
        <f t="shared" si="148"/>
        <v>158.77848520346532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22.550969709949463</v>
      </c>
      <c r="CL176" s="21">
        <f>EXP(-LN(2)/25)*CL175+(1-EXP(-LN(2)/25))/(LN(2)/25)*Calculateur!CG176*Calculateur!CI176*VLOOKUP('Données projet'!$B$12,Paramètres!$A$1:$I$89,3,0)*0.475*44/12</f>
        <v>2.5964307655736323</v>
      </c>
      <c r="CM176" s="21">
        <f>EXP(-LN(2)/2)*CM175+(1-EXP(-LN(2)/2))/(LN(2)/2)*CG176*CJ176*VLOOKUP('Données projet'!$B$12,Paramètres!$A$1:$I$89,3,0)*0.475*44/12</f>
        <v>3.6337137687599457E-13</v>
      </c>
      <c r="CN176" s="22">
        <f t="shared" si="172"/>
        <v>25.147400475523458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319</v>
      </c>
      <c r="CU176" s="17">
        <f>CT176*VLOOKUP('Données projet'!$B$13,Paramètres!$A$1:$I$89,3,0)*VLOOKUP('Données projet'!$B$13,Paramètres!$A$1:$I$89,5,0)</f>
        <v>253.79640000000001</v>
      </c>
      <c r="CV176" s="13">
        <f t="shared" si="173"/>
        <v>61.39816832228076</v>
      </c>
      <c r="CW176" s="20">
        <f t="shared" si="174"/>
        <v>548.96387316130563</v>
      </c>
      <c r="CX176" s="59">
        <f t="shared" si="122"/>
        <v>842.29720649463889</v>
      </c>
      <c r="CY176" s="59">
        <f ca="1">AVERAGE(OFFSET($CX$3,0,0,'Données projet'!$E$13+1,1))-AVERAGE(OFFSET($H$3,0,0,'Données projet'!$E$13+1,1))</f>
        <v>279.49721661620544</v>
      </c>
      <c r="CZ176" s="59">
        <f t="shared" si="150"/>
        <v>275.18739333988754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7.0989311776164348</v>
      </c>
      <c r="DG176" s="21">
        <f>EXP(-LN(2)/25)*DG175+(1-EXP(-LN(2)/25))/(LN(2)/25)*Calculateur!DB176*Calculateur!DD176*VLOOKUP('Données projet'!$B$13,Paramètres!$A$1:$I$89,3,0)*0.475*44/12</f>
        <v>0.57259951250856289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7.6715306901249978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-6.3550942286383367E-14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278.5296012747549</v>
      </c>
      <c r="T177" s="59">
        <f t="shared" si="142"/>
        <v>370.55343097937077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21.471743377972754</v>
      </c>
      <c r="AA177" s="21">
        <f>EXP(-LN(2)/25)*AA176+(1-EXP(-LN(2)/25))/(LN(2)/25)*Calculateur!V177*Calculateur!X177*VLOOKUP('Données projet'!$B$9,Paramètres!$A$1:$I$89,3,0)*0.475*44/12</f>
        <v>2.1260702431402909</v>
      </c>
      <c r="AB177" s="21">
        <f>EXP(-LN(2)/2)*AB176+(1-EXP(-LN(2)/2))/(LN(2)/2)*V177*Y177*VLOOKUP('Données projet'!$B$9,Paramètres!$A$1:$I$89,3,0)*0.475*44/12</f>
        <v>4.1903442027860034E-17</v>
      </c>
      <c r="AC177" s="22">
        <f t="shared" si="163"/>
        <v>23.597813621113044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-6.2527760746888816E-13</v>
      </c>
      <c r="AJ177" s="13">
        <f>AI177*VLOOKUP('Données projet'!$B$10,Paramètres!$A$1:$I$89,3,0)*VLOOKUP('Données projet'!$B$10,Paramètres!$A$1:$I$89,5,0)</f>
        <v>-3.0075852919253523E-13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255.05550867459038</v>
      </c>
      <c r="AO177" s="59">
        <f t="shared" si="144"/>
        <v>119.28597757550295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95.076963682049765</v>
      </c>
      <c r="AV177" s="21">
        <f>EXP(-LN(2)/25)*AV176+(1-EXP(-LN(2)/25))/(LN(2)/25)*Calculateur!AQ177*Calculateur!AS177*VLOOKUP('Données projet'!$B$10,Paramètres!$A$1:$I$89,3,0)*0.475*44/12</f>
        <v>15.853095285886495</v>
      </c>
      <c r="AW177" s="21">
        <f>EXP(-LN(2)/2)*AW176+(1-EXP(-LN(2)/2))/(LN(2)/2)*AQ177*AT177*VLOOKUP('Données projet'!$B$10,Paramètres!$A$1:$I$89,3,0)*0.475*44/12</f>
        <v>3.441357826694172E-5</v>
      </c>
      <c r="AX177" s="21">
        <f t="shared" si="166"/>
        <v>110.93009338151452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1.1368683772161603E-12</v>
      </c>
      <c r="BE177" s="13">
        <f>BD177*VLOOKUP('Données projet'!$B$11,Paramètres!$A$1:$I$89,3,0)*VLOOKUP('Données projet'!$B$11,Paramètres!$A$1:$I$89,5,0)</f>
        <v>5.3205440053716299E-13</v>
      </c>
      <c r="BF177" s="13">
        <f t="shared" si="167"/>
        <v>6.579711042921201E-12</v>
      </c>
      <c r="BG177" s="20">
        <f t="shared" si="168"/>
        <v>1.2386324814023317E-11</v>
      </c>
      <c r="BH177" s="59">
        <f t="shared" si="116"/>
        <v>293.33333333334571</v>
      </c>
      <c r="BI177" s="59">
        <f ca="1">AVERAGE(OFFSET($BH$3,0,0,'Données projet'!$E$11+1,1))-AVERAGE(OFFSET($H$3,0,0,'Données projet'!$E$11+1,1))</f>
        <v>181.79645720099597</v>
      </c>
      <c r="BJ177" s="59">
        <f t="shared" si="146"/>
        <v>120.20040029102233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62.210985865932642</v>
      </c>
      <c r="BQ177" s="21">
        <f>EXP(-LN(2)/25)*BQ176+(1-EXP(-LN(2)/25))/(LN(2)/25)*Calculateur!BL177*Calculateur!BN177*VLOOKUP('Données projet'!$B$11,Paramètres!$A$1:$I$89,3,0)*0.475*44/12</f>
        <v>10.567716401851266</v>
      </c>
      <c r="BR177" s="21">
        <f>EXP(-LN(2)/2)*BR176+(1-EXP(-LN(2)/2))/(LN(2)/2)*BL177*BO177*VLOOKUP('Données projet'!$B$11,Paramètres!$A$1:$I$89,3,0)*0.475*44/12</f>
        <v>6.2762264047355031E-6</v>
      </c>
      <c r="BS177" s="22">
        <f t="shared" si="169"/>
        <v>72.778708544010314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-3.979039320256561E-13</v>
      </c>
      <c r="BZ177" s="13">
        <f>BY177*VLOOKUP('Données projet'!$B$12,Paramètres!$A$1:$I$89,3,0)*VLOOKUP('Données projet'!$B$12,Paramètres!$A$1:$I$89,5,0)</f>
        <v>-2.379465513513424E-13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213.18424462765137</v>
      </c>
      <c r="CE177" s="59">
        <f t="shared" si="148"/>
        <v>158.77848520346532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22.108758948670712</v>
      </c>
      <c r="CL177" s="21">
        <f>EXP(-LN(2)/25)*CL176+(1-EXP(-LN(2)/25))/(LN(2)/25)*Calculateur!CG177*Calculateur!CI177*VLOOKUP('Données projet'!$B$12,Paramètres!$A$1:$I$89,3,0)*0.475*44/12</f>
        <v>2.5254312297486616</v>
      </c>
      <c r="CM177" s="21">
        <f>EXP(-LN(2)/2)*CM176+(1-EXP(-LN(2)/2))/(LN(2)/2)*CG177*CJ177*VLOOKUP('Données projet'!$B$12,Paramètres!$A$1:$I$89,3,0)*0.475*44/12</f>
        <v>2.5694236467810839E-13</v>
      </c>
      <c r="CN177" s="22">
        <f t="shared" si="172"/>
        <v>24.63419017841963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319</v>
      </c>
      <c r="CU177" s="17">
        <f>CT177*VLOOKUP('Données projet'!$B$13,Paramètres!$A$1:$I$89,3,0)*VLOOKUP('Données projet'!$B$13,Paramètres!$A$1:$I$89,5,0)</f>
        <v>253.79640000000001</v>
      </c>
      <c r="CV177" s="13">
        <f t="shared" si="173"/>
        <v>61.39816832228076</v>
      </c>
      <c r="CW177" s="20">
        <f t="shared" si="174"/>
        <v>548.96387316130563</v>
      </c>
      <c r="CX177" s="59">
        <f t="shared" si="122"/>
        <v>842.29720649463889</v>
      </c>
      <c r="CY177" s="59">
        <f ca="1">AVERAGE(OFFSET($CX$3,0,0,'Données projet'!$E$13+1,1))-AVERAGE(OFFSET($H$3,0,0,'Données projet'!$E$13+1,1))</f>
        <v>279.49721661620544</v>
      </c>
      <c r="CZ177" s="59">
        <f t="shared" si="150"/>
        <v>275.18739333988754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6.9597254671438504</v>
      </c>
      <c r="DG177" s="21">
        <f>EXP(-LN(2)/25)*DG176+(1-EXP(-LN(2)/25))/(LN(2)/25)*Calculateur!DB177*Calculateur!DD177*VLOOKUP('Données projet'!$B$13,Paramètres!$A$1:$I$89,3,0)*0.475*44/12</f>
        <v>0.55694174872731661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7.5166672158711672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-6.3550942286383367E-14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278.5296012747549</v>
      </c>
      <c r="T178" s="59">
        <f t="shared" si="142"/>
        <v>370.55343097937077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21.050695586800998</v>
      </c>
      <c r="AA178" s="21">
        <f>EXP(-LN(2)/25)*AA177+(1-EXP(-LN(2)/25))/(LN(2)/25)*Calculateur!V178*Calculateur!X178*VLOOKUP('Données projet'!$B$9,Paramètres!$A$1:$I$89,3,0)*0.475*44/12</f>
        <v>2.0679327405364449</v>
      </c>
      <c r="AB178" s="21">
        <f>EXP(-LN(2)/2)*AB177+(1-EXP(-LN(2)/2))/(LN(2)/2)*V178*Y178*VLOOKUP('Données projet'!$B$9,Paramètres!$A$1:$I$89,3,0)*0.475*44/12</f>
        <v>2.9630208012957204E-17</v>
      </c>
      <c r="AC178" s="22">
        <f t="shared" si="163"/>
        <v>23.118628327337444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-6.2527760746888816E-13</v>
      </c>
      <c r="AJ178" s="13">
        <f>AI178*VLOOKUP('Données projet'!$B$10,Paramètres!$A$1:$I$89,3,0)*VLOOKUP('Données projet'!$B$10,Paramètres!$A$1:$I$89,5,0)</f>
        <v>-3.0075852919253523E-13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255.05550867459038</v>
      </c>
      <c r="AO178" s="59">
        <f t="shared" si="144"/>
        <v>119.28597757550295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93.212562415466465</v>
      </c>
      <c r="AV178" s="21">
        <f>EXP(-LN(2)/25)*AV177+(1-EXP(-LN(2)/25))/(LN(2)/25)*Calculateur!AQ178*Calculateur!AS178*VLOOKUP('Données projet'!$B$10,Paramètres!$A$1:$I$89,3,0)*0.475*44/12</f>
        <v>15.41959156161588</v>
      </c>
      <c r="AW178" s="21">
        <f>EXP(-LN(2)/2)*AW177+(1-EXP(-LN(2)/2))/(LN(2)/2)*AQ178*AT178*VLOOKUP('Données projet'!$B$10,Paramètres!$A$1:$I$89,3,0)*0.475*44/12</f>
        <v>2.4334074557448487E-5</v>
      </c>
      <c r="AX178" s="21">
        <f t="shared" si="166"/>
        <v>108.63217831115689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1.1368683772161603E-12</v>
      </c>
      <c r="BE178" s="13">
        <f>BD178*VLOOKUP('Données projet'!$B$11,Paramètres!$A$1:$I$89,3,0)*VLOOKUP('Données projet'!$B$11,Paramètres!$A$1:$I$89,5,0)</f>
        <v>5.3205440053716299E-13</v>
      </c>
      <c r="BF178" s="13">
        <f t="shared" si="167"/>
        <v>6.579711042921201E-12</v>
      </c>
      <c r="BG178" s="20">
        <f t="shared" si="168"/>
        <v>1.2386324814023317E-11</v>
      </c>
      <c r="BH178" s="59">
        <f t="shared" si="116"/>
        <v>293.33333333334571</v>
      </c>
      <c r="BI178" s="59">
        <f ca="1">AVERAGE(OFFSET($BH$3,0,0,'Données projet'!$E$11+1,1))-AVERAGE(OFFSET($H$3,0,0,'Données projet'!$E$11+1,1))</f>
        <v>181.79645720099597</v>
      </c>
      <c r="BJ178" s="59">
        <f t="shared" si="146"/>
        <v>120.20040029102233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60.991066378056331</v>
      </c>
      <c r="BQ178" s="21">
        <f>EXP(-LN(2)/25)*BQ177+(1-EXP(-LN(2)/25))/(LN(2)/25)*Calculateur!BL178*Calculateur!BN178*VLOOKUP('Données projet'!$B$11,Paramètres!$A$1:$I$89,3,0)*0.475*44/12</f>
        <v>10.278741641110591</v>
      </c>
      <c r="BR178" s="21">
        <f>EXP(-LN(2)/2)*BR177+(1-EXP(-LN(2)/2))/(LN(2)/2)*BL178*BO178*VLOOKUP('Données projet'!$B$11,Paramètres!$A$1:$I$89,3,0)*0.475*44/12</f>
        <v>4.4379622510505391E-6</v>
      </c>
      <c r="BS178" s="22">
        <f t="shared" si="169"/>
        <v>71.269812457129163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-3.979039320256561E-13</v>
      </c>
      <c r="BZ178" s="13">
        <f>BY178*VLOOKUP('Données projet'!$B$12,Paramètres!$A$1:$I$89,3,0)*VLOOKUP('Données projet'!$B$12,Paramètres!$A$1:$I$89,5,0)</f>
        <v>-2.379465513513424E-13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213.18424462765137</v>
      </c>
      <c r="CE178" s="59">
        <f t="shared" si="148"/>
        <v>158.77848520346532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21.675219670698702</v>
      </c>
      <c r="CL178" s="21">
        <f>EXP(-LN(2)/25)*CL177+(1-EXP(-LN(2)/25))/(LN(2)/25)*Calculateur!CG178*Calculateur!CI178*VLOOKUP('Données projet'!$B$12,Paramètres!$A$1:$I$89,3,0)*0.475*44/12</f>
        <v>2.4563731799645279</v>
      </c>
      <c r="CM178" s="21">
        <f>EXP(-LN(2)/2)*CM177+(1-EXP(-LN(2)/2))/(LN(2)/2)*CG178*CJ178*VLOOKUP('Données projet'!$B$12,Paramètres!$A$1:$I$89,3,0)*0.475*44/12</f>
        <v>1.8168568843799728E-13</v>
      </c>
      <c r="CN178" s="22">
        <f t="shared" si="172"/>
        <v>24.131592850663413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319</v>
      </c>
      <c r="CU178" s="17">
        <f>CT178*VLOOKUP('Données projet'!$B$13,Paramètres!$A$1:$I$89,3,0)*VLOOKUP('Données projet'!$B$13,Paramètres!$A$1:$I$89,5,0)</f>
        <v>253.79640000000001</v>
      </c>
      <c r="CV178" s="13">
        <f t="shared" si="173"/>
        <v>61.39816832228076</v>
      </c>
      <c r="CW178" s="20">
        <f t="shared" si="174"/>
        <v>548.96387316130563</v>
      </c>
      <c r="CX178" s="59">
        <f t="shared" si="122"/>
        <v>842.29720649463889</v>
      </c>
      <c r="CY178" s="59">
        <f ca="1">AVERAGE(OFFSET($CX$3,0,0,'Données projet'!$E$13+1,1))-AVERAGE(OFFSET($H$3,0,0,'Données projet'!$E$13+1,1))</f>
        <v>279.49721661620544</v>
      </c>
      <c r="CZ178" s="59">
        <f t="shared" si="150"/>
        <v>275.18739333988754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6.8232494957465342</v>
      </c>
      <c r="DG178" s="21">
        <f>EXP(-LN(2)/25)*DG177+(1-EXP(-LN(2)/25))/(LN(2)/25)*Calculateur!DB178*Calculateur!DD178*VLOOKUP('Données projet'!$B$13,Paramètres!$A$1:$I$89,3,0)*0.475*44/12</f>
        <v>0.54171214732007444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7.3649616430666089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-6.3550942286383367E-14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278.5296012747549</v>
      </c>
      <c r="T179" s="59">
        <f t="shared" si="142"/>
        <v>370.55343097937077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20.637904286000328</v>
      </c>
      <c r="AA179" s="21">
        <f>EXP(-LN(2)/25)*AA178+(1-EXP(-LN(2)/25))/(LN(2)/25)*Calculateur!V179*Calculateur!X179*VLOOKUP('Données projet'!$B$9,Paramètres!$A$1:$I$89,3,0)*0.475*44/12</f>
        <v>2.0113850109986195</v>
      </c>
      <c r="AB179" s="21">
        <f>EXP(-LN(2)/2)*AB178+(1-EXP(-LN(2)/2))/(LN(2)/2)*V179*Y179*VLOOKUP('Données projet'!$B$9,Paramètres!$A$1:$I$89,3,0)*0.475*44/12</f>
        <v>2.0951721013930017E-17</v>
      </c>
      <c r="AC179" s="22">
        <f t="shared" si="163"/>
        <v>22.649289296998948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-6.2527760746888816E-13</v>
      </c>
      <c r="AJ179" s="13">
        <f>AI179*VLOOKUP('Données projet'!$B$10,Paramètres!$A$1:$I$89,3,0)*VLOOKUP('Données projet'!$B$10,Paramètres!$A$1:$I$89,5,0)</f>
        <v>-3.0075852919253523E-13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255.05550867459038</v>
      </c>
      <c r="AO179" s="59">
        <f t="shared" si="144"/>
        <v>119.28597757550295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91.384720920548375</v>
      </c>
      <c r="AV179" s="21">
        <f>EXP(-LN(2)/25)*AV178+(1-EXP(-LN(2)/25))/(LN(2)/25)*Calculateur!AQ179*Calculateur!AS179*VLOOKUP('Données projet'!$B$10,Paramètres!$A$1:$I$89,3,0)*0.475*44/12</f>
        <v>14.997942019482416</v>
      </c>
      <c r="AW179" s="21">
        <f>EXP(-LN(2)/2)*AW178+(1-EXP(-LN(2)/2))/(LN(2)/2)*AQ179*AT179*VLOOKUP('Données projet'!$B$10,Paramètres!$A$1:$I$89,3,0)*0.475*44/12</f>
        <v>1.720678913347086E-5</v>
      </c>
      <c r="AX179" s="21">
        <f t="shared" si="166"/>
        <v>106.38268014681994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1.1368683772161603E-12</v>
      </c>
      <c r="BE179" s="13">
        <f>BD179*VLOOKUP('Données projet'!$B$11,Paramètres!$A$1:$I$89,3,0)*VLOOKUP('Données projet'!$B$11,Paramètres!$A$1:$I$89,5,0)</f>
        <v>5.3205440053716299E-13</v>
      </c>
      <c r="BF179" s="13">
        <f t="shared" si="167"/>
        <v>6.579711042921201E-12</v>
      </c>
      <c r="BG179" s="20">
        <f t="shared" si="168"/>
        <v>1.2386324814023317E-11</v>
      </c>
      <c r="BH179" s="59">
        <f t="shared" si="116"/>
        <v>293.33333333334571</v>
      </c>
      <c r="BI179" s="59">
        <f ca="1">AVERAGE(OFFSET($BH$3,0,0,'Données projet'!$E$11+1,1))-AVERAGE(OFFSET($H$3,0,0,'Données projet'!$E$11+1,1))</f>
        <v>181.79645720099597</v>
      </c>
      <c r="BJ179" s="59">
        <f t="shared" si="146"/>
        <v>120.20040029102233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59.795068767259856</v>
      </c>
      <c r="BQ179" s="21">
        <f>EXP(-LN(2)/25)*BQ178+(1-EXP(-LN(2)/25))/(LN(2)/25)*Calculateur!BL179*Calculateur!BN179*VLOOKUP('Données projet'!$B$11,Paramètres!$A$1:$I$89,3,0)*0.475*44/12</f>
        <v>9.9976689103988914</v>
      </c>
      <c r="BR179" s="21">
        <f>EXP(-LN(2)/2)*BR178+(1-EXP(-LN(2)/2))/(LN(2)/2)*BL179*BO179*VLOOKUP('Données projet'!$B$11,Paramètres!$A$1:$I$89,3,0)*0.475*44/12</f>
        <v>3.1381132023677515E-6</v>
      </c>
      <c r="BS179" s="22">
        <f t="shared" si="169"/>
        <v>69.79274081577195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-3.979039320256561E-13</v>
      </c>
      <c r="BZ179" s="13">
        <f>BY179*VLOOKUP('Données projet'!$B$12,Paramètres!$A$1:$I$89,3,0)*VLOOKUP('Données projet'!$B$12,Paramètres!$A$1:$I$89,5,0)</f>
        <v>-2.379465513513424E-13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213.18424462765137</v>
      </c>
      <c r="CE179" s="59">
        <f t="shared" si="148"/>
        <v>158.77848520346532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21.250181833534874</v>
      </c>
      <c r="CL179" s="21">
        <f>EXP(-LN(2)/25)*CL178+(1-EXP(-LN(2)/25))/(LN(2)/25)*Calculateur!CG179*Calculateur!CI179*VLOOKUP('Données projet'!$B$12,Paramètres!$A$1:$I$89,3,0)*0.475*44/12</f>
        <v>2.3892035261833464</v>
      </c>
      <c r="CM179" s="21">
        <f>EXP(-LN(2)/2)*CM178+(1-EXP(-LN(2)/2))/(LN(2)/2)*CG179*CJ179*VLOOKUP('Données projet'!$B$12,Paramètres!$A$1:$I$89,3,0)*0.475*44/12</f>
        <v>1.2847118233905419E-13</v>
      </c>
      <c r="CN179" s="22">
        <f t="shared" si="172"/>
        <v>23.63938535971835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319</v>
      </c>
      <c r="CU179" s="17">
        <f>CT179*VLOOKUP('Données projet'!$B$13,Paramètres!$A$1:$I$89,3,0)*VLOOKUP('Données projet'!$B$13,Paramètres!$A$1:$I$89,5,0)</f>
        <v>253.79640000000001</v>
      </c>
      <c r="CV179" s="13">
        <f t="shared" si="173"/>
        <v>61.39816832228076</v>
      </c>
      <c r="CW179" s="20">
        <f t="shared" si="174"/>
        <v>548.96387316130563</v>
      </c>
      <c r="CX179" s="59">
        <f t="shared" si="122"/>
        <v>842.29720649463889</v>
      </c>
      <c r="CY179" s="59">
        <f ca="1">AVERAGE(OFFSET($CX$3,0,0,'Données projet'!$E$13+1,1))-AVERAGE(OFFSET($H$3,0,0,'Données projet'!$E$13+1,1))</f>
        <v>279.49721661620544</v>
      </c>
      <c r="CZ179" s="59">
        <f t="shared" si="150"/>
        <v>275.18739333988754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6.6894497349061961</v>
      </c>
      <c r="DG179" s="21">
        <f>EXP(-LN(2)/25)*DG178+(1-EXP(-LN(2)/25))/(LN(2)/25)*Calculateur!DB179*Calculateur!DD179*VLOOKUP('Données projet'!$B$13,Paramètres!$A$1:$I$89,3,0)*0.475*44/12</f>
        <v>0.52689900016420332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7.2163487350703992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-6.3550942286383367E-14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278.5296012747549</v>
      </c>
      <c r="T180" s="59">
        <f t="shared" si="142"/>
        <v>370.55343097937077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20.233207570830526</v>
      </c>
      <c r="AA180" s="21">
        <f>EXP(-LN(2)/25)*AA179+(1-EXP(-LN(2)/25))/(LN(2)/25)*Calculateur!V180*Calculateur!X180*VLOOKUP('Données projet'!$B$9,Paramètres!$A$1:$I$89,3,0)*0.475*44/12</f>
        <v>1.9563835820987217</v>
      </c>
      <c r="AB180" s="21">
        <f>EXP(-LN(2)/2)*AB179+(1-EXP(-LN(2)/2))/(LN(2)/2)*V180*Y180*VLOOKUP('Données projet'!$B$9,Paramètres!$A$1:$I$89,3,0)*0.475*44/12</f>
        <v>1.4815104006478602E-17</v>
      </c>
      <c r="AC180" s="22">
        <f t="shared" si="163"/>
        <v>22.189591152929246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-6.2527760746888816E-13</v>
      </c>
      <c r="AJ180" s="13">
        <f>AI180*VLOOKUP('Données projet'!$B$10,Paramètres!$A$1:$I$89,3,0)*VLOOKUP('Données projet'!$B$10,Paramètres!$A$1:$I$89,5,0)</f>
        <v>-3.0075852919253523E-13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255.05550867459038</v>
      </c>
      <c r="AO180" s="59">
        <f t="shared" si="144"/>
        <v>119.28597757550295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89.592722282472394</v>
      </c>
      <c r="AV180" s="21">
        <f>EXP(-LN(2)/25)*AV179+(1-EXP(-LN(2)/25))/(LN(2)/25)*Calculateur!AQ180*Calculateur!AS180*VLOOKUP('Données projet'!$B$10,Paramètres!$A$1:$I$89,3,0)*0.475*44/12</f>
        <v>14.587822506252177</v>
      </c>
      <c r="AW180" s="21">
        <f>EXP(-LN(2)/2)*AW179+(1-EXP(-LN(2)/2))/(LN(2)/2)*AQ180*AT180*VLOOKUP('Données projet'!$B$10,Paramètres!$A$1:$I$89,3,0)*0.475*44/12</f>
        <v>1.2167037278724243E-5</v>
      </c>
      <c r="AX180" s="21">
        <f t="shared" si="166"/>
        <v>104.18055695576186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1.1368683772161603E-12</v>
      </c>
      <c r="BE180" s="13">
        <f>BD180*VLOOKUP('Données projet'!$B$11,Paramètres!$A$1:$I$89,3,0)*VLOOKUP('Données projet'!$B$11,Paramètres!$A$1:$I$89,5,0)</f>
        <v>5.3205440053716299E-13</v>
      </c>
      <c r="BF180" s="13">
        <f t="shared" si="167"/>
        <v>6.579711042921201E-12</v>
      </c>
      <c r="BG180" s="20">
        <f t="shared" si="168"/>
        <v>1.2386324814023317E-11</v>
      </c>
      <c r="BH180" s="59">
        <f t="shared" si="116"/>
        <v>293.33333333334571</v>
      </c>
      <c r="BI180" s="59">
        <f ca="1">AVERAGE(OFFSET($BH$3,0,0,'Données projet'!$E$11+1,1))-AVERAGE(OFFSET($H$3,0,0,'Données projet'!$E$11+1,1))</f>
        <v>181.79645720099597</v>
      </c>
      <c r="BJ180" s="59">
        <f t="shared" si="146"/>
        <v>120.20040029102233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58.622523940124587</v>
      </c>
      <c r="BQ180" s="21">
        <f>EXP(-LN(2)/25)*BQ179+(1-EXP(-LN(2)/25))/(LN(2)/25)*Calculateur!BL180*Calculateur!BN180*VLOOKUP('Données projet'!$B$11,Paramètres!$A$1:$I$89,3,0)*0.475*44/12</f>
        <v>9.7242821282894756</v>
      </c>
      <c r="BR180" s="21">
        <f>EXP(-LN(2)/2)*BR179+(1-EXP(-LN(2)/2))/(LN(2)/2)*BL180*BO180*VLOOKUP('Données projet'!$B$11,Paramètres!$A$1:$I$89,3,0)*0.475*44/12</f>
        <v>2.2189811255252696E-6</v>
      </c>
      <c r="BS180" s="22">
        <f t="shared" si="169"/>
        <v>68.346808287395191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-3.979039320256561E-13</v>
      </c>
      <c r="BZ180" s="13">
        <f>BY180*VLOOKUP('Données projet'!$B$12,Paramètres!$A$1:$I$89,3,0)*VLOOKUP('Données projet'!$B$12,Paramètres!$A$1:$I$89,5,0)</f>
        <v>-2.379465513513424E-13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213.18424462765137</v>
      </c>
      <c r="CE180" s="59">
        <f t="shared" si="148"/>
        <v>158.77848520346532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20.83347872911035</v>
      </c>
      <c r="CL180" s="21">
        <f>EXP(-LN(2)/25)*CL179+(1-EXP(-LN(2)/25))/(LN(2)/25)*Calculateur!CG180*Calculateur!CI180*VLOOKUP('Données projet'!$B$12,Paramètres!$A$1:$I$89,3,0)*0.475*44/12</f>
        <v>2.3238706301171099</v>
      </c>
      <c r="CM180" s="21">
        <f>EXP(-LN(2)/2)*CM179+(1-EXP(-LN(2)/2))/(LN(2)/2)*CG180*CJ180*VLOOKUP('Données projet'!$B$12,Paramètres!$A$1:$I$89,3,0)*0.475*44/12</f>
        <v>9.0842844218998642E-14</v>
      </c>
      <c r="CN180" s="22">
        <f t="shared" si="172"/>
        <v>23.157349359227553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319</v>
      </c>
      <c r="CU180" s="17">
        <f>CT180*VLOOKUP('Données projet'!$B$13,Paramètres!$A$1:$I$89,3,0)*VLOOKUP('Données projet'!$B$13,Paramètres!$A$1:$I$89,5,0)</f>
        <v>253.79640000000001</v>
      </c>
      <c r="CV180" s="13">
        <f t="shared" si="173"/>
        <v>61.39816832228076</v>
      </c>
      <c r="CW180" s="20">
        <f t="shared" si="174"/>
        <v>548.96387316130563</v>
      </c>
      <c r="CX180" s="59">
        <f t="shared" si="122"/>
        <v>842.29720649463889</v>
      </c>
      <c r="CY180" s="59">
        <f ca="1">AVERAGE(OFFSET($CX$3,0,0,'Données projet'!$E$13+1,1))-AVERAGE(OFFSET($H$3,0,0,'Données projet'!$E$13+1,1))</f>
        <v>279.49721661620544</v>
      </c>
      <c r="CZ180" s="59">
        <f t="shared" si="150"/>
        <v>275.18739333988754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6.5582737057661413</v>
      </c>
      <c r="DG180" s="21">
        <f>EXP(-LN(2)/25)*DG179+(1-EXP(-LN(2)/25))/(LN(2)/25)*Calculateur!DB180*Calculateur!DD180*VLOOKUP('Données projet'!$B$13,Paramètres!$A$1:$I$89,3,0)*0.475*44/12</f>
        <v>0.51249091929629897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7.0707646250624405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-6.3550942286383367E-14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278.5296012747549</v>
      </c>
      <c r="T181" s="59">
        <f t="shared" si="142"/>
        <v>370.55343097937077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19.83644671140458</v>
      </c>
      <c r="AA181" s="21">
        <f>EXP(-LN(2)/25)*AA180+(1-EXP(-LN(2)/25))/(LN(2)/25)*Calculateur!V181*Calculateur!X181*VLOOKUP('Données projet'!$B$9,Paramètres!$A$1:$I$89,3,0)*0.475*44/12</f>
        <v>1.9028861701644908</v>
      </c>
      <c r="AB181" s="21">
        <f>EXP(-LN(2)/2)*AB180+(1-EXP(-LN(2)/2))/(LN(2)/2)*V181*Y181*VLOOKUP('Données projet'!$B$9,Paramètres!$A$1:$I$89,3,0)*0.475*44/12</f>
        <v>1.0475860506965008E-17</v>
      </c>
      <c r="AC181" s="22">
        <f t="shared" si="163"/>
        <v>21.739332881569069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-6.2527760746888816E-13</v>
      </c>
      <c r="AJ181" s="13">
        <f>AI181*VLOOKUP('Données projet'!$B$10,Paramètres!$A$1:$I$89,3,0)*VLOOKUP('Données projet'!$B$10,Paramètres!$A$1:$I$89,5,0)</f>
        <v>-3.0075852919253523E-13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255.05550867459038</v>
      </c>
      <c r="AO181" s="59">
        <f t="shared" si="144"/>
        <v>119.28597757550295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87.835863644677843</v>
      </c>
      <c r="AV181" s="21">
        <f>EXP(-LN(2)/25)*AV180+(1-EXP(-LN(2)/25))/(LN(2)/25)*Calculateur!AQ181*Calculateur!AS181*VLOOKUP('Données projet'!$B$10,Paramètres!$A$1:$I$89,3,0)*0.475*44/12</f>
        <v>14.188917732678467</v>
      </c>
      <c r="AW181" s="21">
        <f>EXP(-LN(2)/2)*AW180+(1-EXP(-LN(2)/2))/(LN(2)/2)*AQ181*AT181*VLOOKUP('Données projet'!$B$10,Paramètres!$A$1:$I$89,3,0)*0.475*44/12</f>
        <v>8.6033945667354301E-6</v>
      </c>
      <c r="AX181" s="21">
        <f t="shared" si="166"/>
        <v>102.02478998075087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1.1368683772161603E-12</v>
      </c>
      <c r="BE181" s="13">
        <f>BD181*VLOOKUP('Données projet'!$B$11,Paramètres!$A$1:$I$89,3,0)*VLOOKUP('Données projet'!$B$11,Paramètres!$A$1:$I$89,5,0)</f>
        <v>5.3205440053716299E-13</v>
      </c>
      <c r="BF181" s="13">
        <f t="shared" si="167"/>
        <v>6.579711042921201E-12</v>
      </c>
      <c r="BG181" s="20">
        <f t="shared" si="168"/>
        <v>1.2386324814023317E-11</v>
      </c>
      <c r="BH181" s="59">
        <f t="shared" si="116"/>
        <v>293.33333333334571</v>
      </c>
      <c r="BI181" s="59">
        <f ca="1">AVERAGE(OFFSET($BH$3,0,0,'Données projet'!$E$11+1,1))-AVERAGE(OFFSET($H$3,0,0,'Données projet'!$E$11+1,1))</f>
        <v>181.79645720099597</v>
      </c>
      <c r="BJ181" s="59">
        <f t="shared" si="146"/>
        <v>120.20040029102233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57.472972001867717</v>
      </c>
      <c r="BQ181" s="21">
        <f>EXP(-LN(2)/25)*BQ180+(1-EXP(-LN(2)/25))/(LN(2)/25)*Calculateur!BL181*Calculateur!BN181*VLOOKUP('Données projet'!$B$11,Paramètres!$A$1:$I$89,3,0)*0.475*44/12</f>
        <v>9.4583711221136273</v>
      </c>
      <c r="BR181" s="21">
        <f>EXP(-LN(2)/2)*BR180+(1-EXP(-LN(2)/2))/(LN(2)/2)*BL181*BO181*VLOOKUP('Données projet'!$B$11,Paramètres!$A$1:$I$89,3,0)*0.475*44/12</f>
        <v>1.5690566011838758E-6</v>
      </c>
      <c r="BS181" s="22">
        <f t="shared" si="169"/>
        <v>66.931344693037957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-3.979039320256561E-13</v>
      </c>
      <c r="BZ181" s="13">
        <f>BY181*VLOOKUP('Données projet'!$B$12,Paramètres!$A$1:$I$89,3,0)*VLOOKUP('Données projet'!$B$12,Paramètres!$A$1:$I$89,5,0)</f>
        <v>-2.379465513513424E-13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213.18424462765137</v>
      </c>
      <c r="CE181" s="59">
        <f t="shared" si="148"/>
        <v>158.77848520346532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20.424946918399794</v>
      </c>
      <c r="CL181" s="21">
        <f>EXP(-LN(2)/25)*CL180+(1-EXP(-LN(2)/25))/(LN(2)/25)*Calculateur!CG181*Calculateur!CI181*VLOOKUP('Données projet'!$B$12,Paramètres!$A$1:$I$89,3,0)*0.475*44/12</f>
        <v>2.2603242655295124</v>
      </c>
      <c r="CM181" s="21">
        <f>EXP(-LN(2)/2)*CM180+(1-EXP(-LN(2)/2))/(LN(2)/2)*CG181*CJ181*VLOOKUP('Données projet'!$B$12,Paramètres!$A$1:$I$89,3,0)*0.475*44/12</f>
        <v>6.4235591169527096E-14</v>
      </c>
      <c r="CN181" s="22">
        <f t="shared" si="172"/>
        <v>22.68527118392937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319</v>
      </c>
      <c r="CU181" s="17">
        <f>CT181*VLOOKUP('Données projet'!$B$13,Paramètres!$A$1:$I$89,3,0)*VLOOKUP('Données projet'!$B$13,Paramètres!$A$1:$I$89,5,0)</f>
        <v>253.79640000000001</v>
      </c>
      <c r="CV181" s="13">
        <f t="shared" si="173"/>
        <v>61.39816832228076</v>
      </c>
      <c r="CW181" s="20">
        <f t="shared" si="174"/>
        <v>548.96387316130563</v>
      </c>
      <c r="CX181" s="59">
        <f t="shared" si="122"/>
        <v>842.29720649463889</v>
      </c>
      <c r="CY181" s="59">
        <f ca="1">AVERAGE(OFFSET($CX$3,0,0,'Données projet'!$E$13+1,1))-AVERAGE(OFFSET($H$3,0,0,'Données projet'!$E$13+1,1))</f>
        <v>279.49721661620544</v>
      </c>
      <c r="CZ181" s="59">
        <f t="shared" si="150"/>
        <v>275.18739333988754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6.4296699585480459</v>
      </c>
      <c r="DG181" s="21">
        <f>EXP(-LN(2)/25)*DG180+(1-EXP(-LN(2)/25))/(LN(2)/25)*Calculateur!DB181*Calculateur!DD181*VLOOKUP('Données projet'!$B$13,Paramètres!$A$1:$I$89,3,0)*0.475*44/12</f>
        <v>0.49847682815741556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6.9281467867054616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-6.3550942286383367E-14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278.5296012747549</v>
      </c>
      <c r="T182" s="59">
        <f t="shared" si="142"/>
        <v>370.55343097937077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19.44746609043175</v>
      </c>
      <c r="AA182" s="21">
        <f>EXP(-LN(2)/25)*AA181+(1-EXP(-LN(2)/25))/(LN(2)/25)*Calculateur!V182*Calculateur!X182*VLOOKUP('Données projet'!$B$9,Paramètres!$A$1:$I$89,3,0)*0.475*44/12</f>
        <v>1.8508516477729082</v>
      </c>
      <c r="AB182" s="21">
        <f>EXP(-LN(2)/2)*AB181+(1-EXP(-LN(2)/2))/(LN(2)/2)*V182*Y182*VLOOKUP('Données projet'!$B$9,Paramètres!$A$1:$I$89,3,0)*0.475*44/12</f>
        <v>7.407552003239301E-18</v>
      </c>
      <c r="AC182" s="22">
        <f t="shared" si="163"/>
        <v>21.298317738204659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-6.2527760746888816E-13</v>
      </c>
      <c r="AJ182" s="13">
        <f>AI182*VLOOKUP('Données projet'!$B$10,Paramètres!$A$1:$I$89,3,0)*VLOOKUP('Données projet'!$B$10,Paramètres!$A$1:$I$89,5,0)</f>
        <v>-3.0075852919253523E-13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255.05550867459038</v>
      </c>
      <c r="AO182" s="59">
        <f t="shared" si="144"/>
        <v>119.28597757550295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86.113455933192483</v>
      </c>
      <c r="AV182" s="21">
        <f>EXP(-LN(2)/25)*AV181+(1-EXP(-LN(2)/25))/(LN(2)/25)*Calculateur!AQ182*Calculateur!AS182*VLOOKUP('Données projet'!$B$10,Paramètres!$A$1:$I$89,3,0)*0.475*44/12</f>
        <v>13.800921031115621</v>
      </c>
      <c r="AW182" s="21">
        <f>EXP(-LN(2)/2)*AW181+(1-EXP(-LN(2)/2))/(LN(2)/2)*AQ182*AT182*VLOOKUP('Données projet'!$B$10,Paramètres!$A$1:$I$89,3,0)*0.475*44/12</f>
        <v>6.0835186393621216E-6</v>
      </c>
      <c r="AX182" s="21">
        <f t="shared" si="166"/>
        <v>99.914383047826746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1.1368683772161603E-12</v>
      </c>
      <c r="BE182" s="13">
        <f>BD182*VLOOKUP('Données projet'!$B$11,Paramètres!$A$1:$I$89,3,0)*VLOOKUP('Données projet'!$B$11,Paramètres!$A$1:$I$89,5,0)</f>
        <v>5.3205440053716299E-13</v>
      </c>
      <c r="BF182" s="13">
        <f t="shared" si="167"/>
        <v>6.579711042921201E-12</v>
      </c>
      <c r="BG182" s="20">
        <f t="shared" si="168"/>
        <v>1.2386324814023317E-11</v>
      </c>
      <c r="BH182" s="59">
        <f t="shared" si="116"/>
        <v>293.33333333334571</v>
      </c>
      <c r="BI182" s="59">
        <f ca="1">AVERAGE(OFFSET($BH$3,0,0,'Données projet'!$E$11+1,1))-AVERAGE(OFFSET($H$3,0,0,'Données projet'!$E$11+1,1))</f>
        <v>181.79645720099597</v>
      </c>
      <c r="BJ182" s="59">
        <f t="shared" si="146"/>
        <v>120.20040029102233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56.345962075962611</v>
      </c>
      <c r="BQ182" s="21">
        <f>EXP(-LN(2)/25)*BQ181+(1-EXP(-LN(2)/25))/(LN(2)/25)*Calculateur!BL182*Calculateur!BN182*VLOOKUP('Données projet'!$B$11,Paramètres!$A$1:$I$89,3,0)*0.475*44/12</f>
        <v>9.1997314663853107</v>
      </c>
      <c r="BR182" s="21">
        <f>EXP(-LN(2)/2)*BR181+(1-EXP(-LN(2)/2))/(LN(2)/2)*BL182*BO182*VLOOKUP('Données projet'!$B$11,Paramètres!$A$1:$I$89,3,0)*0.475*44/12</f>
        <v>1.1094905627626348E-6</v>
      </c>
      <c r="BS182" s="22">
        <f t="shared" si="169"/>
        <v>65.545694651838488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-3.979039320256561E-13</v>
      </c>
      <c r="BZ182" s="13">
        <f>BY182*VLOOKUP('Données projet'!$B$12,Paramètres!$A$1:$I$89,3,0)*VLOOKUP('Données projet'!$B$12,Paramètres!$A$1:$I$89,5,0)</f>
        <v>-2.379465513513424E-13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213.18424462765137</v>
      </c>
      <c r="CE182" s="59">
        <f t="shared" si="148"/>
        <v>158.77848520346532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20.024426167317468</v>
      </c>
      <c r="CL182" s="21">
        <f>EXP(-LN(2)/25)*CL181+(1-EXP(-LN(2)/25))/(LN(2)/25)*Calculateur!CG182*Calculateur!CI182*VLOOKUP('Données projet'!$B$12,Paramètres!$A$1:$I$89,3,0)*0.475*44/12</f>
        <v>2.1985155796233209</v>
      </c>
      <c r="CM182" s="21">
        <f>EXP(-LN(2)/2)*CM181+(1-EXP(-LN(2)/2))/(LN(2)/2)*CG182*CJ182*VLOOKUP('Données projet'!$B$12,Paramètres!$A$1:$I$89,3,0)*0.475*44/12</f>
        <v>4.5421422109499321E-14</v>
      </c>
      <c r="CN182" s="22">
        <f t="shared" si="172"/>
        <v>22.222941746940837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319</v>
      </c>
      <c r="CU182" s="17">
        <f>CT182*VLOOKUP('Données projet'!$B$13,Paramètres!$A$1:$I$89,3,0)*VLOOKUP('Données projet'!$B$13,Paramètres!$A$1:$I$89,5,0)</f>
        <v>253.79640000000001</v>
      </c>
      <c r="CV182" s="13">
        <f t="shared" si="173"/>
        <v>61.39816832228076</v>
      </c>
      <c r="CW182" s="20">
        <f t="shared" si="174"/>
        <v>548.96387316130563</v>
      </c>
      <c r="CX182" s="59">
        <f t="shared" si="122"/>
        <v>842.29720649463889</v>
      </c>
      <c r="CY182" s="59">
        <f ca="1">AVERAGE(OFFSET($CX$3,0,0,'Données projet'!$E$13+1,1))-AVERAGE(OFFSET($H$3,0,0,'Données projet'!$E$13+1,1))</f>
        <v>279.49721661620544</v>
      </c>
      <c r="CZ182" s="59">
        <f t="shared" si="150"/>
        <v>275.18739333988754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6.3035880523723566</v>
      </c>
      <c r="DG182" s="21">
        <f>EXP(-LN(2)/25)*DG181+(1-EXP(-LN(2)/25))/(LN(2)/25)*Calculateur!DB182*Calculateur!DD182*VLOOKUP('Données projet'!$B$13,Paramètres!$A$1:$I$89,3,0)*0.475*44/12</f>
        <v>0.4848459530776939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6.7884340054500507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-6.3550942286383367E-14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278.5296012747549</v>
      </c>
      <c r="T183" s="59">
        <f t="shared" si="142"/>
        <v>370.55343097937077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19.066113142181443</v>
      </c>
      <c r="AA183" s="21">
        <f>EXP(-LN(2)/25)*AA182+(1-EXP(-LN(2)/25))/(LN(2)/25)*Calculateur!V183*Calculateur!X183*VLOOKUP('Données projet'!$B$9,Paramètres!$A$1:$I$89,3,0)*0.475*44/12</f>
        <v>1.8002400121325002</v>
      </c>
      <c r="AB183" s="21">
        <f>EXP(-LN(2)/2)*AB182+(1-EXP(-LN(2)/2))/(LN(2)/2)*V183*Y183*VLOOKUP('Données projet'!$B$9,Paramètres!$A$1:$I$89,3,0)*0.475*44/12</f>
        <v>5.2379302534825042E-18</v>
      </c>
      <c r="AC183" s="22">
        <f t="shared" si="163"/>
        <v>20.866353154313945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-6.2527760746888816E-13</v>
      </c>
      <c r="AJ183" s="13">
        <f>AI183*VLOOKUP('Données projet'!$B$10,Paramètres!$A$1:$I$89,3,0)*VLOOKUP('Données projet'!$B$10,Paramètres!$A$1:$I$89,5,0)</f>
        <v>-3.0075852919253523E-13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255.05550867459038</v>
      </c>
      <c r="AO183" s="59">
        <f t="shared" si="144"/>
        <v>119.28597757550295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84.424823586364383</v>
      </c>
      <c r="AV183" s="21">
        <f>EXP(-LN(2)/25)*AV182+(1-EXP(-LN(2)/25))/(LN(2)/25)*Calculateur!AQ183*Calculateur!AS183*VLOOKUP('Données projet'!$B$10,Paramètres!$A$1:$I$89,3,0)*0.475*44/12</f>
        <v>13.42353411976087</v>
      </c>
      <c r="AW183" s="21">
        <f>EXP(-LN(2)/2)*AW182+(1-EXP(-LN(2)/2))/(LN(2)/2)*AQ183*AT183*VLOOKUP('Données projet'!$B$10,Paramètres!$A$1:$I$89,3,0)*0.475*44/12</f>
        <v>4.301697283367715E-6</v>
      </c>
      <c r="AX183" s="21">
        <f t="shared" si="166"/>
        <v>97.848362007822544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1.1368683772161603E-12</v>
      </c>
      <c r="BE183" s="13">
        <f>BD183*VLOOKUP('Données projet'!$B$11,Paramètres!$A$1:$I$89,3,0)*VLOOKUP('Données projet'!$B$11,Paramètres!$A$1:$I$89,5,0)</f>
        <v>5.3205440053716299E-13</v>
      </c>
      <c r="BF183" s="13">
        <f t="shared" si="167"/>
        <v>6.579711042921201E-12</v>
      </c>
      <c r="BG183" s="20">
        <f t="shared" si="168"/>
        <v>1.2386324814023317E-11</v>
      </c>
      <c r="BH183" s="59">
        <f t="shared" si="116"/>
        <v>293.33333333334571</v>
      </c>
      <c r="BI183" s="59">
        <f ca="1">AVERAGE(OFFSET($BH$3,0,0,'Données projet'!$E$11+1,1))-AVERAGE(OFFSET($H$3,0,0,'Données projet'!$E$11+1,1))</f>
        <v>181.79645720099597</v>
      </c>
      <c r="BJ183" s="59">
        <f t="shared" si="146"/>
        <v>120.20040029102233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55.241052127296328</v>
      </c>
      <c r="BQ183" s="21">
        <f>EXP(-LN(2)/25)*BQ182+(1-EXP(-LN(2)/25))/(LN(2)/25)*Calculateur!BL183*Calculateur!BN183*VLOOKUP('Données projet'!$B$11,Paramètres!$A$1:$I$89,3,0)*0.475*44/12</f>
        <v>8.9481643256441536</v>
      </c>
      <c r="BR183" s="21">
        <f>EXP(-LN(2)/2)*BR182+(1-EXP(-LN(2)/2))/(LN(2)/2)*BL183*BO183*VLOOKUP('Données projet'!$B$11,Paramètres!$A$1:$I$89,3,0)*0.475*44/12</f>
        <v>7.8452830059193788E-7</v>
      </c>
      <c r="BS183" s="22">
        <f t="shared" si="169"/>
        <v>64.189217237468782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-3.979039320256561E-13</v>
      </c>
      <c r="BZ183" s="13">
        <f>BY183*VLOOKUP('Données projet'!$B$12,Paramètres!$A$1:$I$89,3,0)*VLOOKUP('Données projet'!$B$12,Paramètres!$A$1:$I$89,5,0)</f>
        <v>-2.379465513513424E-13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213.18424462765137</v>
      </c>
      <c r="CE183" s="59">
        <f t="shared" si="148"/>
        <v>158.77848520346532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19.631759383870332</v>
      </c>
      <c r="CL183" s="21">
        <f>EXP(-LN(2)/25)*CL182+(1-EXP(-LN(2)/25))/(LN(2)/25)*Calculateur!CG183*Calculateur!CI183*VLOOKUP('Données projet'!$B$12,Paramètres!$A$1:$I$89,3,0)*0.475*44/12</f>
        <v>2.1383970554836118</v>
      </c>
      <c r="CM183" s="21">
        <f>EXP(-LN(2)/2)*CM182+(1-EXP(-LN(2)/2))/(LN(2)/2)*CG183*CJ183*VLOOKUP('Données projet'!$B$12,Paramètres!$A$1:$I$89,3,0)*0.475*44/12</f>
        <v>3.2117795584763548E-14</v>
      </c>
      <c r="CN183" s="22">
        <f t="shared" si="172"/>
        <v>21.770156439353975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319</v>
      </c>
      <c r="CU183" s="17">
        <f>CT183*VLOOKUP('Données projet'!$B$13,Paramètres!$A$1:$I$89,3,0)*VLOOKUP('Données projet'!$B$13,Paramètres!$A$1:$I$89,5,0)</f>
        <v>253.79640000000001</v>
      </c>
      <c r="CV183" s="13">
        <f t="shared" si="173"/>
        <v>61.39816832228076</v>
      </c>
      <c r="CW183" s="20">
        <f t="shared" si="174"/>
        <v>548.96387316130563</v>
      </c>
      <c r="CX183" s="59">
        <f t="shared" si="122"/>
        <v>842.29720649463889</v>
      </c>
      <c r="CY183" s="59">
        <f ca="1">AVERAGE(OFFSET($CX$3,0,0,'Données projet'!$E$13+1,1))-AVERAGE(OFFSET($H$3,0,0,'Données projet'!$E$13+1,1))</f>
        <v>279.49721661620544</v>
      </c>
      <c r="CZ183" s="59">
        <f t="shared" si="150"/>
        <v>275.18739333988754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6.1799785354744037</v>
      </c>
      <c r="DG183" s="21">
        <f>EXP(-LN(2)/25)*DG182+(1-EXP(-LN(2)/25))/(LN(2)/25)*Calculateur!DB183*Calculateur!DD183*VLOOKUP('Données projet'!$B$13,Paramètres!$A$1:$I$89,3,0)*0.475*44/12</f>
        <v>0.47158781499384383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6.6515663504682472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-6.3550942286383367E-14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278.5296012747549</v>
      </c>
      <c r="T184" s="59">
        <f t="shared" si="142"/>
        <v>370.55343097937077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18.692238292643996</v>
      </c>
      <c r="AA184" s="21">
        <f>EXP(-LN(2)/25)*AA183+(1-EXP(-LN(2)/25))/(LN(2)/25)*Calculateur!V184*Calculateur!X184*VLOOKUP('Données projet'!$B$9,Paramètres!$A$1:$I$89,3,0)*0.475*44/12</f>
        <v>1.7510123543302292</v>
      </c>
      <c r="AB184" s="21">
        <f>EXP(-LN(2)/2)*AB183+(1-EXP(-LN(2)/2))/(LN(2)/2)*V184*Y184*VLOOKUP('Données projet'!$B$9,Paramètres!$A$1:$I$89,3,0)*0.475*44/12</f>
        <v>3.7037760016196505E-18</v>
      </c>
      <c r="AC184" s="22">
        <f t="shared" si="163"/>
        <v>20.443250646974224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-6.2527760746888816E-13</v>
      </c>
      <c r="AJ184" s="13">
        <f>AI184*VLOOKUP('Données projet'!$B$10,Paramètres!$A$1:$I$89,3,0)*VLOOKUP('Données projet'!$B$10,Paramètres!$A$1:$I$89,5,0)</f>
        <v>-3.0075852919253523E-13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255.05550867459038</v>
      </c>
      <c r="AO184" s="59">
        <f t="shared" si="144"/>
        <v>119.28597757550295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82.769304289893554</v>
      </c>
      <c r="AV184" s="21">
        <f>EXP(-LN(2)/25)*AV183+(1-EXP(-LN(2)/25))/(LN(2)/25)*Calculateur!AQ184*Calculateur!AS184*VLOOKUP('Données projet'!$B$10,Paramètres!$A$1:$I$89,3,0)*0.475*44/12</f>
        <v>13.056466873343028</v>
      </c>
      <c r="AW184" s="21">
        <f>EXP(-LN(2)/2)*AW183+(1-EXP(-LN(2)/2))/(LN(2)/2)*AQ184*AT184*VLOOKUP('Données projet'!$B$10,Paramètres!$A$1:$I$89,3,0)*0.475*44/12</f>
        <v>3.0417593196810608E-6</v>
      </c>
      <c r="AX184" s="21">
        <f t="shared" si="166"/>
        <v>95.825774204995895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1.1368683772161603E-12</v>
      </c>
      <c r="BE184" s="13">
        <f>BD184*VLOOKUP('Données projet'!$B$11,Paramètres!$A$1:$I$89,3,0)*VLOOKUP('Données projet'!$B$11,Paramètres!$A$1:$I$89,5,0)</f>
        <v>5.3205440053716299E-13</v>
      </c>
      <c r="BF184" s="13">
        <f t="shared" si="167"/>
        <v>6.579711042921201E-12</v>
      </c>
      <c r="BG184" s="20">
        <f t="shared" si="168"/>
        <v>1.2386324814023317E-11</v>
      </c>
      <c r="BH184" s="59">
        <f t="shared" si="116"/>
        <v>293.33333333334571</v>
      </c>
      <c r="BI184" s="59">
        <f ca="1">AVERAGE(OFFSET($BH$3,0,0,'Données projet'!$E$11+1,1))-AVERAGE(OFFSET($H$3,0,0,'Données projet'!$E$11+1,1))</f>
        <v>181.79645720099597</v>
      </c>
      <c r="BJ184" s="59">
        <f t="shared" si="146"/>
        <v>120.20040029102233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54.157808788794867</v>
      </c>
      <c r="BQ184" s="21">
        <f>EXP(-LN(2)/25)*BQ183+(1-EXP(-LN(2)/25))/(LN(2)/25)*Calculateur!BL184*Calculateur!BN184*VLOOKUP('Données projet'!$B$11,Paramètres!$A$1:$I$89,3,0)*0.475*44/12</f>
        <v>8.703476301595904</v>
      </c>
      <c r="BR184" s="21">
        <f>EXP(-LN(2)/2)*BR183+(1-EXP(-LN(2)/2))/(LN(2)/2)*BL184*BO184*VLOOKUP('Données projet'!$B$11,Paramètres!$A$1:$I$89,3,0)*0.475*44/12</f>
        <v>5.5474528138131739E-7</v>
      </c>
      <c r="BS184" s="22">
        <f t="shared" si="169"/>
        <v>62.861285645136057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-3.979039320256561E-13</v>
      </c>
      <c r="BZ184" s="13">
        <f>BY184*VLOOKUP('Données projet'!$B$12,Paramètres!$A$1:$I$89,3,0)*VLOOKUP('Données projet'!$B$12,Paramètres!$A$1:$I$89,5,0)</f>
        <v>-2.379465513513424E-13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213.18424462765137</v>
      </c>
      <c r="CE184" s="59">
        <f t="shared" si="148"/>
        <v>158.77848520346532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19.246792556543504</v>
      </c>
      <c r="CL184" s="21">
        <f>EXP(-LN(2)/25)*CL183+(1-EXP(-LN(2)/25))/(LN(2)/25)*Calculateur!CG184*Calculateur!CI184*VLOOKUP('Données projet'!$B$12,Paramètres!$A$1:$I$89,3,0)*0.475*44/12</f>
        <v>2.0799224755479986</v>
      </c>
      <c r="CM184" s="21">
        <f>EXP(-LN(2)/2)*CM183+(1-EXP(-LN(2)/2))/(LN(2)/2)*CG184*CJ184*VLOOKUP('Données projet'!$B$12,Paramètres!$A$1:$I$89,3,0)*0.475*44/12</f>
        <v>2.2710711054749661E-14</v>
      </c>
      <c r="CN184" s="22">
        <f t="shared" si="172"/>
        <v>21.326715032091524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319</v>
      </c>
      <c r="CU184" s="17">
        <f>CT184*VLOOKUP('Données projet'!$B$13,Paramètres!$A$1:$I$89,3,0)*VLOOKUP('Données projet'!$B$13,Paramètres!$A$1:$I$89,5,0)</f>
        <v>253.79640000000001</v>
      </c>
      <c r="CV184" s="13">
        <f t="shared" si="173"/>
        <v>61.39816832228076</v>
      </c>
      <c r="CW184" s="20">
        <f t="shared" si="174"/>
        <v>548.96387316130563</v>
      </c>
      <c r="CX184" s="59">
        <f t="shared" si="122"/>
        <v>842.29720649463889</v>
      </c>
      <c r="CY184" s="59">
        <f ca="1">AVERAGE(OFFSET($CX$3,0,0,'Données projet'!$E$13+1,1))-AVERAGE(OFFSET($H$3,0,0,'Données projet'!$E$13+1,1))</f>
        <v>279.49721661620544</v>
      </c>
      <c r="CZ184" s="59">
        <f t="shared" si="150"/>
        <v>275.18739333988754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6.0587929258084587</v>
      </c>
      <c r="DG184" s="21">
        <f>EXP(-LN(2)/25)*DG183+(1-EXP(-LN(2)/25))/(LN(2)/25)*Calculateur!DB184*Calculateur!DD184*VLOOKUP('Données projet'!$B$13,Paramètres!$A$1:$I$89,3,0)*0.475*44/12</f>
        <v>0.45869222139311183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6.5174851472015707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-6.3550942286383367E-14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278.5296012747549</v>
      </c>
      <c r="T185" s="59">
        <f t="shared" si="142"/>
        <v>370.55343097937077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18.325694900864836</v>
      </c>
      <c r="AA185" s="21">
        <f>EXP(-LN(2)/25)*AA184+(1-EXP(-LN(2)/25))/(LN(2)/25)*Calculateur!V185*Calculateur!X185*VLOOKUP('Données projet'!$B$9,Paramètres!$A$1:$I$89,3,0)*0.475*44/12</f>
        <v>1.7031308294193312</v>
      </c>
      <c r="AB185" s="21">
        <f>EXP(-LN(2)/2)*AB184+(1-EXP(-LN(2)/2))/(LN(2)/2)*V185*Y185*VLOOKUP('Données projet'!$B$9,Paramètres!$A$1:$I$89,3,0)*0.475*44/12</f>
        <v>2.6189651267412521E-18</v>
      </c>
      <c r="AC185" s="22">
        <f t="shared" si="163"/>
        <v>20.028825730284169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-6.2527760746888816E-13</v>
      </c>
      <c r="AJ185" s="13">
        <f>AI185*VLOOKUP('Données projet'!$B$10,Paramètres!$A$1:$I$89,3,0)*VLOOKUP('Données projet'!$B$10,Paramètres!$A$1:$I$89,5,0)</f>
        <v>-3.0075852919253523E-13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255.05550867459038</v>
      </c>
      <c r="AO185" s="59">
        <f t="shared" si="144"/>
        <v>119.28597757550295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81.14624871705945</v>
      </c>
      <c r="AV185" s="21">
        <f>EXP(-LN(2)/25)*AV184+(1-EXP(-LN(2)/25))/(LN(2)/25)*Calculateur!AQ185*Calculateur!AS185*VLOOKUP('Données projet'!$B$10,Paramètres!$A$1:$I$89,3,0)*0.475*44/12</f>
        <v>12.699437100081711</v>
      </c>
      <c r="AW185" s="21">
        <f>EXP(-LN(2)/2)*AW184+(1-EXP(-LN(2)/2))/(LN(2)/2)*AQ185*AT185*VLOOKUP('Données projet'!$B$10,Paramètres!$A$1:$I$89,3,0)*0.475*44/12</f>
        <v>2.1508486416838575E-6</v>
      </c>
      <c r="AX185" s="21">
        <f t="shared" si="166"/>
        <v>93.845687967989804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1.1368683772161603E-12</v>
      </c>
      <c r="BE185" s="13">
        <f>BD185*VLOOKUP('Données projet'!$B$11,Paramètres!$A$1:$I$89,3,0)*VLOOKUP('Données projet'!$B$11,Paramètres!$A$1:$I$89,5,0)</f>
        <v>5.3205440053716299E-13</v>
      </c>
      <c r="BF185" s="13">
        <f t="shared" si="167"/>
        <v>6.579711042921201E-12</v>
      </c>
      <c r="BG185" s="20">
        <f t="shared" si="168"/>
        <v>1.2386324814023317E-11</v>
      </c>
      <c r="BH185" s="59">
        <f t="shared" si="116"/>
        <v>293.33333333334571</v>
      </c>
      <c r="BI185" s="59">
        <f ca="1">AVERAGE(OFFSET($BH$3,0,0,'Données projet'!$E$11+1,1))-AVERAGE(OFFSET($H$3,0,0,'Données projet'!$E$11+1,1))</f>
        <v>181.79645720099597</v>
      </c>
      <c r="BJ185" s="59">
        <f t="shared" si="146"/>
        <v>120.20040029102233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53.095807191448223</v>
      </c>
      <c r="BQ185" s="21">
        <f>EXP(-LN(2)/25)*BQ184+(1-EXP(-LN(2)/25))/(LN(2)/25)*Calculateur!BL185*Calculateur!BN185*VLOOKUP('Données projet'!$B$11,Paramètres!$A$1:$I$89,3,0)*0.475*44/12</f>
        <v>8.4654792844328366</v>
      </c>
      <c r="BR185" s="21">
        <f>EXP(-LN(2)/2)*BR184+(1-EXP(-LN(2)/2))/(LN(2)/2)*BL185*BO185*VLOOKUP('Données projet'!$B$11,Paramètres!$A$1:$I$89,3,0)*0.475*44/12</f>
        <v>3.9226415029596894E-7</v>
      </c>
      <c r="BS185" s="22">
        <f t="shared" si="169"/>
        <v>61.56128686814521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-3.979039320256561E-13</v>
      </c>
      <c r="BZ185" s="13">
        <f>BY185*VLOOKUP('Données projet'!$B$12,Paramètres!$A$1:$I$89,3,0)*VLOOKUP('Données projet'!$B$12,Paramètres!$A$1:$I$89,5,0)</f>
        <v>-2.379465513513424E-13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213.18424462765137</v>
      </c>
      <c r="CE185" s="59">
        <f t="shared" si="148"/>
        <v>158.77848520346532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18.869374693893977</v>
      </c>
      <c r="CL185" s="21">
        <f>EXP(-LN(2)/25)*CL184+(1-EXP(-LN(2)/25))/(LN(2)/25)*Calculateur!CG185*Calculateur!CI185*VLOOKUP('Données projet'!$B$12,Paramètres!$A$1:$I$89,3,0)*0.475*44/12</f>
        <v>2.0230468860757691</v>
      </c>
      <c r="CM185" s="21">
        <f>EXP(-LN(2)/2)*CM184+(1-EXP(-LN(2)/2))/(LN(2)/2)*CG185*CJ185*VLOOKUP('Données projet'!$B$12,Paramètres!$A$1:$I$89,3,0)*0.475*44/12</f>
        <v>1.6058897792381774E-14</v>
      </c>
      <c r="CN185" s="22">
        <f t="shared" si="172"/>
        <v>20.892421579969763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319</v>
      </c>
      <c r="CU185" s="17">
        <f>CT185*VLOOKUP('Données projet'!$B$13,Paramètres!$A$1:$I$89,3,0)*VLOOKUP('Données projet'!$B$13,Paramètres!$A$1:$I$89,5,0)</f>
        <v>253.79640000000001</v>
      </c>
      <c r="CV185" s="13">
        <f t="shared" si="173"/>
        <v>61.39816832228076</v>
      </c>
      <c r="CW185" s="20">
        <f t="shared" si="174"/>
        <v>548.96387316130563</v>
      </c>
      <c r="CX185" s="59">
        <f t="shared" si="122"/>
        <v>842.29720649463889</v>
      </c>
      <c r="CY185" s="59">
        <f ca="1">AVERAGE(OFFSET($CX$3,0,0,'Données projet'!$E$13+1,1))-AVERAGE(OFFSET($H$3,0,0,'Données projet'!$E$13+1,1))</f>
        <v>279.49721661620544</v>
      </c>
      <c r="CZ185" s="59">
        <f t="shared" si="150"/>
        <v>275.18739333988754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5.9399836920321398</v>
      </c>
      <c r="DG185" s="21">
        <f>EXP(-LN(2)/25)*DG184+(1-EXP(-LN(2)/25))/(LN(2)/25)*Calculateur!DB185*Calculateur!DD185*VLOOKUP('Données projet'!$B$13,Paramètres!$A$1:$I$89,3,0)*0.475*44/12</f>
        <v>0.44614925847754161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6.3861329505096815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-6.3550942286383367E-14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278.5296012747549</v>
      </c>
      <c r="T186" s="59">
        <f t="shared" si="142"/>
        <v>370.55343097937077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17.966339201429072</v>
      </c>
      <c r="AA186" s="21">
        <f>EXP(-LN(2)/25)*AA185+(1-EXP(-LN(2)/25))/(LN(2)/25)*Calculateur!V186*Calculateur!X186*VLOOKUP('Données projet'!$B$9,Paramètres!$A$1:$I$89,3,0)*0.475*44/12</f>
        <v>1.6565586273251018</v>
      </c>
      <c r="AB186" s="21">
        <f>EXP(-LN(2)/2)*AB185+(1-EXP(-LN(2)/2))/(LN(2)/2)*V186*Y186*VLOOKUP('Données projet'!$B$9,Paramètres!$A$1:$I$89,3,0)*0.475*44/12</f>
        <v>1.8518880008098253E-18</v>
      </c>
      <c r="AC186" s="22">
        <f t="shared" si="163"/>
        <v>19.622897828754173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-6.2527760746888816E-13</v>
      </c>
      <c r="AJ186" s="13">
        <f>AI186*VLOOKUP('Données projet'!$B$10,Paramètres!$A$1:$I$89,3,0)*VLOOKUP('Données projet'!$B$10,Paramètres!$A$1:$I$89,5,0)</f>
        <v>-3.0075852919253523E-13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255.05550867459038</v>
      </c>
      <c r="AO186" s="59">
        <f t="shared" si="144"/>
        <v>119.28597757550295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79.555020274042477</v>
      </c>
      <c r="AV186" s="21">
        <f>EXP(-LN(2)/25)*AV185+(1-EXP(-LN(2)/25))/(LN(2)/25)*Calculateur!AQ186*Calculateur!AS186*VLOOKUP('Données projet'!$B$10,Paramètres!$A$1:$I$89,3,0)*0.475*44/12</f>
        <v>12.352170324745606</v>
      </c>
      <c r="AW186" s="21">
        <f>EXP(-LN(2)/2)*AW185+(1-EXP(-LN(2)/2))/(LN(2)/2)*AQ186*AT186*VLOOKUP('Données projet'!$B$10,Paramètres!$A$1:$I$89,3,0)*0.475*44/12</f>
        <v>1.5208796598405304E-6</v>
      </c>
      <c r="AX186" s="21">
        <f t="shared" si="166"/>
        <v>91.907192119667741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1.1368683772161603E-12</v>
      </c>
      <c r="BE186" s="13">
        <f>BD186*VLOOKUP('Données projet'!$B$11,Paramètres!$A$1:$I$89,3,0)*VLOOKUP('Données projet'!$B$11,Paramètres!$A$1:$I$89,5,0)</f>
        <v>5.3205440053716299E-13</v>
      </c>
      <c r="BF186" s="13">
        <f t="shared" si="167"/>
        <v>6.579711042921201E-12</v>
      </c>
      <c r="BG186" s="20">
        <f t="shared" si="168"/>
        <v>1.2386324814023317E-11</v>
      </c>
      <c r="BH186" s="59">
        <f t="shared" si="116"/>
        <v>293.33333333334571</v>
      </c>
      <c r="BI186" s="59">
        <f ca="1">AVERAGE(OFFSET($BH$3,0,0,'Données projet'!$E$11+1,1))-AVERAGE(OFFSET($H$3,0,0,'Données projet'!$E$11+1,1))</f>
        <v>181.79645720099597</v>
      </c>
      <c r="BJ186" s="59">
        <f t="shared" si="146"/>
        <v>120.20040029102233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52.05463079766853</v>
      </c>
      <c r="BQ186" s="21">
        <f>EXP(-LN(2)/25)*BQ185+(1-EXP(-LN(2)/25))/(LN(2)/25)*Calculateur!BL186*Calculateur!BN186*VLOOKUP('Données projet'!$B$11,Paramètres!$A$1:$I$89,3,0)*0.475*44/12</f>
        <v>8.2339903082198127</v>
      </c>
      <c r="BR186" s="21">
        <f>EXP(-LN(2)/2)*BR185+(1-EXP(-LN(2)/2))/(LN(2)/2)*BL186*BO186*VLOOKUP('Données projet'!$B$11,Paramètres!$A$1:$I$89,3,0)*0.475*44/12</f>
        <v>2.773726406906587E-7</v>
      </c>
      <c r="BS186" s="22">
        <f t="shared" si="169"/>
        <v>60.288621383260981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-3.979039320256561E-13</v>
      </c>
      <c r="BZ186" s="13">
        <f>BY186*VLOOKUP('Données projet'!$B$12,Paramètres!$A$1:$I$89,3,0)*VLOOKUP('Données projet'!$B$12,Paramètres!$A$1:$I$89,5,0)</f>
        <v>-2.379465513513424E-13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213.18424462765137</v>
      </c>
      <c r="CE186" s="59">
        <f t="shared" si="148"/>
        <v>158.77848520346532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18.499357765328842</v>
      </c>
      <c r="CL186" s="21">
        <f>EXP(-LN(2)/25)*CL185+(1-EXP(-LN(2)/25))/(LN(2)/25)*Calculateur!CG186*Calculateur!CI186*VLOOKUP('Données projet'!$B$12,Paramètres!$A$1:$I$89,3,0)*0.475*44/12</f>
        <v>1.9677265625886151</v>
      </c>
      <c r="CM186" s="21">
        <f>EXP(-LN(2)/2)*CM185+(1-EXP(-LN(2)/2))/(LN(2)/2)*CG186*CJ186*VLOOKUP('Données projet'!$B$12,Paramètres!$A$1:$I$89,3,0)*0.475*44/12</f>
        <v>1.135535552737483E-14</v>
      </c>
      <c r="CN186" s="22">
        <f t="shared" si="172"/>
        <v>20.467084327917469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319</v>
      </c>
      <c r="CU186" s="17">
        <f>CT186*VLOOKUP('Données projet'!$B$13,Paramètres!$A$1:$I$89,3,0)*VLOOKUP('Données projet'!$B$13,Paramètres!$A$1:$I$89,5,0)</f>
        <v>253.79640000000001</v>
      </c>
      <c r="CV186" s="13">
        <f t="shared" si="173"/>
        <v>61.39816832228076</v>
      </c>
      <c r="CW186" s="20">
        <f t="shared" si="174"/>
        <v>548.96387316130563</v>
      </c>
      <c r="CX186" s="59">
        <f t="shared" si="122"/>
        <v>842.29720649463889</v>
      </c>
      <c r="CY186" s="59">
        <f ca="1">AVERAGE(OFFSET($CX$3,0,0,'Données projet'!$E$13+1,1))-AVERAGE(OFFSET($H$3,0,0,'Données projet'!$E$13+1,1))</f>
        <v>279.49721661620544</v>
      </c>
      <c r="CZ186" s="59">
        <f t="shared" si="150"/>
        <v>275.18739333988754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5.8235042348636972</v>
      </c>
      <c r="DG186" s="21">
        <f>EXP(-LN(2)/25)*DG185+(1-EXP(-LN(2)/25))/(LN(2)/25)*Calculateur!DB186*Calculateur!DD186*VLOOKUP('Données projet'!$B$13,Paramètres!$A$1:$I$89,3,0)*0.475*44/12</f>
        <v>0.43394928354250339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6.2574535184062006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-6.3550942286383367E-14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278.5296012747549</v>
      </c>
      <c r="T187" s="59">
        <f t="shared" si="142"/>
        <v>370.55343097937077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17.614030248073909</v>
      </c>
      <c r="AA187" s="21">
        <f>EXP(-LN(2)/25)*AA186+(1-EXP(-LN(2)/25))/(LN(2)/25)*Calculateur!V187*Calculateur!X187*VLOOKUP('Données projet'!$B$9,Paramètres!$A$1:$I$89,3,0)*0.475*44/12</f>
        <v>1.6112599445462648</v>
      </c>
      <c r="AB187" s="21">
        <f>EXP(-LN(2)/2)*AB186+(1-EXP(-LN(2)/2))/(LN(2)/2)*V187*Y187*VLOOKUP('Données projet'!$B$9,Paramètres!$A$1:$I$89,3,0)*0.475*44/12</f>
        <v>1.3094825633706261E-18</v>
      </c>
      <c r="AC187" s="22">
        <f t="shared" si="163"/>
        <v>19.225290192620175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-6.2527760746888816E-13</v>
      </c>
      <c r="AJ187" s="13">
        <f>AI187*VLOOKUP('Données projet'!$B$10,Paramètres!$A$1:$I$89,3,0)*VLOOKUP('Données projet'!$B$10,Paramètres!$A$1:$I$89,5,0)</f>
        <v>-3.0075852919253523E-13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255.05550867459038</v>
      </c>
      <c r="AO187" s="59">
        <f t="shared" si="144"/>
        <v>119.28597757550295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77.99499485023955</v>
      </c>
      <c r="AV187" s="21">
        <f>EXP(-LN(2)/25)*AV186+(1-EXP(-LN(2)/25))/(LN(2)/25)*Calculateur!AQ187*Calculateur!AS187*VLOOKUP('Données projet'!$B$10,Paramètres!$A$1:$I$89,3,0)*0.475*44/12</f>
        <v>12.014399577643031</v>
      </c>
      <c r="AW187" s="21">
        <f>EXP(-LN(2)/2)*AW186+(1-EXP(-LN(2)/2))/(LN(2)/2)*AQ187*AT187*VLOOKUP('Données projet'!$B$10,Paramètres!$A$1:$I$89,3,0)*0.475*44/12</f>
        <v>1.0754243208419288E-6</v>
      </c>
      <c r="AX187" s="21">
        <f t="shared" si="166"/>
        <v>90.009395503306905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1.1368683772161603E-12</v>
      </c>
      <c r="BE187" s="13">
        <f>BD187*VLOOKUP('Données projet'!$B$11,Paramètres!$A$1:$I$89,3,0)*VLOOKUP('Données projet'!$B$11,Paramètres!$A$1:$I$89,5,0)</f>
        <v>5.3205440053716299E-13</v>
      </c>
      <c r="BF187" s="13">
        <f t="shared" si="167"/>
        <v>6.579711042921201E-12</v>
      </c>
      <c r="BG187" s="20">
        <f t="shared" si="168"/>
        <v>1.2386324814023317E-11</v>
      </c>
      <c r="BH187" s="59">
        <f t="shared" si="116"/>
        <v>293.33333333334571</v>
      </c>
      <c r="BI187" s="59">
        <f ca="1">AVERAGE(OFFSET($BH$3,0,0,'Données projet'!$E$11+1,1))-AVERAGE(OFFSET($H$3,0,0,'Données projet'!$E$11+1,1))</f>
        <v>181.79645720099597</v>
      </c>
      <c r="BJ187" s="59">
        <f t="shared" si="146"/>
        <v>120.20040029102233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51.033871237915967</v>
      </c>
      <c r="BQ187" s="21">
        <f>EXP(-LN(2)/25)*BQ186+(1-EXP(-LN(2)/25))/(LN(2)/25)*Calculateur!BL187*Calculateur!BN187*VLOOKUP('Données projet'!$B$11,Paramètres!$A$1:$I$89,3,0)*0.475*44/12</f>
        <v>8.0088314102348104</v>
      </c>
      <c r="BR187" s="21">
        <f>EXP(-LN(2)/2)*BR186+(1-EXP(-LN(2)/2))/(LN(2)/2)*BL187*BO187*VLOOKUP('Données projet'!$B$11,Paramètres!$A$1:$I$89,3,0)*0.475*44/12</f>
        <v>1.9613207514798447E-7</v>
      </c>
      <c r="BS187" s="22">
        <f t="shared" si="169"/>
        <v>59.042702844282857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-3.979039320256561E-13</v>
      </c>
      <c r="BZ187" s="13">
        <f>BY187*VLOOKUP('Données projet'!$B$12,Paramètres!$A$1:$I$89,3,0)*VLOOKUP('Données projet'!$B$12,Paramètres!$A$1:$I$89,5,0)</f>
        <v>-2.379465513513424E-13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213.18424462765137</v>
      </c>
      <c r="CE187" s="59">
        <f t="shared" si="148"/>
        <v>158.77848520346532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18.136596643044829</v>
      </c>
      <c r="CL187" s="21">
        <f>EXP(-LN(2)/25)*CL186+(1-EXP(-LN(2)/25))/(LN(2)/25)*Calculateur!CG187*Calculateur!CI187*VLOOKUP('Données projet'!$B$12,Paramètres!$A$1:$I$89,3,0)*0.475*44/12</f>
        <v>1.9139189762563869</v>
      </c>
      <c r="CM187" s="21">
        <f>EXP(-LN(2)/2)*CM186+(1-EXP(-LN(2)/2))/(LN(2)/2)*CG187*CJ187*VLOOKUP('Données projet'!$B$12,Paramètres!$A$1:$I$89,3,0)*0.475*44/12</f>
        <v>8.0294488961908871E-15</v>
      </c>
      <c r="CN187" s="22">
        <f t="shared" si="172"/>
        <v>20.050515619301223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319</v>
      </c>
      <c r="CU187" s="17">
        <f>CT187*VLOOKUP('Données projet'!$B$13,Paramètres!$A$1:$I$89,3,0)*VLOOKUP('Données projet'!$B$13,Paramètres!$A$1:$I$89,5,0)</f>
        <v>253.79640000000001</v>
      </c>
      <c r="CV187" s="13">
        <f t="shared" si="173"/>
        <v>61.39816832228076</v>
      </c>
      <c r="CW187" s="20">
        <f t="shared" si="174"/>
        <v>548.96387316130563</v>
      </c>
      <c r="CX187" s="59">
        <f t="shared" si="122"/>
        <v>842.29720649463889</v>
      </c>
      <c r="CY187" s="59">
        <f ca="1">AVERAGE(OFFSET($CX$3,0,0,'Données projet'!$E$13+1,1))-AVERAGE(OFFSET($H$3,0,0,'Données projet'!$E$13+1,1))</f>
        <v>279.49721661620544</v>
      </c>
      <c r="CZ187" s="59">
        <f t="shared" si="150"/>
        <v>275.18739333988754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5.7093088688048734</v>
      </c>
      <c r="DG187" s="21">
        <f>EXP(-LN(2)/25)*DG186+(1-EXP(-LN(2)/25))/(LN(2)/25)*Calculateur!DB187*Calculateur!DD187*VLOOKUP('Données projet'!$B$13,Paramètres!$A$1:$I$89,3,0)*0.475*44/12</f>
        <v>0.42208291756363264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6.1313917863685061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-6.3550942286383367E-14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278.5296012747549</v>
      </c>
      <c r="T188" s="59">
        <f t="shared" si="142"/>
        <v>370.55343097937077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17.268629858406801</v>
      </c>
      <c r="AA188" s="21">
        <f>EXP(-LN(2)/25)*AA187+(1-EXP(-LN(2)/25))/(LN(2)/25)*Calculateur!V188*Calculateur!X188*VLOOKUP('Données projet'!$B$9,Paramètres!$A$1:$I$89,3,0)*0.475*44/12</f>
        <v>1.5671999566301693</v>
      </c>
      <c r="AB188" s="21">
        <f>EXP(-LN(2)/2)*AB187+(1-EXP(-LN(2)/2))/(LN(2)/2)*V188*Y188*VLOOKUP('Données projet'!$B$9,Paramètres!$A$1:$I$89,3,0)*0.475*44/12</f>
        <v>9.2594400040491263E-19</v>
      </c>
      <c r="AC188" s="22">
        <f t="shared" si="163"/>
        <v>18.83582981503697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-6.2527760746888816E-13</v>
      </c>
      <c r="AJ188" s="13">
        <f>AI188*VLOOKUP('Données projet'!$B$10,Paramètres!$A$1:$I$89,3,0)*VLOOKUP('Données projet'!$B$10,Paramètres!$A$1:$I$89,5,0)</f>
        <v>-3.0075852919253523E-13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255.05550867459038</v>
      </c>
      <c r="AO188" s="59">
        <f t="shared" si="144"/>
        <v>119.28597757550295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76.465560573475841</v>
      </c>
      <c r="AV188" s="21">
        <f>EXP(-LN(2)/25)*AV187+(1-EXP(-LN(2)/25))/(LN(2)/25)*Calculateur!AQ188*Calculateur!AS188*VLOOKUP('Données projet'!$B$10,Paramètres!$A$1:$I$89,3,0)*0.475*44/12</f>
        <v>11.685865189382568</v>
      </c>
      <c r="AW188" s="21">
        <f>EXP(-LN(2)/2)*AW187+(1-EXP(-LN(2)/2))/(LN(2)/2)*AQ188*AT188*VLOOKUP('Données projet'!$B$10,Paramètres!$A$1:$I$89,3,0)*0.475*44/12</f>
        <v>7.6043982992026521E-7</v>
      </c>
      <c r="AX188" s="21">
        <f t="shared" si="166"/>
        <v>88.151426523298241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1.1368683772161603E-12</v>
      </c>
      <c r="BE188" s="13">
        <f>BD188*VLOOKUP('Données projet'!$B$11,Paramètres!$A$1:$I$89,3,0)*VLOOKUP('Données projet'!$B$11,Paramètres!$A$1:$I$89,5,0)</f>
        <v>5.3205440053716299E-13</v>
      </c>
      <c r="BF188" s="13">
        <f t="shared" si="167"/>
        <v>6.579711042921201E-12</v>
      </c>
      <c r="BG188" s="20">
        <f t="shared" si="168"/>
        <v>1.2386324814023317E-11</v>
      </c>
      <c r="BH188" s="59">
        <f t="shared" si="116"/>
        <v>293.33333333334571</v>
      </c>
      <c r="BI188" s="59">
        <f ca="1">AVERAGE(OFFSET($BH$3,0,0,'Données projet'!$E$11+1,1))-AVERAGE(OFFSET($H$3,0,0,'Données projet'!$E$11+1,1))</f>
        <v>181.79645720099597</v>
      </c>
      <c r="BJ188" s="59">
        <f t="shared" si="146"/>
        <v>120.20040029102233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50.033128150528299</v>
      </c>
      <c r="BQ188" s="21">
        <f>EXP(-LN(2)/25)*BQ187+(1-EXP(-LN(2)/25))/(LN(2)/25)*Calculateur!BL188*Calculateur!BN188*VLOOKUP('Données projet'!$B$11,Paramètres!$A$1:$I$89,3,0)*0.475*44/12</f>
        <v>7.7898294941557999</v>
      </c>
      <c r="BR188" s="21">
        <f>EXP(-LN(2)/2)*BR187+(1-EXP(-LN(2)/2))/(LN(2)/2)*BL188*BO188*VLOOKUP('Données projet'!$B$11,Paramètres!$A$1:$I$89,3,0)*0.475*44/12</f>
        <v>1.3868632034532935E-7</v>
      </c>
      <c r="BS188" s="22">
        <f t="shared" si="169"/>
        <v>57.822957783370413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-3.979039320256561E-13</v>
      </c>
      <c r="BZ188" s="13">
        <f>BY188*VLOOKUP('Données projet'!$B$12,Paramètres!$A$1:$I$89,3,0)*VLOOKUP('Données projet'!$B$12,Paramètres!$A$1:$I$89,5,0)</f>
        <v>-2.379465513513424E-13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213.18424462765137</v>
      </c>
      <c r="CE188" s="59">
        <f t="shared" si="148"/>
        <v>158.77848520346532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17.780949045106368</v>
      </c>
      <c r="CL188" s="21">
        <f>EXP(-LN(2)/25)*CL187+(1-EXP(-LN(2)/25))/(LN(2)/25)*Calculateur!CG188*Calculateur!CI188*VLOOKUP('Données projet'!$B$12,Paramètres!$A$1:$I$89,3,0)*0.475*44/12</f>
        <v>1.8615827612020313</v>
      </c>
      <c r="CM188" s="21">
        <f>EXP(-LN(2)/2)*CM187+(1-EXP(-LN(2)/2))/(LN(2)/2)*CG188*CJ188*VLOOKUP('Données projet'!$B$12,Paramètres!$A$1:$I$89,3,0)*0.475*44/12</f>
        <v>5.6776777636874151E-15</v>
      </c>
      <c r="CN188" s="22">
        <f t="shared" si="172"/>
        <v>19.642531806308405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319</v>
      </c>
      <c r="CU188" s="17">
        <f>CT188*VLOOKUP('Données projet'!$B$13,Paramètres!$A$1:$I$89,3,0)*VLOOKUP('Données projet'!$B$13,Paramètres!$A$1:$I$89,5,0)</f>
        <v>253.79640000000001</v>
      </c>
      <c r="CV188" s="13">
        <f t="shared" si="173"/>
        <v>61.39816832228076</v>
      </c>
      <c r="CW188" s="20">
        <f t="shared" si="174"/>
        <v>548.96387316130563</v>
      </c>
      <c r="CX188" s="59">
        <f t="shared" si="122"/>
        <v>842.29720649463889</v>
      </c>
      <c r="CY188" s="59">
        <f ca="1">AVERAGE(OFFSET($CX$3,0,0,'Données projet'!$E$13+1,1))-AVERAGE(OFFSET($H$3,0,0,'Données projet'!$E$13+1,1))</f>
        <v>279.49721661620544</v>
      </c>
      <c r="CZ188" s="59">
        <f t="shared" si="150"/>
        <v>275.18739333988754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5.5973528042221679</v>
      </c>
      <c r="DG188" s="21">
        <f>EXP(-LN(2)/25)*DG187+(1-EXP(-LN(2)/25))/(LN(2)/25)*Calculateur!DB188*Calculateur!DD188*VLOOKUP('Données projet'!$B$13,Paramètres!$A$1:$I$89,3,0)*0.475*44/12</f>
        <v>0.41054103798647917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6.007893842208647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-6.3550942286383367E-14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278.5296012747549</v>
      </c>
      <c r="T189" s="59">
        <f t="shared" si="142"/>
        <v>370.55343097937077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16.930002559707628</v>
      </c>
      <c r="AA189" s="21">
        <f>EXP(-LN(2)/25)*AA188+(1-EXP(-LN(2)/25))/(LN(2)/25)*Calculateur!V189*Calculateur!X189*VLOOKUP('Données projet'!$B$9,Paramètres!$A$1:$I$89,3,0)*0.475*44/12</f>
        <v>1.5243447914006536</v>
      </c>
      <c r="AB189" s="21">
        <f>EXP(-LN(2)/2)*AB188+(1-EXP(-LN(2)/2))/(LN(2)/2)*V189*Y189*VLOOKUP('Données projet'!$B$9,Paramètres!$A$1:$I$89,3,0)*0.475*44/12</f>
        <v>6.5474128168531303E-19</v>
      </c>
      <c r="AC189" s="22">
        <f t="shared" si="163"/>
        <v>18.454347351108282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-6.2527760746888816E-13</v>
      </c>
      <c r="AJ189" s="13">
        <f>AI189*VLOOKUP('Données projet'!$B$10,Paramètres!$A$1:$I$89,3,0)*VLOOKUP('Données projet'!$B$10,Paramètres!$A$1:$I$89,5,0)</f>
        <v>-3.0075852919253523E-13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255.05550867459038</v>
      </c>
      <c r="AO189" s="59">
        <f t="shared" si="144"/>
        <v>119.28597757550295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74.966117570016678</v>
      </c>
      <c r="AV189" s="21">
        <f>EXP(-LN(2)/25)*AV188+(1-EXP(-LN(2)/25))/(LN(2)/25)*Calculateur!AQ189*Calculateur!AS189*VLOOKUP('Données projet'!$B$10,Paramètres!$A$1:$I$89,3,0)*0.475*44/12</f>
        <v>11.36631459124596</v>
      </c>
      <c r="AW189" s="21">
        <f>EXP(-LN(2)/2)*AW188+(1-EXP(-LN(2)/2))/(LN(2)/2)*AQ189*AT189*VLOOKUP('Données projet'!$B$10,Paramètres!$A$1:$I$89,3,0)*0.475*44/12</f>
        <v>5.3771216042096438E-7</v>
      </c>
      <c r="AX189" s="21">
        <f t="shared" si="166"/>
        <v>86.332432698974785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1.1368683772161603E-12</v>
      </c>
      <c r="BE189" s="13">
        <f>BD189*VLOOKUP('Données projet'!$B$11,Paramètres!$A$1:$I$89,3,0)*VLOOKUP('Données projet'!$B$11,Paramètres!$A$1:$I$89,5,0)</f>
        <v>5.3205440053716299E-13</v>
      </c>
      <c r="BF189" s="13">
        <f t="shared" si="167"/>
        <v>6.579711042921201E-12</v>
      </c>
      <c r="BG189" s="20">
        <f t="shared" si="168"/>
        <v>1.2386324814023317E-11</v>
      </c>
      <c r="BH189" s="59">
        <f t="shared" si="116"/>
        <v>293.33333333334571</v>
      </c>
      <c r="BI189" s="59">
        <f ca="1">AVERAGE(OFFSET($BH$3,0,0,'Données projet'!$E$11+1,1))-AVERAGE(OFFSET($H$3,0,0,'Données projet'!$E$11+1,1))</f>
        <v>181.79645720099597</v>
      </c>
      <c r="BJ189" s="59">
        <f t="shared" si="146"/>
        <v>120.20040029102233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49.052009024691287</v>
      </c>
      <c r="BQ189" s="21">
        <f>EXP(-LN(2)/25)*BQ188+(1-EXP(-LN(2)/25))/(LN(2)/25)*Calculateur!BL189*Calculateur!BN189*VLOOKUP('Données projet'!$B$11,Paramètres!$A$1:$I$89,3,0)*0.475*44/12</f>
        <v>7.5768161969887808</v>
      </c>
      <c r="BR189" s="21">
        <f>EXP(-LN(2)/2)*BR188+(1-EXP(-LN(2)/2))/(LN(2)/2)*BL189*BO189*VLOOKUP('Données projet'!$B$11,Paramètres!$A$1:$I$89,3,0)*0.475*44/12</f>
        <v>9.8066037573992235E-8</v>
      </c>
      <c r="BS189" s="22">
        <f t="shared" si="169"/>
        <v>56.628825319746106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-3.979039320256561E-13</v>
      </c>
      <c r="BZ189" s="13">
        <f>BY189*VLOOKUP('Données projet'!$B$12,Paramètres!$A$1:$I$89,3,0)*VLOOKUP('Données projet'!$B$12,Paramètres!$A$1:$I$89,5,0)</f>
        <v>-2.379465513513424E-13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213.18424462765137</v>
      </c>
      <c r="CE189" s="59">
        <f t="shared" si="148"/>
        <v>158.77848520346532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17.432275479639866</v>
      </c>
      <c r="CL189" s="21">
        <f>EXP(-LN(2)/25)*CL188+(1-EXP(-LN(2)/25))/(LN(2)/25)*Calculateur!CG189*Calculateur!CI189*VLOOKUP('Données projet'!$B$12,Paramètres!$A$1:$I$89,3,0)*0.475*44/12</f>
        <v>1.810677682700579</v>
      </c>
      <c r="CM189" s="21">
        <f>EXP(-LN(2)/2)*CM188+(1-EXP(-LN(2)/2))/(LN(2)/2)*CG189*CJ189*VLOOKUP('Données projet'!$B$12,Paramètres!$A$1:$I$89,3,0)*0.475*44/12</f>
        <v>4.0147244480954435E-15</v>
      </c>
      <c r="CN189" s="22">
        <f t="shared" si="172"/>
        <v>19.242953162340449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319</v>
      </c>
      <c r="CU189" s="17">
        <f>CT189*VLOOKUP('Données projet'!$B$13,Paramètres!$A$1:$I$89,3,0)*VLOOKUP('Données projet'!$B$13,Paramètres!$A$1:$I$89,5,0)</f>
        <v>253.79640000000001</v>
      </c>
      <c r="CV189" s="13">
        <f t="shared" si="173"/>
        <v>61.39816832228076</v>
      </c>
      <c r="CW189" s="20">
        <f t="shared" si="174"/>
        <v>548.96387316130563</v>
      </c>
      <c r="CX189" s="59">
        <f t="shared" si="122"/>
        <v>842.29720649463889</v>
      </c>
      <c r="CY189" s="59">
        <f ca="1">AVERAGE(OFFSET($CX$3,0,0,'Données projet'!$E$13+1,1))-AVERAGE(OFFSET($H$3,0,0,'Données projet'!$E$13+1,1))</f>
        <v>279.49721661620544</v>
      </c>
      <c r="CZ189" s="59">
        <f t="shared" si="150"/>
        <v>275.18739333988754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5.4875921297794727</v>
      </c>
      <c r="DG189" s="21">
        <f>EXP(-LN(2)/25)*DG188+(1-EXP(-LN(2)/25))/(LN(2)/25)*Calculateur!DB189*Calculateur!DD189*VLOOKUP('Données projet'!$B$13,Paramètres!$A$1:$I$89,3,0)*0.475*44/12</f>
        <v>0.39931477171332402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5.8869069014927966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-6.3550942286383367E-14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278.5296012747549</v>
      </c>
      <c r="T190" s="59">
        <f t="shared" si="142"/>
        <v>370.55343097937077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16.598015535793689</v>
      </c>
      <c r="AA190" s="21">
        <f>EXP(-LN(2)/25)*AA189+(1-EXP(-LN(2)/25))/(LN(2)/25)*Calculateur!V190*Calculateur!X190*VLOOKUP('Données projet'!$B$9,Paramètres!$A$1:$I$89,3,0)*0.475*44/12</f>
        <v>1.4826615029179941</v>
      </c>
      <c r="AB190" s="21">
        <f>EXP(-LN(2)/2)*AB189+(1-EXP(-LN(2)/2))/(LN(2)/2)*V190*Y190*VLOOKUP('Données projet'!$B$9,Paramètres!$A$1:$I$89,3,0)*0.475*44/12</f>
        <v>4.6297200020245631E-19</v>
      </c>
      <c r="AC190" s="22">
        <f t="shared" si="163"/>
        <v>18.080677038711684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-6.2527760746888816E-13</v>
      </c>
      <c r="AJ190" s="13">
        <f>AI190*VLOOKUP('Données projet'!$B$10,Paramètres!$A$1:$I$89,3,0)*VLOOKUP('Données projet'!$B$10,Paramètres!$A$1:$I$89,5,0)</f>
        <v>-3.0075852919253523E-13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255.05550867459038</v>
      </c>
      <c r="AO190" s="59">
        <f t="shared" si="144"/>
        <v>119.28597757550295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73.496077729285417</v>
      </c>
      <c r="AV190" s="21">
        <f>EXP(-LN(2)/25)*AV189+(1-EXP(-LN(2)/25))/(LN(2)/25)*Calculateur!AQ190*Calculateur!AS190*VLOOKUP('Données projet'!$B$10,Paramètres!$A$1:$I$89,3,0)*0.475*44/12</f>
        <v>11.055502121019833</v>
      </c>
      <c r="AW190" s="21">
        <f>EXP(-LN(2)/2)*AW189+(1-EXP(-LN(2)/2))/(LN(2)/2)*AQ190*AT190*VLOOKUP('Données projet'!$B$10,Paramètres!$A$1:$I$89,3,0)*0.475*44/12</f>
        <v>3.802199149601326E-7</v>
      </c>
      <c r="AX190" s="21">
        <f t="shared" si="166"/>
        <v>84.551580230525161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1.1368683772161603E-12</v>
      </c>
      <c r="BE190" s="13">
        <f>BD190*VLOOKUP('Données projet'!$B$11,Paramètres!$A$1:$I$89,3,0)*VLOOKUP('Données projet'!$B$11,Paramètres!$A$1:$I$89,5,0)</f>
        <v>5.3205440053716299E-13</v>
      </c>
      <c r="BF190" s="13">
        <f t="shared" si="167"/>
        <v>6.579711042921201E-12</v>
      </c>
      <c r="BG190" s="20">
        <f t="shared" si="168"/>
        <v>1.2386324814023317E-11</v>
      </c>
      <c r="BH190" s="59">
        <f t="shared" si="116"/>
        <v>293.33333333334571</v>
      </c>
      <c r="BI190" s="59">
        <f ca="1">AVERAGE(OFFSET($BH$3,0,0,'Données projet'!$E$11+1,1))-AVERAGE(OFFSET($H$3,0,0,'Données projet'!$E$11+1,1))</f>
        <v>181.79645720099597</v>
      </c>
      <c r="BJ190" s="59">
        <f t="shared" si="146"/>
        <v>120.20040029102233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48.090129046488364</v>
      </c>
      <c r="BQ190" s="21">
        <f>EXP(-LN(2)/25)*BQ189+(1-EXP(-LN(2)/25))/(LN(2)/25)*Calculateur!BL190*Calculateur!BN190*VLOOKUP('Données projet'!$B$11,Paramètres!$A$1:$I$89,3,0)*0.475*44/12</f>
        <v>7.3696277596346755</v>
      </c>
      <c r="BR190" s="21">
        <f>EXP(-LN(2)/2)*BR189+(1-EXP(-LN(2)/2))/(LN(2)/2)*BL190*BO190*VLOOKUP('Données projet'!$B$11,Paramètres!$A$1:$I$89,3,0)*0.475*44/12</f>
        <v>6.9343160172664674E-8</v>
      </c>
      <c r="BS190" s="22">
        <f t="shared" si="169"/>
        <v>55.459756875466198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-3.979039320256561E-13</v>
      </c>
      <c r="BZ190" s="13">
        <f>BY190*VLOOKUP('Données projet'!$B$12,Paramètres!$A$1:$I$89,3,0)*VLOOKUP('Données projet'!$B$12,Paramètres!$A$1:$I$89,5,0)</f>
        <v>-2.379465513513424E-13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213.18424462765137</v>
      </c>
      <c r="CE190" s="59">
        <f t="shared" si="148"/>
        <v>158.77848520346532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17.090439190122286</v>
      </c>
      <c r="CL190" s="21">
        <f>EXP(-LN(2)/25)*CL189+(1-EXP(-LN(2)/25))/(LN(2)/25)*Calculateur!CG190*Calculateur!CI190*VLOOKUP('Données projet'!$B$12,Paramètres!$A$1:$I$89,3,0)*0.475*44/12</f>
        <v>1.7611646062477306</v>
      </c>
      <c r="CM190" s="21">
        <f>EXP(-LN(2)/2)*CM189+(1-EXP(-LN(2)/2))/(LN(2)/2)*CG190*CJ190*VLOOKUP('Données projet'!$B$12,Paramètres!$A$1:$I$89,3,0)*0.475*44/12</f>
        <v>2.8388388818437076E-15</v>
      </c>
      <c r="CN190" s="22">
        <f t="shared" si="172"/>
        <v>18.851603796370021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319</v>
      </c>
      <c r="CU190" s="17">
        <f>CT190*VLOOKUP('Données projet'!$B$13,Paramètres!$A$1:$I$89,3,0)*VLOOKUP('Données projet'!$B$13,Paramètres!$A$1:$I$89,5,0)</f>
        <v>253.79640000000001</v>
      </c>
      <c r="CV190" s="13">
        <f t="shared" si="173"/>
        <v>61.39816832228076</v>
      </c>
      <c r="CW190" s="20">
        <f t="shared" si="174"/>
        <v>548.96387316130563</v>
      </c>
      <c r="CX190" s="59">
        <f t="shared" si="122"/>
        <v>842.29720649463889</v>
      </c>
      <c r="CY190" s="59">
        <f ca="1">AVERAGE(OFFSET($CX$3,0,0,'Données projet'!$E$13+1,1))-AVERAGE(OFFSET($H$3,0,0,'Données projet'!$E$13+1,1))</f>
        <v>279.49721661620544</v>
      </c>
      <c r="CZ190" s="59">
        <f t="shared" si="150"/>
        <v>275.18739333988754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5.3799837952151979</v>
      </c>
      <c r="DG190" s="21">
        <f>EXP(-LN(2)/25)*DG189+(1-EXP(-LN(2)/25))/(LN(2)/25)*Calculateur!DB190*Calculateur!DD190*VLOOKUP('Données projet'!$B$13,Paramètres!$A$1:$I$89,3,0)*0.475*44/12</f>
        <v>0.38839548828177201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5.7683792834969703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-6.3550942286383367E-14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278.5296012747549</v>
      </c>
      <c r="T191" s="59">
        <f t="shared" si="142"/>
        <v>370.55343097937077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16.27253857492661</v>
      </c>
      <c r="AA191" s="21">
        <f>EXP(-LN(2)/25)*AA190+(1-EXP(-LN(2)/25))/(LN(2)/25)*Calculateur!V191*Calculateur!X191*VLOOKUP('Données projet'!$B$9,Paramètres!$A$1:$I$89,3,0)*0.475*44/12</f>
        <v>1.4421180461509218</v>
      </c>
      <c r="AB191" s="21">
        <f>EXP(-LN(2)/2)*AB190+(1-EXP(-LN(2)/2))/(LN(2)/2)*V191*Y191*VLOOKUP('Données projet'!$B$9,Paramètres!$A$1:$I$89,3,0)*0.475*44/12</f>
        <v>3.2737064084265651E-19</v>
      </c>
      <c r="AC191" s="22">
        <f t="shared" si="163"/>
        <v>17.71465662107753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-6.2527760746888816E-13</v>
      </c>
      <c r="AJ191" s="13">
        <f>AI191*VLOOKUP('Données projet'!$B$10,Paramètres!$A$1:$I$89,3,0)*VLOOKUP('Données projet'!$B$10,Paramètres!$A$1:$I$89,5,0)</f>
        <v>-3.0075852919253523E-13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255.05550867459038</v>
      </c>
      <c r="AO191" s="59">
        <f t="shared" si="144"/>
        <v>119.28597757550295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72.054864473195124</v>
      </c>
      <c r="AV191" s="21">
        <f>EXP(-LN(2)/25)*AV190+(1-EXP(-LN(2)/25))/(LN(2)/25)*Calculateur!AQ191*Calculateur!AS191*VLOOKUP('Données projet'!$B$10,Paramètres!$A$1:$I$89,3,0)*0.475*44/12</f>
        <v>10.753188834136957</v>
      </c>
      <c r="AW191" s="21">
        <f>EXP(-LN(2)/2)*AW190+(1-EXP(-LN(2)/2))/(LN(2)/2)*AQ191*AT191*VLOOKUP('Données projet'!$B$10,Paramètres!$A$1:$I$89,3,0)*0.475*44/12</f>
        <v>2.6885608021048219E-7</v>
      </c>
      <c r="AX191" s="21">
        <f t="shared" si="166"/>
        <v>82.808053576188158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1.1368683772161603E-12</v>
      </c>
      <c r="BE191" s="13">
        <f>BD191*VLOOKUP('Données projet'!$B$11,Paramètres!$A$1:$I$89,3,0)*VLOOKUP('Données projet'!$B$11,Paramètres!$A$1:$I$89,5,0)</f>
        <v>5.3205440053716299E-13</v>
      </c>
      <c r="BF191" s="13">
        <f t="shared" si="167"/>
        <v>6.579711042921201E-12</v>
      </c>
      <c r="BG191" s="20">
        <f t="shared" si="168"/>
        <v>1.2386324814023317E-11</v>
      </c>
      <c r="BH191" s="59">
        <f t="shared" si="116"/>
        <v>293.33333333334571</v>
      </c>
      <c r="BI191" s="59">
        <f ca="1">AVERAGE(OFFSET($BH$3,0,0,'Données projet'!$E$11+1,1))-AVERAGE(OFFSET($H$3,0,0,'Données projet'!$E$11+1,1))</f>
        <v>181.79645720099597</v>
      </c>
      <c r="BJ191" s="59">
        <f t="shared" si="146"/>
        <v>120.20040029102233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47.147110947969146</v>
      </c>
      <c r="BQ191" s="21">
        <f>EXP(-LN(2)/25)*BQ190+(1-EXP(-LN(2)/25))/(LN(2)/25)*Calculateur!BL191*Calculateur!BN191*VLOOKUP('Données projet'!$B$11,Paramètres!$A$1:$I$89,3,0)*0.475*44/12</f>
        <v>7.1681049009955853</v>
      </c>
      <c r="BR191" s="21">
        <f>EXP(-LN(2)/2)*BR190+(1-EXP(-LN(2)/2))/(LN(2)/2)*BL191*BO191*VLOOKUP('Données projet'!$B$11,Paramètres!$A$1:$I$89,3,0)*0.475*44/12</f>
        <v>4.9033018786996118E-8</v>
      </c>
      <c r="BS191" s="22">
        <f t="shared" si="169"/>
        <v>54.315215897997753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-3.979039320256561E-13</v>
      </c>
      <c r="BZ191" s="13">
        <f>BY191*VLOOKUP('Données projet'!$B$12,Paramètres!$A$1:$I$89,3,0)*VLOOKUP('Données projet'!$B$12,Paramètres!$A$1:$I$89,5,0)</f>
        <v>-2.379465513513424E-13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213.18424462765137</v>
      </c>
      <c r="CE191" s="59">
        <f t="shared" si="148"/>
        <v>158.77848520346532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16.755306101742594</v>
      </c>
      <c r="CL191" s="21">
        <f>EXP(-LN(2)/25)*CL190+(1-EXP(-LN(2)/25))/(LN(2)/25)*Calculateur!CG191*Calculateur!CI191*VLOOKUP('Données projet'!$B$12,Paramètres!$A$1:$I$89,3,0)*0.475*44/12</f>
        <v>1.713005467474265</v>
      </c>
      <c r="CM191" s="21">
        <f>EXP(-LN(2)/2)*CM190+(1-EXP(-LN(2)/2))/(LN(2)/2)*CG191*CJ191*VLOOKUP('Données projet'!$B$12,Paramètres!$A$1:$I$89,3,0)*0.475*44/12</f>
        <v>2.0073622240477218E-15</v>
      </c>
      <c r="CN191" s="22">
        <f t="shared" si="172"/>
        <v>18.468311569216862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319</v>
      </c>
      <c r="CU191" s="17">
        <f>CT191*VLOOKUP('Données projet'!$B$13,Paramètres!$A$1:$I$89,3,0)*VLOOKUP('Données projet'!$B$13,Paramètres!$A$1:$I$89,5,0)</f>
        <v>253.79640000000001</v>
      </c>
      <c r="CV191" s="13">
        <f t="shared" si="173"/>
        <v>61.39816832228076</v>
      </c>
      <c r="CW191" s="20">
        <f t="shared" si="174"/>
        <v>548.96387316130563</v>
      </c>
      <c r="CX191" s="59">
        <f t="shared" si="122"/>
        <v>842.29720649463889</v>
      </c>
      <c r="CY191" s="59">
        <f ca="1">AVERAGE(OFFSET($CX$3,0,0,'Données projet'!$E$13+1,1))-AVERAGE(OFFSET($H$3,0,0,'Données projet'!$E$13+1,1))</f>
        <v>279.49721661620544</v>
      </c>
      <c r="CZ191" s="59">
        <f t="shared" si="150"/>
        <v>275.18739333988754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5.2744855944571247</v>
      </c>
      <c r="DG191" s="21">
        <f>EXP(-LN(2)/25)*DG190+(1-EXP(-LN(2)/25))/(LN(2)/25)*Calculateur!DB191*Calculateur!DD191*VLOOKUP('Données projet'!$B$13,Paramètres!$A$1:$I$89,3,0)*0.475*44/12</f>
        <v>0.37777479322987589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5.6522603876870008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-6.3550942286383367E-14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278.5296012747549</v>
      </c>
      <c r="T192" s="59">
        <f t="shared" si="142"/>
        <v>370.55343097937077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15.953444018740791</v>
      </c>
      <c r="AA192" s="21">
        <f>EXP(-LN(2)/25)*AA191+(1-EXP(-LN(2)/25))/(LN(2)/25)*Calculateur!V192*Calculateur!X192*VLOOKUP('Données projet'!$B$9,Paramètres!$A$1:$I$89,3,0)*0.475*44/12</f>
        <v>1.4026832523412327</v>
      </c>
      <c r="AB192" s="21">
        <f>EXP(-LN(2)/2)*AB191+(1-EXP(-LN(2)/2))/(LN(2)/2)*V192*Y192*VLOOKUP('Données projet'!$B$9,Paramètres!$A$1:$I$89,3,0)*0.475*44/12</f>
        <v>2.3148600010122816E-19</v>
      </c>
      <c r="AC192" s="22">
        <f t="shared" si="163"/>
        <v>17.356127271082023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-6.2527760746888816E-13</v>
      </c>
      <c r="AJ192" s="13">
        <f>AI192*VLOOKUP('Données projet'!$B$10,Paramètres!$A$1:$I$89,3,0)*VLOOKUP('Données projet'!$B$10,Paramètres!$A$1:$I$89,5,0)</f>
        <v>-3.0075852919253523E-13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255.05550867459038</v>
      </c>
      <c r="AO192" s="59">
        <f t="shared" si="144"/>
        <v>119.28597757550295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70.641912530003481</v>
      </c>
      <c r="AV192" s="21">
        <f>EXP(-LN(2)/25)*AV191+(1-EXP(-LN(2)/25))/(LN(2)/25)*Calculateur!AQ192*Calculateur!AS192*VLOOKUP('Données projet'!$B$10,Paramètres!$A$1:$I$89,3,0)*0.475*44/12</f>
        <v>10.459142319981858</v>
      </c>
      <c r="AW192" s="21">
        <f>EXP(-LN(2)/2)*AW191+(1-EXP(-LN(2)/2))/(LN(2)/2)*AQ192*AT192*VLOOKUP('Données projet'!$B$10,Paramètres!$A$1:$I$89,3,0)*0.475*44/12</f>
        <v>1.901099574800663E-7</v>
      </c>
      <c r="AX192" s="21">
        <f t="shared" si="166"/>
        <v>81.101055040095289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1.1368683772161603E-12</v>
      </c>
      <c r="BE192" s="13">
        <f>BD192*VLOOKUP('Données projet'!$B$11,Paramètres!$A$1:$I$89,3,0)*VLOOKUP('Données projet'!$B$11,Paramètres!$A$1:$I$89,5,0)</f>
        <v>5.3205440053716299E-13</v>
      </c>
      <c r="BF192" s="13">
        <f t="shared" si="167"/>
        <v>6.579711042921201E-12</v>
      </c>
      <c r="BG192" s="20">
        <f t="shared" si="168"/>
        <v>1.2386324814023317E-11</v>
      </c>
      <c r="BH192" s="59">
        <f t="shared" si="116"/>
        <v>293.33333333334571</v>
      </c>
      <c r="BI192" s="59">
        <f ca="1">AVERAGE(OFFSET($BH$3,0,0,'Données projet'!$E$11+1,1))-AVERAGE(OFFSET($H$3,0,0,'Données projet'!$E$11+1,1))</f>
        <v>181.79645720099597</v>
      </c>
      <c r="BJ192" s="59">
        <f t="shared" si="146"/>
        <v>120.20040029102233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46.222584859177644</v>
      </c>
      <c r="BQ192" s="21">
        <f>EXP(-LN(2)/25)*BQ191+(1-EXP(-LN(2)/25))/(LN(2)/25)*Calculateur!BL192*Calculateur!BN192*VLOOKUP('Données projet'!$B$11,Paramètres!$A$1:$I$89,3,0)*0.475*44/12</f>
        <v>6.9720926955236076</v>
      </c>
      <c r="BR192" s="21">
        <f>EXP(-LN(2)/2)*BR191+(1-EXP(-LN(2)/2))/(LN(2)/2)*BL192*BO192*VLOOKUP('Données projet'!$B$11,Paramètres!$A$1:$I$89,3,0)*0.475*44/12</f>
        <v>3.4671580086332337E-8</v>
      </c>
      <c r="BS192" s="22">
        <f t="shared" si="169"/>
        <v>53.19467758937283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-3.979039320256561E-13</v>
      </c>
      <c r="BZ192" s="13">
        <f>BY192*VLOOKUP('Données projet'!$B$12,Paramètres!$A$1:$I$89,3,0)*VLOOKUP('Données projet'!$B$12,Paramètres!$A$1:$I$89,5,0)</f>
        <v>-2.379465513513424E-13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213.18424462765137</v>
      </c>
      <c r="CE192" s="59">
        <f t="shared" si="148"/>
        <v>158.77848520346532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16.426744768815031</v>
      </c>
      <c r="CL192" s="21">
        <f>EXP(-LN(2)/25)*CL191+(1-EXP(-LN(2)/25))/(LN(2)/25)*Calculateur!CG192*Calculateur!CI192*VLOOKUP('Données projet'!$B$12,Paramètres!$A$1:$I$89,3,0)*0.475*44/12</f>
        <v>1.6661632428831388</v>
      </c>
      <c r="CM192" s="21">
        <f>EXP(-LN(2)/2)*CM191+(1-EXP(-LN(2)/2))/(LN(2)/2)*CG192*CJ192*VLOOKUP('Données projet'!$B$12,Paramètres!$A$1:$I$89,3,0)*0.475*44/12</f>
        <v>1.4194194409218538E-15</v>
      </c>
      <c r="CN192" s="22">
        <f t="shared" si="172"/>
        <v>18.092908011698171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319</v>
      </c>
      <c r="CU192" s="17">
        <f>CT192*VLOOKUP('Données projet'!$B$13,Paramètres!$A$1:$I$89,3,0)*VLOOKUP('Données projet'!$B$13,Paramètres!$A$1:$I$89,5,0)</f>
        <v>253.79640000000001</v>
      </c>
      <c r="CV192" s="13">
        <f t="shared" si="173"/>
        <v>61.39816832228076</v>
      </c>
      <c r="CW192" s="20">
        <f t="shared" si="174"/>
        <v>548.96387316130563</v>
      </c>
      <c r="CX192" s="59">
        <f t="shared" si="122"/>
        <v>842.29720649463889</v>
      </c>
      <c r="CY192" s="59">
        <f ca="1">AVERAGE(OFFSET($CX$3,0,0,'Données projet'!$E$13+1,1))-AVERAGE(OFFSET($H$3,0,0,'Données projet'!$E$13+1,1))</f>
        <v>279.49721661620544</v>
      </c>
      <c r="CZ192" s="59">
        <f t="shared" si="150"/>
        <v>275.18739333988754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5.1710561490683693</v>
      </c>
      <c r="DG192" s="21">
        <f>EXP(-LN(2)/25)*DG191+(1-EXP(-LN(2)/25))/(LN(2)/25)*Calculateur!DB192*Calculateur!DD192*VLOOKUP('Données projet'!$B$13,Paramètres!$A$1:$I$89,3,0)*0.475*44/12</f>
        <v>0.36744452164269198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5.5385006707110609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-6.3550942286383367E-14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278.5296012747549</v>
      </c>
      <c r="T193" s="59">
        <f t="shared" si="142"/>
        <v>370.55343097937077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15.640606712173314</v>
      </c>
      <c r="AA193" s="21">
        <f>EXP(-LN(2)/25)*AA192+(1-EXP(-LN(2)/25))/(LN(2)/25)*Calculateur!V193*Calculateur!X193*VLOOKUP('Données projet'!$B$9,Paramètres!$A$1:$I$89,3,0)*0.475*44/12</f>
        <v>1.3643268050420554</v>
      </c>
      <c r="AB193" s="21">
        <f>EXP(-LN(2)/2)*AB192+(1-EXP(-LN(2)/2))/(LN(2)/2)*V193*Y193*VLOOKUP('Données projet'!$B$9,Paramètres!$A$1:$I$89,3,0)*0.475*44/12</f>
        <v>1.6368532042132826E-19</v>
      </c>
      <c r="AC193" s="22">
        <f t="shared" si="163"/>
        <v>17.00493351721537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-6.2527760746888816E-13</v>
      </c>
      <c r="AJ193" s="13">
        <f>AI193*VLOOKUP('Données projet'!$B$10,Paramètres!$A$1:$I$89,3,0)*VLOOKUP('Données projet'!$B$10,Paramètres!$A$1:$I$89,5,0)</f>
        <v>-3.0075852919253523E-13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255.05550867459038</v>
      </c>
      <c r="AO193" s="59">
        <f t="shared" si="144"/>
        <v>119.28597757550295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69.256667712602237</v>
      </c>
      <c r="AV193" s="21">
        <f>EXP(-LN(2)/25)*AV192+(1-EXP(-LN(2)/25))/(LN(2)/25)*Calculateur!AQ193*Calculateur!AS193*VLOOKUP('Données projet'!$B$10,Paramètres!$A$1:$I$89,3,0)*0.475*44/12</f>
        <v>10.173136523219563</v>
      </c>
      <c r="AW193" s="21">
        <f>EXP(-LN(2)/2)*AW192+(1-EXP(-LN(2)/2))/(LN(2)/2)*AQ193*AT193*VLOOKUP('Données projet'!$B$10,Paramètres!$A$1:$I$89,3,0)*0.475*44/12</f>
        <v>1.3442804010524109E-7</v>
      </c>
      <c r="AX193" s="21">
        <f t="shared" si="166"/>
        <v>79.42980437024984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1.1368683772161603E-12</v>
      </c>
      <c r="BE193" s="13">
        <f>BD193*VLOOKUP('Données projet'!$B$11,Paramètres!$A$1:$I$89,3,0)*VLOOKUP('Données projet'!$B$11,Paramètres!$A$1:$I$89,5,0)</f>
        <v>5.3205440053716299E-13</v>
      </c>
      <c r="BF193" s="13">
        <f t="shared" si="167"/>
        <v>6.579711042921201E-12</v>
      </c>
      <c r="BG193" s="20">
        <f t="shared" si="168"/>
        <v>1.2386324814023317E-11</v>
      </c>
      <c r="BH193" s="59">
        <f t="shared" si="116"/>
        <v>293.33333333334571</v>
      </c>
      <c r="BI193" s="59">
        <f ca="1">AVERAGE(OFFSET($BH$3,0,0,'Données projet'!$E$11+1,1))-AVERAGE(OFFSET($H$3,0,0,'Données projet'!$E$11+1,1))</f>
        <v>181.79645720099597</v>
      </c>
      <c r="BJ193" s="59">
        <f t="shared" si="146"/>
        <v>120.20040029102233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45.31618816308211</v>
      </c>
      <c r="BQ193" s="21">
        <f>EXP(-LN(2)/25)*BQ192+(1-EXP(-LN(2)/25))/(LN(2)/25)*Calculateur!BL193*Calculateur!BN193*VLOOKUP('Données projet'!$B$11,Paramètres!$A$1:$I$89,3,0)*0.475*44/12</f>
        <v>6.7814404541180942</v>
      </c>
      <c r="BR193" s="21">
        <f>EXP(-LN(2)/2)*BR192+(1-EXP(-LN(2)/2))/(LN(2)/2)*BL193*BO193*VLOOKUP('Données projet'!$B$11,Paramètres!$A$1:$I$89,3,0)*0.475*44/12</f>
        <v>2.4516509393498059E-8</v>
      </c>
      <c r="BS193" s="22">
        <f t="shared" si="169"/>
        <v>52.09762864171671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-3.979039320256561E-13</v>
      </c>
      <c r="BZ193" s="13">
        <f>BY193*VLOOKUP('Données projet'!$B$12,Paramètres!$A$1:$I$89,3,0)*VLOOKUP('Données projet'!$B$12,Paramètres!$A$1:$I$89,5,0)</f>
        <v>-2.379465513513424E-13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213.18424462765137</v>
      </c>
      <c r="CE193" s="59">
        <f t="shared" si="148"/>
        <v>158.77848520346532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16.104626323223549</v>
      </c>
      <c r="CL193" s="21">
        <f>EXP(-LN(2)/25)*CL192+(1-EXP(-LN(2)/25))/(LN(2)/25)*Calculateur!CG193*Calculateur!CI193*VLOOKUP('Données projet'!$B$12,Paramètres!$A$1:$I$89,3,0)*0.475*44/12</f>
        <v>1.6206019213867824</v>
      </c>
      <c r="CM193" s="21">
        <f>EXP(-LN(2)/2)*CM192+(1-EXP(-LN(2)/2))/(LN(2)/2)*CG193*CJ193*VLOOKUP('Données projet'!$B$12,Paramètres!$A$1:$I$89,3,0)*0.475*44/12</f>
        <v>1.0036811120238609E-15</v>
      </c>
      <c r="CN193" s="22">
        <f t="shared" si="172"/>
        <v>17.725228244610332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319</v>
      </c>
      <c r="CU193" s="17">
        <f>CT193*VLOOKUP('Données projet'!$B$13,Paramètres!$A$1:$I$89,3,0)*VLOOKUP('Données projet'!$B$13,Paramètres!$A$1:$I$89,5,0)</f>
        <v>253.79640000000001</v>
      </c>
      <c r="CV193" s="13">
        <f t="shared" si="173"/>
        <v>61.39816832228076</v>
      </c>
      <c r="CW193" s="20">
        <f t="shared" si="174"/>
        <v>548.96387316130563</v>
      </c>
      <c r="CX193" s="59">
        <f t="shared" si="122"/>
        <v>842.29720649463889</v>
      </c>
      <c r="CY193" s="59">
        <f ca="1">AVERAGE(OFFSET($CX$3,0,0,'Données projet'!$E$13+1,1))-AVERAGE(OFFSET($H$3,0,0,'Données projet'!$E$13+1,1))</f>
        <v>279.49721661620544</v>
      </c>
      <c r="CZ193" s="59">
        <f t="shared" si="150"/>
        <v>275.18739333988754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5.0696548920179545</v>
      </c>
      <c r="DG193" s="21">
        <f>EXP(-LN(2)/25)*DG192+(1-EXP(-LN(2)/25))/(LN(2)/25)*Calculateur!DB193*Calculateur!DD193*VLOOKUP('Données projet'!$B$13,Paramètres!$A$1:$I$89,3,0)*0.475*44/12</f>
        <v>0.35739673187530496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5.4270516238932593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-6.3550942286383367E-14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278.5296012747549</v>
      </c>
      <c r="T194" s="59">
        <f t="shared" si="142"/>
        <v>370.55343097937077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15.33390395437571</v>
      </c>
      <c r="AA194" s="21">
        <f>EXP(-LN(2)/25)*AA193+(1-EXP(-LN(2)/25))/(LN(2)/25)*Calculateur!V194*Calculateur!X194*VLOOKUP('Données projet'!$B$9,Paramètres!$A$1:$I$89,3,0)*0.475*44/12</f>
        <v>1.3270192168113519</v>
      </c>
      <c r="AB194" s="21">
        <f>EXP(-LN(2)/2)*AB193+(1-EXP(-LN(2)/2))/(LN(2)/2)*V194*Y194*VLOOKUP('Données projet'!$B$9,Paramètres!$A$1:$I$89,3,0)*0.475*44/12</f>
        <v>1.1574300005061408E-19</v>
      </c>
      <c r="AC194" s="22">
        <f t="shared" si="163"/>
        <v>16.660923171187061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-6.2527760746888816E-13</v>
      </c>
      <c r="AJ194" s="13">
        <f>AI194*VLOOKUP('Données projet'!$B$10,Paramètres!$A$1:$I$89,3,0)*VLOOKUP('Données projet'!$B$10,Paramètres!$A$1:$I$89,5,0)</f>
        <v>-3.0075852919253523E-13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255.05550867459038</v>
      </c>
      <c r="AO194" s="59">
        <f t="shared" si="144"/>
        <v>119.28597757550295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67.898586701154315</v>
      </c>
      <c r="AV194" s="21">
        <f>EXP(-LN(2)/25)*AV193+(1-EXP(-LN(2)/25))/(LN(2)/25)*Calculateur!AQ194*Calculateur!AS194*VLOOKUP('Données projet'!$B$10,Paramètres!$A$1:$I$89,3,0)*0.475*44/12</f>
        <v>9.8949515700101252</v>
      </c>
      <c r="AW194" s="21">
        <f>EXP(-LN(2)/2)*AW193+(1-EXP(-LN(2)/2))/(LN(2)/2)*AQ194*AT194*VLOOKUP('Données projet'!$B$10,Paramètres!$A$1:$I$89,3,0)*0.475*44/12</f>
        <v>9.5054978740033151E-8</v>
      </c>
      <c r="AX194" s="21">
        <f t="shared" si="166"/>
        <v>77.793538366219408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1.1368683772161603E-12</v>
      </c>
      <c r="BE194" s="13">
        <f>BD194*VLOOKUP('Données projet'!$B$11,Paramètres!$A$1:$I$89,3,0)*VLOOKUP('Données projet'!$B$11,Paramètres!$A$1:$I$89,5,0)</f>
        <v>5.3205440053716299E-13</v>
      </c>
      <c r="BF194" s="13">
        <f t="shared" si="167"/>
        <v>6.579711042921201E-12</v>
      </c>
      <c r="BG194" s="20">
        <f t="shared" si="168"/>
        <v>1.2386324814023317E-11</v>
      </c>
      <c r="BH194" s="59">
        <f t="shared" si="116"/>
        <v>293.33333333334571</v>
      </c>
      <c r="BI194" s="59">
        <f ca="1">AVERAGE(OFFSET($BH$3,0,0,'Données projet'!$E$11+1,1))-AVERAGE(OFFSET($H$3,0,0,'Données projet'!$E$11+1,1))</f>
        <v>181.79645720099597</v>
      </c>
      <c r="BJ194" s="59">
        <f t="shared" si="146"/>
        <v>120.20040029102233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44.427565353349614</v>
      </c>
      <c r="BQ194" s="21">
        <f>EXP(-LN(2)/25)*BQ193+(1-EXP(-LN(2)/25))/(LN(2)/25)*Calculateur!BL194*Calculateur!BN194*VLOOKUP('Données projet'!$B$11,Paramètres!$A$1:$I$89,3,0)*0.475*44/12</f>
        <v>6.5960016082797805</v>
      </c>
      <c r="BR194" s="21">
        <f>EXP(-LN(2)/2)*BR193+(1-EXP(-LN(2)/2))/(LN(2)/2)*BL194*BO194*VLOOKUP('Données projet'!$B$11,Paramètres!$A$1:$I$89,3,0)*0.475*44/12</f>
        <v>1.7335790043166169E-8</v>
      </c>
      <c r="BS194" s="22">
        <f t="shared" si="169"/>
        <v>51.023566978965185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-3.979039320256561E-13</v>
      </c>
      <c r="BZ194" s="13">
        <f>BY194*VLOOKUP('Données projet'!$B$12,Paramètres!$A$1:$I$89,3,0)*VLOOKUP('Données projet'!$B$12,Paramètres!$A$1:$I$89,5,0)</f>
        <v>-2.379465513513424E-13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213.18424462765137</v>
      </c>
      <c r="CE194" s="59">
        <f t="shared" si="148"/>
        <v>158.77848520346532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15.788824423877266</v>
      </c>
      <c r="CL194" s="21">
        <f>EXP(-LN(2)/25)*CL193+(1-EXP(-LN(2)/25))/(LN(2)/25)*Calculateur!CG194*Calculateur!CI194*VLOOKUP('Données projet'!$B$12,Paramètres!$A$1:$I$89,3,0)*0.475*44/12</f>
        <v>1.5762864766227098</v>
      </c>
      <c r="CM194" s="21">
        <f>EXP(-LN(2)/2)*CM193+(1-EXP(-LN(2)/2))/(LN(2)/2)*CG194*CJ194*VLOOKUP('Données projet'!$B$12,Paramètres!$A$1:$I$89,3,0)*0.475*44/12</f>
        <v>7.0970972046092689E-16</v>
      </c>
      <c r="CN194" s="22">
        <f t="shared" si="172"/>
        <v>17.365110900499975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319</v>
      </c>
      <c r="CU194" s="17">
        <f>CT194*VLOOKUP('Données projet'!$B$13,Paramètres!$A$1:$I$89,3,0)*VLOOKUP('Données projet'!$B$13,Paramètres!$A$1:$I$89,5,0)</f>
        <v>253.79640000000001</v>
      </c>
      <c r="CV194" s="13">
        <f t="shared" si="173"/>
        <v>61.39816832228076</v>
      </c>
      <c r="CW194" s="20">
        <f t="shared" si="174"/>
        <v>548.96387316130563</v>
      </c>
      <c r="CX194" s="59">
        <f t="shared" si="122"/>
        <v>842.29720649463889</v>
      </c>
      <c r="CY194" s="59">
        <f ca="1">AVERAGE(OFFSET($CX$3,0,0,'Données projet'!$E$13+1,1))-AVERAGE(OFFSET($H$3,0,0,'Données projet'!$E$13+1,1))</f>
        <v>279.49721661620544</v>
      </c>
      <c r="CZ194" s="59">
        <f t="shared" si="150"/>
        <v>275.18739333988754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4.9702420517696391</v>
      </c>
      <c r="DG194" s="21">
        <f>EXP(-LN(2)/25)*DG193+(1-EXP(-LN(2)/25))/(LN(2)/25)*Calculateur!DB194*Calculateur!DD194*VLOOKUP('Données projet'!$B$13,Paramètres!$A$1:$I$89,3,0)*0.475*44/12</f>
        <v>0.34762369944749744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5.3178657512171368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-6.3550942286383367E-14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278.5296012747549</v>
      </c>
      <c r="T195" s="59">
        <f t="shared" si="142"/>
        <v>370.55343097937077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15.033215450588306</v>
      </c>
      <c r="AA195" s="21">
        <f>EXP(-LN(2)/25)*AA194+(1-EXP(-LN(2)/25))/(LN(2)/25)*Calculateur!V195*Calculateur!X195*VLOOKUP('Données projet'!$B$9,Paramètres!$A$1:$I$89,3,0)*0.475*44/12</f>
        <v>1.2907318065427378</v>
      </c>
      <c r="AB195" s="21">
        <f>EXP(-LN(2)/2)*AB194+(1-EXP(-LN(2)/2))/(LN(2)/2)*V195*Y195*VLOOKUP('Données projet'!$B$9,Paramètres!$A$1:$I$89,3,0)*0.475*44/12</f>
        <v>8.1842660210664128E-20</v>
      </c>
      <c r="AC195" s="22">
        <f t="shared" si="163"/>
        <v>16.323947257131046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-6.2527760746888816E-13</v>
      </c>
      <c r="AJ195" s="13">
        <f>AI195*VLOOKUP('Données projet'!$B$10,Paramètres!$A$1:$I$89,3,0)*VLOOKUP('Données projet'!$B$10,Paramètres!$A$1:$I$89,5,0)</f>
        <v>-3.0075852919253523E-13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255.05550867459038</v>
      </c>
      <c r="AO195" s="59">
        <f t="shared" si="144"/>
        <v>119.28597757550295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66.567136829993274</v>
      </c>
      <c r="AV195" s="21">
        <f>EXP(-LN(2)/25)*AV194+(1-EXP(-LN(2)/25))/(LN(2)/25)*Calculateur!AQ195*Calculateur!AS195*VLOOKUP('Données projet'!$B$10,Paramètres!$A$1:$I$89,3,0)*0.475*44/12</f>
        <v>9.6243735989753105</v>
      </c>
      <c r="AW195" s="21">
        <f>EXP(-LN(2)/2)*AW194+(1-EXP(-LN(2)/2))/(LN(2)/2)*AQ195*AT195*VLOOKUP('Données projet'!$B$10,Paramètres!$A$1:$I$89,3,0)*0.475*44/12</f>
        <v>6.7214020052620547E-8</v>
      </c>
      <c r="AX195" s="21">
        <f t="shared" si="166"/>
        <v>76.191510496182602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1.1368683772161603E-12</v>
      </c>
      <c r="BE195" s="13">
        <f>BD195*VLOOKUP('Données projet'!$B$11,Paramètres!$A$1:$I$89,3,0)*VLOOKUP('Données projet'!$B$11,Paramètres!$A$1:$I$89,5,0)</f>
        <v>5.3205440053716299E-13</v>
      </c>
      <c r="BF195" s="13">
        <f t="shared" si="167"/>
        <v>6.579711042921201E-12</v>
      </c>
      <c r="BG195" s="20">
        <f t="shared" si="168"/>
        <v>1.2386324814023317E-11</v>
      </c>
      <c r="BH195" s="59">
        <f t="shared" si="116"/>
        <v>293.33333333334571</v>
      </c>
      <c r="BI195" s="59">
        <f ca="1">AVERAGE(OFFSET($BH$3,0,0,'Données projet'!$E$11+1,1))-AVERAGE(OFFSET($H$3,0,0,'Données projet'!$E$11+1,1))</f>
        <v>181.79645720099597</v>
      </c>
      <c r="BJ195" s="59">
        <f t="shared" si="146"/>
        <v>120.20040029102233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43.556367894909577</v>
      </c>
      <c r="BQ195" s="21">
        <f>EXP(-LN(2)/25)*BQ194+(1-EXP(-LN(2)/25))/(LN(2)/25)*Calculateur!BL195*Calculateur!BN195*VLOOKUP('Données projet'!$B$11,Paramètres!$A$1:$I$89,3,0)*0.475*44/12</f>
        <v>6.4156335974327208</v>
      </c>
      <c r="BR195" s="21">
        <f>EXP(-LN(2)/2)*BR194+(1-EXP(-LN(2)/2))/(LN(2)/2)*BL195*BO195*VLOOKUP('Données projet'!$B$11,Paramètres!$A$1:$I$89,3,0)*0.475*44/12</f>
        <v>1.2258254696749029E-8</v>
      </c>
      <c r="BS195" s="22">
        <f t="shared" si="169"/>
        <v>49.972001504600556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-3.979039320256561E-13</v>
      </c>
      <c r="BZ195" s="13">
        <f>BY195*VLOOKUP('Données projet'!$B$12,Paramètres!$A$1:$I$89,3,0)*VLOOKUP('Données projet'!$B$12,Paramètres!$A$1:$I$89,5,0)</f>
        <v>-2.379465513513424E-13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213.18424462765137</v>
      </c>
      <c r="CE195" s="59">
        <f t="shared" si="148"/>
        <v>158.77848520346532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15.479215207157024</v>
      </c>
      <c r="CL195" s="21">
        <f>EXP(-LN(2)/25)*CL194+(1-EXP(-LN(2)/25))/(LN(2)/25)*Calculateur!CG195*Calculateur!CI195*VLOOKUP('Données projet'!$B$12,Paramètres!$A$1:$I$89,3,0)*0.475*44/12</f>
        <v>1.5331828400261587</v>
      </c>
      <c r="CM195" s="21">
        <f>EXP(-LN(2)/2)*CM194+(1-EXP(-LN(2)/2))/(LN(2)/2)*CG195*CJ195*VLOOKUP('Données projet'!$B$12,Paramètres!$A$1:$I$89,3,0)*0.475*44/12</f>
        <v>5.0184055601193044E-16</v>
      </c>
      <c r="CN195" s="22">
        <f t="shared" si="172"/>
        <v>17.012398047183183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319</v>
      </c>
      <c r="CU195" s="17">
        <f>CT195*VLOOKUP('Données projet'!$B$13,Paramètres!$A$1:$I$89,3,0)*VLOOKUP('Données projet'!$B$13,Paramètres!$A$1:$I$89,5,0)</f>
        <v>253.79640000000001</v>
      </c>
      <c r="CV195" s="13">
        <f t="shared" si="173"/>
        <v>61.39816832228076</v>
      </c>
      <c r="CW195" s="20">
        <f t="shared" si="174"/>
        <v>548.96387316130563</v>
      </c>
      <c r="CX195" s="59">
        <f t="shared" si="122"/>
        <v>842.29720649463889</v>
      </c>
      <c r="CY195" s="59">
        <f ca="1">AVERAGE(OFFSET($CX$3,0,0,'Données projet'!$E$13+1,1))-AVERAGE(OFFSET($H$3,0,0,'Données projet'!$E$13+1,1))</f>
        <v>279.49721661620544</v>
      </c>
      <c r="CZ195" s="59">
        <f t="shared" si="150"/>
        <v>275.18739333988754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4.8727786366827477</v>
      </c>
      <c r="DG195" s="21">
        <f>EXP(-LN(2)/25)*DG194+(1-EXP(-LN(2)/25))/(LN(2)/25)*Calculateur!DB195*Calculateur!DD195*VLOOKUP('Données projet'!$B$13,Paramètres!$A$1:$I$89,3,0)*0.475*44/12</f>
        <v>0.33811791110536976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5.2108965477881171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-6.3550942286383367E-14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278.5296012747549</v>
      </c>
      <c r="T196" s="59">
        <f t="shared" si="142"/>
        <v>370.55343097937077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14.738423264958296</v>
      </c>
      <c r="AA196" s="21">
        <f>EXP(-LN(2)/25)*AA195+(1-EXP(-LN(2)/25))/(LN(2)/25)*Calculateur!V196*Calculateur!X196*VLOOKUP('Données projet'!$B$9,Paramètres!$A$1:$I$89,3,0)*0.475*44/12</f>
        <v>1.2554366774161909</v>
      </c>
      <c r="AB196" s="21">
        <f>EXP(-LN(2)/2)*AB195+(1-EXP(-LN(2)/2))/(LN(2)/2)*V196*Y196*VLOOKUP('Données projet'!$B$9,Paramètres!$A$1:$I$89,3,0)*0.475*44/12</f>
        <v>5.7871500025307039E-20</v>
      </c>
      <c r="AC196" s="22">
        <f t="shared" si="163"/>
        <v>15.993859942374486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-6.2527760746888816E-13</v>
      </c>
      <c r="AJ196" s="13">
        <f>AI196*VLOOKUP('Données projet'!$B$10,Paramètres!$A$1:$I$89,3,0)*VLOOKUP('Données projet'!$B$10,Paramètres!$A$1:$I$89,5,0)</f>
        <v>-3.0075852919253523E-13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255.05550867459038</v>
      </c>
      <c r="AO196" s="59">
        <f t="shared" si="144"/>
        <v>119.28597757550295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65.261795878701463</v>
      </c>
      <c r="AV196" s="21">
        <f>EXP(-LN(2)/25)*AV195+(1-EXP(-LN(2)/25))/(LN(2)/25)*Calculateur!AQ196*Calculateur!AS196*VLOOKUP('Données projet'!$B$10,Paramètres!$A$1:$I$89,3,0)*0.475*44/12</f>
        <v>9.3611945967875201</v>
      </c>
      <c r="AW196" s="21">
        <f>EXP(-LN(2)/2)*AW195+(1-EXP(-LN(2)/2))/(LN(2)/2)*AQ196*AT196*VLOOKUP('Données projet'!$B$10,Paramètres!$A$1:$I$89,3,0)*0.475*44/12</f>
        <v>4.7527489370016575E-8</v>
      </c>
      <c r="AX196" s="21">
        <f t="shared" si="166"/>
        <v>74.622990523016483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1.1368683772161603E-12</v>
      </c>
      <c r="BE196" s="13">
        <f>BD196*VLOOKUP('Données projet'!$B$11,Paramètres!$A$1:$I$89,3,0)*VLOOKUP('Données projet'!$B$11,Paramètres!$A$1:$I$89,5,0)</f>
        <v>5.3205440053716299E-13</v>
      </c>
      <c r="BF196" s="13">
        <f t="shared" si="167"/>
        <v>6.579711042921201E-12</v>
      </c>
      <c r="BG196" s="20">
        <f t="shared" si="168"/>
        <v>1.2386324814023317E-11</v>
      </c>
      <c r="BH196" s="59">
        <f t="shared" ref="BH196:BH203" si="194">BG196+(AY196+AZ196)*44/12</f>
        <v>293.33333333334571</v>
      </c>
      <c r="BI196" s="59">
        <f ca="1">AVERAGE(OFFSET($BH$3,0,0,'Données projet'!$E$11+1,1))-AVERAGE(OFFSET($H$3,0,0,'Données projet'!$E$11+1,1))</f>
        <v>181.79645720099597</v>
      </c>
      <c r="BJ196" s="59">
        <f t="shared" si="146"/>
        <v>120.20040029102233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42.702254087251568</v>
      </c>
      <c r="BQ196" s="21">
        <f>EXP(-LN(2)/25)*BQ195+(1-EXP(-LN(2)/25))/(LN(2)/25)*Calculateur!BL196*Calculateur!BN196*VLOOKUP('Données projet'!$B$11,Paramètres!$A$1:$I$89,3,0)*0.475*44/12</f>
        <v>6.2401977593274154</v>
      </c>
      <c r="BR196" s="21">
        <f>EXP(-LN(2)/2)*BR195+(1-EXP(-LN(2)/2))/(LN(2)/2)*BL196*BO196*VLOOKUP('Données projet'!$B$11,Paramètres!$A$1:$I$89,3,0)*0.475*44/12</f>
        <v>8.6678950215830843E-9</v>
      </c>
      <c r="BS196" s="22">
        <f t="shared" si="169"/>
        <v>48.94245185524688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-3.979039320256561E-13</v>
      </c>
      <c r="BZ196" s="13">
        <f>BY196*VLOOKUP('Données projet'!$B$12,Paramètres!$A$1:$I$89,3,0)*VLOOKUP('Données projet'!$B$12,Paramètres!$A$1:$I$89,5,0)</f>
        <v>-2.379465513513424E-13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213.18424462765137</v>
      </c>
      <c r="CE196" s="59">
        <f t="shared" si="148"/>
        <v>158.77848520346532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15.175677238333691</v>
      </c>
      <c r="CL196" s="21">
        <f>EXP(-LN(2)/25)*CL195+(1-EXP(-LN(2)/25))/(LN(2)/25)*Calculateur!CG196*Calculateur!CI196*VLOOKUP('Données projet'!$B$12,Paramètres!$A$1:$I$89,3,0)*0.475*44/12</f>
        <v>1.4912578746390619</v>
      </c>
      <c r="CM196" s="21">
        <f>EXP(-LN(2)/2)*CM195+(1-EXP(-LN(2)/2))/(LN(2)/2)*CG196*CJ196*VLOOKUP('Données projet'!$B$12,Paramètres!$A$1:$I$89,3,0)*0.475*44/12</f>
        <v>3.5485486023046345E-16</v>
      </c>
      <c r="CN196" s="22">
        <f t="shared" si="172"/>
        <v>16.666935112972752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319</v>
      </c>
      <c r="CU196" s="17">
        <f>CT196*VLOOKUP('Données projet'!$B$13,Paramètres!$A$1:$I$89,3,0)*VLOOKUP('Données projet'!$B$13,Paramètres!$A$1:$I$89,5,0)</f>
        <v>253.79640000000001</v>
      </c>
      <c r="CV196" s="13">
        <f t="shared" si="173"/>
        <v>61.39816832228076</v>
      </c>
      <c r="CW196" s="20">
        <f t="shared" si="174"/>
        <v>548.96387316130563</v>
      </c>
      <c r="CX196" s="59">
        <f t="shared" ref="CX196:CX203" si="196">CW196+(CO196+CP196)*44/12</f>
        <v>842.29720649463889</v>
      </c>
      <c r="CY196" s="59">
        <f ca="1">AVERAGE(OFFSET($CX$3,0,0,'Données projet'!$E$13+1,1))-AVERAGE(OFFSET($H$3,0,0,'Données projet'!$E$13+1,1))</f>
        <v>279.49721661620544</v>
      </c>
      <c r="CZ196" s="59">
        <f t="shared" si="150"/>
        <v>275.18739333988754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4.7772264197188967</v>
      </c>
      <c r="DG196" s="21">
        <f>EXP(-LN(2)/25)*DG195+(1-EXP(-LN(2)/25))/(LN(2)/25)*Calculateur!DB196*Calculateur!DD196*VLOOKUP('Données projet'!$B$13,Paramètres!$A$1:$I$89,3,0)*0.475*44/12</f>
        <v>0.32887205904534528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5.1060984787642418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-6.3550942286383367E-14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278.5296012747549</v>
      </c>
      <c r="T197" s="59">
        <f t="shared" ref="T197:T203" si="204">$T$3</f>
        <v>370.55343097937077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14.449411774283011</v>
      </c>
      <c r="AA197" s="21">
        <f>EXP(-LN(2)/25)*AA196+(1-EXP(-LN(2)/25))/(LN(2)/25)*Calculateur!V197*Calculateur!X197*VLOOKUP('Données projet'!$B$9,Paramètres!$A$1:$I$89,3,0)*0.475*44/12</f>
        <v>1.2211066954516996</v>
      </c>
      <c r="AB197" s="21">
        <f>EXP(-LN(2)/2)*AB196+(1-EXP(-LN(2)/2))/(LN(2)/2)*V197*Y197*VLOOKUP('Données projet'!$B$9,Paramètres!$A$1:$I$89,3,0)*0.475*44/12</f>
        <v>4.0921330105332064E-20</v>
      </c>
      <c r="AC197" s="22">
        <f t="shared" si="163"/>
        <v>15.670518469734709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-6.2527760746888816E-13</v>
      </c>
      <c r="AJ197" s="13">
        <f>AI197*VLOOKUP('Données projet'!$B$10,Paramètres!$A$1:$I$89,3,0)*VLOOKUP('Données projet'!$B$10,Paramètres!$A$1:$I$89,5,0)</f>
        <v>-3.0075852919253523E-13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255.05550867459038</v>
      </c>
      <c r="AO197" s="59">
        <f t="shared" ref="AO197:AO203" si="205">$AO$3</f>
        <v>119.28597757550295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63.982051867285122</v>
      </c>
      <c r="AV197" s="21">
        <f>EXP(-LN(2)/25)*AV196+(1-EXP(-LN(2)/25))/(LN(2)/25)*Calculateur!AQ197*Calculateur!AS197*VLOOKUP('Données projet'!$B$10,Paramètres!$A$1:$I$89,3,0)*0.475*44/12</f>
        <v>9.105212238254536</v>
      </c>
      <c r="AW197" s="21">
        <f>EXP(-LN(2)/2)*AW196+(1-EXP(-LN(2)/2))/(LN(2)/2)*AQ197*AT197*VLOOKUP('Données projet'!$B$10,Paramètres!$A$1:$I$89,3,0)*0.475*44/12</f>
        <v>3.3607010026310274E-8</v>
      </c>
      <c r="AX197" s="21">
        <f t="shared" si="166"/>
        <v>73.087264139146669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1.1368683772161603E-12</v>
      </c>
      <c r="BE197" s="13">
        <f>BD197*VLOOKUP('Données projet'!$B$11,Paramètres!$A$1:$I$89,3,0)*VLOOKUP('Données projet'!$B$11,Paramètres!$A$1:$I$89,5,0)</f>
        <v>5.3205440053716299E-13</v>
      </c>
      <c r="BF197" s="13">
        <f t="shared" si="167"/>
        <v>6.579711042921201E-12</v>
      </c>
      <c r="BG197" s="20">
        <f t="shared" si="168"/>
        <v>1.2386324814023317E-11</v>
      </c>
      <c r="BH197" s="59">
        <f t="shared" si="194"/>
        <v>293.33333333334571</v>
      </c>
      <c r="BI197" s="59">
        <f ca="1">AVERAGE(OFFSET($BH$3,0,0,'Données projet'!$E$11+1,1))-AVERAGE(OFFSET($H$3,0,0,'Données projet'!$E$11+1,1))</f>
        <v>181.79645720099597</v>
      </c>
      <c r="BJ197" s="59">
        <f t="shared" ref="BJ197:BJ203" si="206">$BJ$3</f>
        <v>120.20040029102233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41.864888930403751</v>
      </c>
      <c r="BQ197" s="21">
        <f>EXP(-LN(2)/25)*BQ196+(1-EXP(-LN(2)/25))/(LN(2)/25)*Calculateur!BL197*Calculateur!BN197*VLOOKUP('Données projet'!$B$11,Paramètres!$A$1:$I$89,3,0)*0.475*44/12</f>
        <v>6.0695592234408693</v>
      </c>
      <c r="BR197" s="21">
        <f>EXP(-LN(2)/2)*BR196+(1-EXP(-LN(2)/2))/(LN(2)/2)*BL197*BO197*VLOOKUP('Données projet'!$B$11,Paramètres!$A$1:$I$89,3,0)*0.475*44/12</f>
        <v>6.1291273483745147E-9</v>
      </c>
      <c r="BS197" s="22">
        <f t="shared" si="169"/>
        <v>47.934448159973748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-3.979039320256561E-13</v>
      </c>
      <c r="BZ197" s="13">
        <f>BY197*VLOOKUP('Données projet'!$B$12,Paramètres!$A$1:$I$89,3,0)*VLOOKUP('Données projet'!$B$12,Paramètres!$A$1:$I$89,5,0)</f>
        <v>-2.379465513513424E-13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213.18424462765137</v>
      </c>
      <c r="CE197" s="59">
        <f t="shared" ref="CE197:CE203" si="207">$CE$3</f>
        <v>158.77848520346532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14.878091463939104</v>
      </c>
      <c r="CL197" s="21">
        <f>EXP(-LN(2)/25)*CL196+(1-EXP(-LN(2)/25))/(LN(2)/25)*Calculateur!CG197*Calculateur!CI197*VLOOKUP('Données projet'!$B$12,Paramètres!$A$1:$I$89,3,0)*0.475*44/12</f>
        <v>1.4504793496352135</v>
      </c>
      <c r="CM197" s="21">
        <f>EXP(-LN(2)/2)*CM196+(1-EXP(-LN(2)/2))/(LN(2)/2)*CG197*CJ197*VLOOKUP('Données projet'!$B$12,Paramètres!$A$1:$I$89,3,0)*0.475*44/12</f>
        <v>2.5092027800596522E-16</v>
      </c>
      <c r="CN197" s="22">
        <f t="shared" si="172"/>
        <v>16.328570813574316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319</v>
      </c>
      <c r="CU197" s="17">
        <f>CT197*VLOOKUP('Données projet'!$B$13,Paramètres!$A$1:$I$89,3,0)*VLOOKUP('Données projet'!$B$13,Paramètres!$A$1:$I$89,5,0)</f>
        <v>253.79640000000001</v>
      </c>
      <c r="CV197" s="13">
        <f t="shared" si="173"/>
        <v>61.39816832228076</v>
      </c>
      <c r="CW197" s="20">
        <f t="shared" si="174"/>
        <v>548.96387316130563</v>
      </c>
      <c r="CX197" s="59">
        <f t="shared" si="196"/>
        <v>842.29720649463889</v>
      </c>
      <c r="CY197" s="59">
        <f ca="1">AVERAGE(OFFSET($CX$3,0,0,'Données projet'!$E$13+1,1))-AVERAGE(OFFSET($H$3,0,0,'Données projet'!$E$13+1,1))</f>
        <v>279.49721661620544</v>
      </c>
      <c r="CZ197" s="59">
        <f t="shared" ref="CZ197:CZ203" si="208">$CZ$3</f>
        <v>275.18739333988754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4.683547923448609</v>
      </c>
      <c r="DG197" s="21">
        <f>EXP(-LN(2)/25)*DG196+(1-EXP(-LN(2)/25))/(LN(2)/25)*Calculateur!DB197*Calculateur!DD197*VLOOKUP('Données projet'!$B$13,Paramètres!$A$1:$I$89,3,0)*0.475*44/12</f>
        <v>0.31987903529612038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5.0034269587447291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-6.3550942286383367E-14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278.5296012747549</v>
      </c>
      <c r="T198" s="59">
        <f t="shared" si="204"/>
        <v>370.55343097937077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14.166067622660265</v>
      </c>
      <c r="AA198" s="21">
        <f>EXP(-LN(2)/25)*AA197+(1-EXP(-LN(2)/25))/(LN(2)/25)*Calculateur!V198*Calculateur!X198*VLOOKUP('Données projet'!$B$9,Paramètres!$A$1:$I$89,3,0)*0.475*44/12</f>
        <v>1.1877154686493627</v>
      </c>
      <c r="AB198" s="21">
        <f>EXP(-LN(2)/2)*AB197+(1-EXP(-LN(2)/2))/(LN(2)/2)*V198*Y198*VLOOKUP('Données projet'!$B$9,Paramètres!$A$1:$I$89,3,0)*0.475*44/12</f>
        <v>2.893575001265352E-20</v>
      </c>
      <c r="AC198" s="22">
        <f t="shared" si="163"/>
        <v>15.353783091309626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-6.2527760746888816E-13</v>
      </c>
      <c r="AJ198" s="13">
        <f>AI198*VLOOKUP('Données projet'!$B$10,Paramètres!$A$1:$I$89,3,0)*VLOOKUP('Données projet'!$B$10,Paramètres!$A$1:$I$89,5,0)</f>
        <v>-3.0075852919253523E-13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255.05550867459038</v>
      </c>
      <c r="AO198" s="59">
        <f t="shared" si="205"/>
        <v>119.28597757550295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62.727402855365881</v>
      </c>
      <c r="AV198" s="21">
        <f>EXP(-LN(2)/25)*AV197+(1-EXP(-LN(2)/25))/(LN(2)/25)*Calculateur!AQ198*Calculateur!AS198*VLOOKUP('Données projet'!$B$10,Paramètres!$A$1:$I$89,3,0)*0.475*44/12</f>
        <v>8.856229730777164</v>
      </c>
      <c r="AW198" s="21">
        <f>EXP(-LN(2)/2)*AW197+(1-EXP(-LN(2)/2))/(LN(2)/2)*AQ198*AT198*VLOOKUP('Données projet'!$B$10,Paramètres!$A$1:$I$89,3,0)*0.475*44/12</f>
        <v>2.3763744685008288E-8</v>
      </c>
      <c r="AX198" s="21">
        <f t="shared" si="166"/>
        <v>71.583632609906786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1.1368683772161603E-12</v>
      </c>
      <c r="BE198" s="13">
        <f>BD198*VLOOKUP('Données projet'!$B$11,Paramètres!$A$1:$I$89,3,0)*VLOOKUP('Données projet'!$B$11,Paramètres!$A$1:$I$89,5,0)</f>
        <v>5.3205440053716299E-13</v>
      </c>
      <c r="BF198" s="13">
        <f t="shared" si="167"/>
        <v>6.579711042921201E-12</v>
      </c>
      <c r="BG198" s="20">
        <f t="shared" si="168"/>
        <v>1.2386324814023317E-11</v>
      </c>
      <c r="BH198" s="59">
        <f t="shared" si="194"/>
        <v>293.33333333334571</v>
      </c>
      <c r="BI198" s="59">
        <f ca="1">AVERAGE(OFFSET($BH$3,0,0,'Données projet'!$E$11+1,1))-AVERAGE(OFFSET($H$3,0,0,'Données projet'!$E$11+1,1))</f>
        <v>181.79645720099597</v>
      </c>
      <c r="BJ198" s="59">
        <f t="shared" si="206"/>
        <v>120.20040029102233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41.043943993539401</v>
      </c>
      <c r="BQ198" s="21">
        <f>EXP(-LN(2)/25)*BQ197+(1-EXP(-LN(2)/25))/(LN(2)/25)*Calculateur!BL198*Calculateur!BN198*VLOOKUP('Données projet'!$B$11,Paramètres!$A$1:$I$89,3,0)*0.475*44/12</f>
        <v>5.9035868072916315</v>
      </c>
      <c r="BR198" s="21">
        <f>EXP(-LN(2)/2)*BR197+(1-EXP(-LN(2)/2))/(LN(2)/2)*BL198*BO198*VLOOKUP('Données projet'!$B$11,Paramètres!$A$1:$I$89,3,0)*0.475*44/12</f>
        <v>4.3339475107915421E-9</v>
      </c>
      <c r="BS198" s="22">
        <f t="shared" si="169"/>
        <v>46.94753080516498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-3.979039320256561E-13</v>
      </c>
      <c r="BZ198" s="13">
        <f>BY198*VLOOKUP('Données projet'!$B$12,Paramètres!$A$1:$I$89,3,0)*VLOOKUP('Données projet'!$B$12,Paramètres!$A$1:$I$89,5,0)</f>
        <v>-2.379465513513424E-13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213.18424462765137</v>
      </c>
      <c r="CE198" s="59">
        <f t="shared" si="207"/>
        <v>158.77848520346532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14.586341165070994</v>
      </c>
      <c r="CL198" s="21">
        <f>EXP(-LN(2)/25)*CL197+(1-EXP(-LN(2)/25))/(LN(2)/25)*Calculateur!CG198*Calculateur!CI198*VLOOKUP('Données projet'!$B$12,Paramètres!$A$1:$I$89,3,0)*0.475*44/12</f>
        <v>1.4108159155420448</v>
      </c>
      <c r="CM198" s="21">
        <f>EXP(-LN(2)/2)*CM197+(1-EXP(-LN(2)/2))/(LN(2)/2)*CG198*CJ198*VLOOKUP('Données projet'!$B$12,Paramètres!$A$1:$I$89,3,0)*0.475*44/12</f>
        <v>1.7742743011523172E-16</v>
      </c>
      <c r="CN198" s="22">
        <f t="shared" si="172"/>
        <v>15.997157080613039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319</v>
      </c>
      <c r="CU198" s="17">
        <f>CT198*VLOOKUP('Données projet'!$B$13,Paramètres!$A$1:$I$89,3,0)*VLOOKUP('Données projet'!$B$13,Paramètres!$A$1:$I$89,5,0)</f>
        <v>253.79640000000001</v>
      </c>
      <c r="CV198" s="13">
        <f t="shared" si="173"/>
        <v>61.39816832228076</v>
      </c>
      <c r="CW198" s="20">
        <f t="shared" si="174"/>
        <v>548.96387316130563</v>
      </c>
      <c r="CX198" s="59">
        <f t="shared" si="196"/>
        <v>842.29720649463889</v>
      </c>
      <c r="CY198" s="59">
        <f ca="1">AVERAGE(OFFSET($CX$3,0,0,'Données projet'!$E$13+1,1))-AVERAGE(OFFSET($H$3,0,0,'Données projet'!$E$13+1,1))</f>
        <v>279.49721661620544</v>
      </c>
      <c r="CZ198" s="59">
        <f t="shared" si="208"/>
        <v>275.18739333988754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4.5917064053519407</v>
      </c>
      <c r="DG198" s="21">
        <f>EXP(-LN(2)/25)*DG197+(1-EXP(-LN(2)/25))/(LN(2)/25)*Calculateur!DB198*Calculateur!DD198*VLOOKUP('Données projet'!$B$13,Paramètres!$A$1:$I$89,3,0)*0.475*44/12</f>
        <v>0.31113192625424058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4.9028383316061817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-6.3550942286383367E-14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278.5296012747549</v>
      </c>
      <c r="T199" s="59">
        <f t="shared" si="204"/>
        <v>370.55343097937077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13.888279677027974</v>
      </c>
      <c r="AA199" s="21">
        <f>EXP(-LN(2)/25)*AA198+(1-EXP(-LN(2)/25))/(LN(2)/25)*Calculateur!V199*Calculateur!X199*VLOOKUP('Données projet'!$B$9,Paramètres!$A$1:$I$89,3,0)*0.475*44/12</f>
        <v>1.1552373266999039</v>
      </c>
      <c r="AB199" s="21">
        <f>EXP(-LN(2)/2)*AB198+(1-EXP(-LN(2)/2))/(LN(2)/2)*V199*Y199*VLOOKUP('Données projet'!$B$9,Paramètres!$A$1:$I$89,3,0)*0.475*44/12</f>
        <v>2.0460665052666032E-20</v>
      </c>
      <c r="AC199" s="22">
        <f t="shared" si="163"/>
        <v>15.043517003727878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-6.2527760746888816E-13</v>
      </c>
      <c r="AJ199" s="13">
        <f>AI199*VLOOKUP('Données projet'!$B$10,Paramètres!$A$1:$I$89,3,0)*VLOOKUP('Données projet'!$B$10,Paramètres!$A$1:$I$89,5,0)</f>
        <v>-3.0075852919253523E-13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255.05550867459038</v>
      </c>
      <c r="AO199" s="59">
        <f t="shared" si="205"/>
        <v>119.28597757550295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61.497356745310043</v>
      </c>
      <c r="AV199" s="21">
        <f>EXP(-LN(2)/25)*AV198+(1-EXP(-LN(2)/25))/(LN(2)/25)*Calculateur!AQ199*Calculateur!AS199*VLOOKUP('Données projet'!$B$10,Paramètres!$A$1:$I$89,3,0)*0.475*44/12</f>
        <v>8.6140556630601814</v>
      </c>
      <c r="AW199" s="21">
        <f>EXP(-LN(2)/2)*AW198+(1-EXP(-LN(2)/2))/(LN(2)/2)*AQ199*AT199*VLOOKUP('Données projet'!$B$10,Paramètres!$A$1:$I$89,3,0)*0.475*44/12</f>
        <v>1.6803505013155137E-8</v>
      </c>
      <c r="AX199" s="21">
        <f t="shared" si="166"/>
        <v>70.111412425173739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1.1368683772161603E-12</v>
      </c>
      <c r="BE199" s="13">
        <f>BD199*VLOOKUP('Données projet'!$B$11,Paramètres!$A$1:$I$89,3,0)*VLOOKUP('Données projet'!$B$11,Paramètres!$A$1:$I$89,5,0)</f>
        <v>5.3205440053716299E-13</v>
      </c>
      <c r="BF199" s="13">
        <f t="shared" si="167"/>
        <v>6.579711042921201E-12</v>
      </c>
      <c r="BG199" s="20">
        <f t="shared" si="168"/>
        <v>1.2386324814023317E-11</v>
      </c>
      <c r="BH199" s="59">
        <f t="shared" si="194"/>
        <v>293.33333333334571</v>
      </c>
      <c r="BI199" s="59">
        <f ca="1">AVERAGE(OFFSET($BH$3,0,0,'Données projet'!$E$11+1,1))-AVERAGE(OFFSET($H$3,0,0,'Données projet'!$E$11+1,1))</f>
        <v>181.79645720099597</v>
      </c>
      <c r="BJ199" s="59">
        <f t="shared" si="206"/>
        <v>120.20040029102233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40.239097286159996</v>
      </c>
      <c r="BQ199" s="21">
        <f>EXP(-LN(2)/25)*BQ198+(1-EXP(-LN(2)/25))/(LN(2)/25)*Calculateur!BL199*Calculateur!BN199*VLOOKUP('Données projet'!$B$11,Paramètres!$A$1:$I$89,3,0)*0.475*44/12</f>
        <v>5.7421529155901041</v>
      </c>
      <c r="BR199" s="21">
        <f>EXP(-LN(2)/2)*BR198+(1-EXP(-LN(2)/2))/(LN(2)/2)*BL199*BO199*VLOOKUP('Données projet'!$B$11,Paramètres!$A$1:$I$89,3,0)*0.475*44/12</f>
        <v>3.0645636741872574E-9</v>
      </c>
      <c r="BS199" s="22">
        <f t="shared" si="169"/>
        <v>45.981250204814664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-3.979039320256561E-13</v>
      </c>
      <c r="BZ199" s="13">
        <f>BY199*VLOOKUP('Données projet'!$B$12,Paramètres!$A$1:$I$89,3,0)*VLOOKUP('Données projet'!$B$12,Paramètres!$A$1:$I$89,5,0)</f>
        <v>-2.379465513513424E-13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213.18424462765137</v>
      </c>
      <c r="CE199" s="59">
        <f t="shared" si="207"/>
        <v>158.77848520346532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14.300311911613578</v>
      </c>
      <c r="CL199" s="21">
        <f>EXP(-LN(2)/25)*CL198+(1-EXP(-LN(2)/25))/(LN(2)/25)*Calculateur!CG199*Calculateur!CI199*VLOOKUP('Données projet'!$B$12,Paramètres!$A$1:$I$89,3,0)*0.475*44/12</f>
        <v>1.372237080139963</v>
      </c>
      <c r="CM199" s="21">
        <f>EXP(-LN(2)/2)*CM198+(1-EXP(-LN(2)/2))/(LN(2)/2)*CG199*CJ199*VLOOKUP('Données projet'!$B$12,Paramètres!$A$1:$I$89,3,0)*0.475*44/12</f>
        <v>1.2546013900298261E-16</v>
      </c>
      <c r="CN199" s="22">
        <f t="shared" si="172"/>
        <v>15.672548991753541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319</v>
      </c>
      <c r="CU199" s="17">
        <f>CT199*VLOOKUP('Données projet'!$B$13,Paramètres!$A$1:$I$89,3,0)*VLOOKUP('Données projet'!$B$13,Paramètres!$A$1:$I$89,5,0)</f>
        <v>253.79640000000001</v>
      </c>
      <c r="CV199" s="13">
        <f t="shared" si="173"/>
        <v>61.39816832228076</v>
      </c>
      <c r="CW199" s="20">
        <f t="shared" si="174"/>
        <v>548.96387316130563</v>
      </c>
      <c r="CX199" s="59">
        <f t="shared" si="196"/>
        <v>842.29720649463889</v>
      </c>
      <c r="CY199" s="59">
        <f ca="1">AVERAGE(OFFSET($CX$3,0,0,'Données projet'!$E$13+1,1))-AVERAGE(OFFSET($H$3,0,0,'Données projet'!$E$13+1,1))</f>
        <v>279.49721661620544</v>
      </c>
      <c r="CZ199" s="59">
        <f t="shared" si="208"/>
        <v>275.18739333988754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4.5016658434073538</v>
      </c>
      <c r="DG199" s="21">
        <f>EXP(-LN(2)/25)*DG198+(1-EXP(-LN(2)/25))/(LN(2)/25)*Calculateur!DB199*Calculateur!DD199*VLOOKUP('Données projet'!$B$13,Paramètres!$A$1:$I$89,3,0)*0.475*44/12</f>
        <v>0.30262400736910144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4.8042898507764553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-6.3550942286383367E-14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278.5296012747549</v>
      </c>
      <c r="T200" s="59">
        <f t="shared" si="204"/>
        <v>370.55343097937077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13.615938983575615</v>
      </c>
      <c r="AA200" s="21">
        <f>EXP(-LN(2)/25)*AA199+(1-EXP(-LN(2)/25))/(LN(2)/25)*Calculateur!V200*Calculateur!X200*VLOOKUP('Données projet'!$B$9,Paramètres!$A$1:$I$89,3,0)*0.475*44/12</f>
        <v>1.1236473012500043</v>
      </c>
      <c r="AB200" s="21">
        <f>EXP(-LN(2)/2)*AB199+(1-EXP(-LN(2)/2))/(LN(2)/2)*V200*Y200*VLOOKUP('Données projet'!$B$9,Paramètres!$A$1:$I$89,3,0)*0.475*44/12</f>
        <v>1.446787500632676E-20</v>
      </c>
      <c r="AC200" s="22">
        <f t="shared" si="163"/>
        <v>14.73958628482562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-6.2527760746888816E-13</v>
      </c>
      <c r="AJ200" s="13">
        <f>AI200*VLOOKUP('Données projet'!$B$10,Paramètres!$A$1:$I$89,3,0)*VLOOKUP('Données projet'!$B$10,Paramètres!$A$1:$I$89,5,0)</f>
        <v>-3.0075852919253523E-13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255.05550867459038</v>
      </c>
      <c r="AO200" s="59">
        <f t="shared" si="205"/>
        <v>119.28597757550295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60.291431089218356</v>
      </c>
      <c r="AV200" s="21">
        <f>EXP(-LN(2)/25)*AV199+(1-EXP(-LN(2)/25))/(LN(2)/25)*Calculateur!AQ200*Calculateur!AS200*VLOOKUP('Données projet'!$B$10,Paramètres!$A$1:$I$89,3,0)*0.475*44/12</f>
        <v>8.3785038579603004</v>
      </c>
      <c r="AW200" s="21">
        <f>EXP(-LN(2)/2)*AW199+(1-EXP(-LN(2)/2))/(LN(2)/2)*AQ200*AT200*VLOOKUP('Données projet'!$B$10,Paramètres!$A$1:$I$89,3,0)*0.475*44/12</f>
        <v>1.1881872342504144E-8</v>
      </c>
      <c r="AX200" s="21">
        <f t="shared" si="166"/>
        <v>68.669934959060527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1.1368683772161603E-12</v>
      </c>
      <c r="BE200" s="13">
        <f>BD200*VLOOKUP('Données projet'!$B$11,Paramètres!$A$1:$I$89,3,0)*VLOOKUP('Données projet'!$B$11,Paramètres!$A$1:$I$89,5,0)</f>
        <v>5.3205440053716299E-13</v>
      </c>
      <c r="BF200" s="13">
        <f t="shared" si="167"/>
        <v>6.579711042921201E-12</v>
      </c>
      <c r="BG200" s="20">
        <f t="shared" si="168"/>
        <v>1.2386324814023317E-11</v>
      </c>
      <c r="BH200" s="59">
        <f t="shared" si="194"/>
        <v>293.33333333334571</v>
      </c>
      <c r="BI200" s="59">
        <f ca="1">AVERAGE(OFFSET($BH$3,0,0,'Données projet'!$E$11+1,1))-AVERAGE(OFFSET($H$3,0,0,'Données projet'!$E$11+1,1))</f>
        <v>181.79645720099597</v>
      </c>
      <c r="BJ200" s="59">
        <f t="shared" si="206"/>
        <v>120.20040029102233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39.450033131804283</v>
      </c>
      <c r="BQ200" s="21">
        <f>EXP(-LN(2)/25)*BQ199+(1-EXP(-LN(2)/25))/(LN(2)/25)*Calculateur!BL200*Calculateur!BN200*VLOOKUP('Données projet'!$B$11,Paramètres!$A$1:$I$89,3,0)*0.475*44/12</f>
        <v>5.5851334421465948</v>
      </c>
      <c r="BR200" s="21">
        <f>EXP(-LN(2)/2)*BR199+(1-EXP(-LN(2)/2))/(LN(2)/2)*BL200*BO200*VLOOKUP('Données projet'!$B$11,Paramètres!$A$1:$I$89,3,0)*0.475*44/12</f>
        <v>2.1669737553957711E-9</v>
      </c>
      <c r="BS200" s="22">
        <f t="shared" si="169"/>
        <v>45.035166576117845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-3.979039320256561E-13</v>
      </c>
      <c r="BZ200" s="13">
        <f>BY200*VLOOKUP('Données projet'!$B$12,Paramètres!$A$1:$I$89,3,0)*VLOOKUP('Données projet'!$B$12,Paramètres!$A$1:$I$89,5,0)</f>
        <v>-2.379465513513424E-13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213.18424462765137</v>
      </c>
      <c r="CE200" s="59">
        <f t="shared" si="207"/>
        <v>158.77848520346532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14.019891517355843</v>
      </c>
      <c r="CL200" s="21">
        <f>EXP(-LN(2)/25)*CL199+(1-EXP(-LN(2)/25))/(LN(2)/25)*Calculateur!CG200*Calculateur!CI200*VLOOKUP('Données projet'!$B$12,Paramètres!$A$1:$I$89,3,0)*0.475*44/12</f>
        <v>1.3347131850207239</v>
      </c>
      <c r="CM200" s="21">
        <f>EXP(-LN(2)/2)*CM199+(1-EXP(-LN(2)/2))/(LN(2)/2)*CG200*CJ200*VLOOKUP('Données projet'!$B$12,Paramètres!$A$1:$I$89,3,0)*0.475*44/12</f>
        <v>8.8713715057615861E-17</v>
      </c>
      <c r="CN200" s="22">
        <f t="shared" si="172"/>
        <v>15.354604702376566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319</v>
      </c>
      <c r="CU200" s="17">
        <f>CT200*VLOOKUP('Données projet'!$B$13,Paramètres!$A$1:$I$89,3,0)*VLOOKUP('Données projet'!$B$13,Paramètres!$A$1:$I$89,5,0)</f>
        <v>253.79640000000001</v>
      </c>
      <c r="CV200" s="13">
        <f t="shared" si="173"/>
        <v>61.39816832228076</v>
      </c>
      <c r="CW200" s="20">
        <f t="shared" si="174"/>
        <v>548.96387316130563</v>
      </c>
      <c r="CX200" s="59">
        <f t="shared" si="196"/>
        <v>842.29720649463889</v>
      </c>
      <c r="CY200" s="59">
        <f ca="1">AVERAGE(OFFSET($CX$3,0,0,'Données projet'!$E$13+1,1))-AVERAGE(OFFSET($H$3,0,0,'Données projet'!$E$13+1,1))</f>
        <v>279.49721661620544</v>
      </c>
      <c r="CZ200" s="59">
        <f t="shared" si="208"/>
        <v>275.18739333988754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4.4133909219631802</v>
      </c>
      <c r="DG200" s="21">
        <f>EXP(-LN(2)/25)*DG199+(1-EXP(-LN(2)/25))/(LN(2)/25)*Calculateur!DB200*Calculateur!DD200*VLOOKUP('Données projet'!$B$13,Paramètres!$A$1:$I$89,3,0)*0.475*44/12</f>
        <v>0.29434873797328848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4.7077396599364683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-6.3550942286383367E-14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278.5296012747549</v>
      </c>
      <c r="T201" s="59">
        <f t="shared" si="204"/>
        <v>370.55343097937077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13.348938725010436</v>
      </c>
      <c r="AA201" s="21">
        <f>EXP(-LN(2)/25)*AA200+(1-EXP(-LN(2)/25))/(LN(2)/25)*Calculateur!V201*Calculateur!X201*VLOOKUP('Données projet'!$B$9,Paramètres!$A$1:$I$89,3,0)*0.475*44/12</f>
        <v>1.0929211067072795</v>
      </c>
      <c r="AB201" s="21">
        <f>EXP(-LN(2)/2)*AB200+(1-EXP(-LN(2)/2))/(LN(2)/2)*V201*Y201*VLOOKUP('Données projet'!$B$9,Paramètres!$A$1:$I$89,3,0)*0.475*44/12</f>
        <v>1.0230332526333016E-20</v>
      </c>
      <c r="AC201" s="22">
        <f t="shared" si="163"/>
        <v>14.441859831717716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-6.2527760746888816E-13</v>
      </c>
      <c r="AJ201" s="13">
        <f>AI201*VLOOKUP('Données projet'!$B$10,Paramètres!$A$1:$I$89,3,0)*VLOOKUP('Données projet'!$B$10,Paramètres!$A$1:$I$89,5,0)</f>
        <v>-3.0075852919253523E-13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255.05550867459038</v>
      </c>
      <c r="AO201" s="59">
        <f t="shared" si="205"/>
        <v>119.28597757550295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59.109152899700604</v>
      </c>
      <c r="AV201" s="21">
        <f>EXP(-LN(2)/25)*AV200+(1-EXP(-LN(2)/25))/(LN(2)/25)*Calculateur!AQ201*Calculateur!AS201*VLOOKUP('Données projet'!$B$10,Paramètres!$A$1:$I$89,3,0)*0.475*44/12</f>
        <v>8.149393229358008</v>
      </c>
      <c r="AW201" s="21">
        <f>EXP(-LN(2)/2)*AW200+(1-EXP(-LN(2)/2))/(LN(2)/2)*AQ201*AT201*VLOOKUP('Données projet'!$B$10,Paramètres!$A$1:$I$89,3,0)*0.475*44/12</f>
        <v>8.4017525065775684E-9</v>
      </c>
      <c r="AX201" s="21">
        <f t="shared" si="166"/>
        <v>67.258546137460371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1.1368683772161603E-12</v>
      </c>
      <c r="BE201" s="13">
        <f>BD201*VLOOKUP('Données projet'!$B$11,Paramètres!$A$1:$I$89,3,0)*VLOOKUP('Données projet'!$B$11,Paramètres!$A$1:$I$89,5,0)</f>
        <v>5.3205440053716299E-13</v>
      </c>
      <c r="BF201" s="13">
        <f t="shared" si="167"/>
        <v>6.579711042921201E-12</v>
      </c>
      <c r="BG201" s="20">
        <f t="shared" si="168"/>
        <v>1.2386324814023317E-11</v>
      </c>
      <c r="BH201" s="59">
        <f t="shared" si="194"/>
        <v>293.33333333334571</v>
      </c>
      <c r="BI201" s="59">
        <f ca="1">AVERAGE(OFFSET($BH$3,0,0,'Données projet'!$E$11+1,1))-AVERAGE(OFFSET($H$3,0,0,'Données projet'!$E$11+1,1))</f>
        <v>181.79645720099597</v>
      </c>
      <c r="BJ201" s="59">
        <f t="shared" si="206"/>
        <v>120.20040029102233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38.676442044233873</v>
      </c>
      <c r="BQ201" s="21">
        <f>EXP(-LN(2)/25)*BQ200+(1-EXP(-LN(2)/25))/(LN(2)/25)*Calculateur!BL201*Calculateur!BN201*VLOOKUP('Données projet'!$B$11,Paramètres!$A$1:$I$89,3,0)*0.475*44/12</f>
        <v>5.4324076744616931</v>
      </c>
      <c r="BR201" s="21">
        <f>EXP(-LN(2)/2)*BR200+(1-EXP(-LN(2)/2))/(LN(2)/2)*BL201*BO201*VLOOKUP('Données projet'!$B$11,Paramètres!$A$1:$I$89,3,0)*0.475*44/12</f>
        <v>1.5322818370936287E-9</v>
      </c>
      <c r="BS201" s="22">
        <f t="shared" si="169"/>
        <v>44.108849720227845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-3.979039320256561E-13</v>
      </c>
      <c r="BZ201" s="13">
        <f>BY201*VLOOKUP('Données projet'!$B$12,Paramètres!$A$1:$I$89,3,0)*VLOOKUP('Données projet'!$B$12,Paramètres!$A$1:$I$89,5,0)</f>
        <v>-2.379465513513424E-13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213.18424462765137</v>
      </c>
      <c r="CE201" s="59">
        <f t="shared" si="207"/>
        <v>158.77848520346532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13.744969995989951</v>
      </c>
      <c r="CL201" s="21">
        <f>EXP(-LN(2)/25)*CL200+(1-EXP(-LN(2)/25))/(LN(2)/25)*Calculateur!CG201*Calculateur!CI201*VLOOKUP('Données projet'!$B$12,Paramètres!$A$1:$I$89,3,0)*0.475*44/12</f>
        <v>1.2982153827868164</v>
      </c>
      <c r="CM201" s="21">
        <f>EXP(-LN(2)/2)*CM200+(1-EXP(-LN(2)/2))/(LN(2)/2)*CG201*CJ201*VLOOKUP('Données projet'!$B$12,Paramètres!$A$1:$I$89,3,0)*0.475*44/12</f>
        <v>6.2730069501491305E-17</v>
      </c>
      <c r="CN201" s="22">
        <f t="shared" si="172"/>
        <v>15.043185378776768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319</v>
      </c>
      <c r="CU201" s="17">
        <f>CT201*VLOOKUP('Données projet'!$B$13,Paramètres!$A$1:$I$89,3,0)*VLOOKUP('Données projet'!$B$13,Paramètres!$A$1:$I$89,5,0)</f>
        <v>253.79640000000001</v>
      </c>
      <c r="CV201" s="13">
        <f t="shared" si="173"/>
        <v>61.39816832228076</v>
      </c>
      <c r="CW201" s="20">
        <f t="shared" si="174"/>
        <v>548.96387316130563</v>
      </c>
      <c r="CX201" s="59">
        <f t="shared" si="196"/>
        <v>842.29720649463889</v>
      </c>
      <c r="CY201" s="59">
        <f ca="1">AVERAGE(OFFSET($CX$3,0,0,'Données projet'!$E$13+1,1))-AVERAGE(OFFSET($H$3,0,0,'Données projet'!$E$13+1,1))</f>
        <v>279.49721661620544</v>
      </c>
      <c r="CZ201" s="59">
        <f t="shared" si="208"/>
        <v>275.18739333988754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4.3268470178861413</v>
      </c>
      <c r="DG201" s="21">
        <f>EXP(-LN(2)/25)*DG200+(1-EXP(-LN(2)/25))/(LN(2)/25)*Calculateur!DB201*Calculateur!DD201*VLOOKUP('Données projet'!$B$13,Paramètres!$A$1:$I$89,3,0)*0.475*44/12</f>
        <v>0.2862997562542815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4.6131467741404233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-6.3550942286383367E-14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278.5296012747549</v>
      </c>
      <c r="T202" s="59">
        <f t="shared" si="204"/>
        <v>370.55343097937077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13.087174178661643</v>
      </c>
      <c r="AA202" s="21">
        <f>EXP(-LN(2)/25)*AA201+(1-EXP(-LN(2)/25))/(LN(2)/25)*Calculateur!V202*Calculateur!X202*VLOOKUP('Données projet'!$B$9,Paramètres!$A$1:$I$89,3,0)*0.475*44/12</f>
        <v>1.0630351215701459</v>
      </c>
      <c r="AB202" s="21">
        <f>EXP(-LN(2)/2)*AB201+(1-EXP(-LN(2)/2))/(LN(2)/2)*V202*Y202*VLOOKUP('Données projet'!$B$9,Paramètres!$A$1:$I$89,3,0)*0.475*44/12</f>
        <v>7.2339375031633799E-21</v>
      </c>
      <c r="AC202" s="22">
        <f t="shared" si="163"/>
        <v>14.150209300231788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-6.2527760746888816E-13</v>
      </c>
      <c r="AJ202" s="13">
        <f>AI202*VLOOKUP('Données projet'!$B$10,Paramètres!$A$1:$I$89,3,0)*VLOOKUP('Données projet'!$B$10,Paramètres!$A$1:$I$89,5,0)</f>
        <v>-3.0075852919253523E-13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255.05550867459038</v>
      </c>
      <c r="AO202" s="59">
        <f t="shared" si="205"/>
        <v>119.28597757550295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57.950058464360801</v>
      </c>
      <c r="AV202" s="21">
        <f>EXP(-LN(2)/25)*AV201+(1-EXP(-LN(2)/25))/(LN(2)/25)*Calculateur!AQ202*Calculateur!AS202*VLOOKUP('Données projet'!$B$10,Paramètres!$A$1:$I$89,3,0)*0.475*44/12</f>
        <v>7.9265476429432491</v>
      </c>
      <c r="AW202" s="21">
        <f>EXP(-LN(2)/2)*AW201+(1-EXP(-LN(2)/2))/(LN(2)/2)*AQ202*AT202*VLOOKUP('Données projet'!$B$10,Paramètres!$A$1:$I$89,3,0)*0.475*44/12</f>
        <v>5.9409361712520719E-9</v>
      </c>
      <c r="AX202" s="21">
        <f t="shared" si="166"/>
        <v>65.876606113244989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1.1368683772161603E-12</v>
      </c>
      <c r="BE202" s="13">
        <f>BD202*VLOOKUP('Données projet'!$B$11,Paramètres!$A$1:$I$89,3,0)*VLOOKUP('Données projet'!$B$11,Paramètres!$A$1:$I$89,5,0)</f>
        <v>5.3205440053716299E-13</v>
      </c>
      <c r="BF202" s="13">
        <f t="shared" si="167"/>
        <v>6.579711042921201E-12</v>
      </c>
      <c r="BG202" s="20">
        <f t="shared" si="168"/>
        <v>1.2386324814023317E-11</v>
      </c>
      <c r="BH202" s="59">
        <f t="shared" si="194"/>
        <v>293.33333333334571</v>
      </c>
      <c r="BI202" s="59">
        <f ca="1">AVERAGE(OFFSET($BH$3,0,0,'Données projet'!$E$11+1,1))-AVERAGE(OFFSET($H$3,0,0,'Données projet'!$E$11+1,1))</f>
        <v>181.79645720099597</v>
      </c>
      <c r="BJ202" s="59">
        <f t="shared" si="206"/>
        <v>120.20040029102233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37.918020606046746</v>
      </c>
      <c r="BQ202" s="21">
        <f>EXP(-LN(2)/25)*BQ201+(1-EXP(-LN(2)/25))/(LN(2)/25)*Calculateur!BL202*Calculateur!BN202*VLOOKUP('Données projet'!$B$11,Paramètres!$A$1:$I$89,3,0)*0.475*44/12</f>
        <v>5.2838582009256347</v>
      </c>
      <c r="BR202" s="21">
        <f>EXP(-LN(2)/2)*BR201+(1-EXP(-LN(2)/2))/(LN(2)/2)*BL202*BO202*VLOOKUP('Données projet'!$B$11,Paramètres!$A$1:$I$89,3,0)*0.475*44/12</f>
        <v>1.0834868776978855E-9</v>
      </c>
      <c r="BS202" s="22">
        <f t="shared" si="169"/>
        <v>43.201878808055866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-3.979039320256561E-13</v>
      </c>
      <c r="BZ202" s="13">
        <f>BY202*VLOOKUP('Données projet'!$B$12,Paramètres!$A$1:$I$89,3,0)*VLOOKUP('Données projet'!$B$12,Paramètres!$A$1:$I$89,5,0)</f>
        <v>-2.379465513513424E-13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213.18424462765137</v>
      </c>
      <c r="CE202" s="59">
        <f t="shared" si="207"/>
        <v>158.77848520346532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13.475439517972474</v>
      </c>
      <c r="CL202" s="21">
        <f>EXP(-LN(2)/25)*CL201+(1-EXP(-LN(2)/25))/(LN(2)/25)*Calculateur!CG202*Calculateur!CI202*VLOOKUP('Données projet'!$B$12,Paramètres!$A$1:$I$89,3,0)*0.475*44/12</f>
        <v>1.262715614874331</v>
      </c>
      <c r="CM202" s="21">
        <f>EXP(-LN(2)/2)*CM201+(1-EXP(-LN(2)/2))/(LN(2)/2)*CG202*CJ202*VLOOKUP('Données projet'!$B$12,Paramètres!$A$1:$I$89,3,0)*0.475*44/12</f>
        <v>4.4356857528807931E-17</v>
      </c>
      <c r="CN202" s="22">
        <f t="shared" si="172"/>
        <v>14.738155132846805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319</v>
      </c>
      <c r="CU202" s="17">
        <f>CT202*VLOOKUP('Données projet'!$B$13,Paramètres!$A$1:$I$89,3,0)*VLOOKUP('Données projet'!$B$13,Paramètres!$A$1:$I$89,5,0)</f>
        <v>253.79640000000001</v>
      </c>
      <c r="CV202" s="13">
        <f t="shared" si="173"/>
        <v>61.39816832228076</v>
      </c>
      <c r="CW202" s="20">
        <f t="shared" si="174"/>
        <v>548.96387316130563</v>
      </c>
      <c r="CX202" s="59">
        <f t="shared" si="196"/>
        <v>842.29720649463889</v>
      </c>
      <c r="CY202" s="59">
        <f ca="1">AVERAGE(OFFSET($CX$3,0,0,'Données projet'!$E$13+1,1))-AVERAGE(OFFSET($H$3,0,0,'Données projet'!$E$13+1,1))</f>
        <v>279.49721661620544</v>
      </c>
      <c r="CZ202" s="59">
        <f t="shared" si="208"/>
        <v>275.18739333988754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4.2420001869814836</v>
      </c>
      <c r="DG202" s="21">
        <f>EXP(-LN(2)/25)*DG201+(1-EXP(-LN(2)/25))/(LN(2)/25)*Calculateur!DB202*Calculateur!DD202*VLOOKUP('Données projet'!$B$13,Paramètres!$A$1:$I$89,3,0)*0.475*44/12</f>
        <v>0.27847087436365836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4.520471061345142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-6.3550942286383367E-14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278.5296012747549</v>
      </c>
      <c r="T203" s="59">
        <f t="shared" si="204"/>
        <v>370.55343097937077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12.830542675406141</v>
      </c>
      <c r="AA203" s="21">
        <f>EXP(-LN(2)/25)*AA202+(1-EXP(-LN(2)/25))/(LN(2)/25)*Calculateur!V203*Calculateur!X203*VLOOKUP('Données projet'!$B$9,Paramètres!$A$1:$I$89,3,0)*0.475*44/12</f>
        <v>1.0339663702682229</v>
      </c>
      <c r="AB203" s="21">
        <f>EXP(-LN(2)/2)*AB202+(1-EXP(-LN(2)/2))/(LN(2)/2)*V203*Y203*VLOOKUP('Données projet'!$B$9,Paramètres!$A$1:$I$89,3,0)*0.475*44/12</f>
        <v>5.115166263166508E-21</v>
      </c>
      <c r="AC203" s="22">
        <f t="shared" si="163"/>
        <v>13.864509045674364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-6.2527760746888816E-13</v>
      </c>
      <c r="AJ203" s="13">
        <f>AI203*VLOOKUP('Données projet'!$B$10,Paramètres!$A$1:$I$89,3,0)*VLOOKUP('Données projet'!$B$10,Paramètres!$A$1:$I$89,5,0)</f>
        <v>-3.0075852919253523E-13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255.05550867459038</v>
      </c>
      <c r="AO203" s="59">
        <f t="shared" si="205"/>
        <v>119.28597757550295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56.813693163920213</v>
      </c>
      <c r="AV203" s="21">
        <f>EXP(-LN(2)/25)*AV202+(1-EXP(-LN(2)/25))/(LN(2)/25)*Calculateur!AQ203*Calculateur!AS203*VLOOKUP('Données projet'!$B$10,Paramètres!$A$1:$I$89,3,0)*0.475*44/12</f>
        <v>7.7097957808079416</v>
      </c>
      <c r="AW203" s="21">
        <f>EXP(-LN(2)/2)*AW202+(1-EXP(-LN(2)/2))/(LN(2)/2)*AQ203*AT203*VLOOKUP('Données projet'!$B$10,Paramètres!$A$1:$I$89,3,0)*0.475*44/12</f>
        <v>4.2008762532887842E-9</v>
      </c>
      <c r="AX203" s="21">
        <f t="shared" si="166"/>
        <v>64.523488948929028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1.1368683772161603E-12</v>
      </c>
      <c r="BE203" s="13">
        <f>BD203*VLOOKUP('Données projet'!$B$11,Paramètres!$A$1:$I$89,3,0)*VLOOKUP('Données projet'!$B$11,Paramètres!$A$1:$I$89,5,0)</f>
        <v>5.3205440053716299E-13</v>
      </c>
      <c r="BF203" s="13">
        <f t="shared" si="167"/>
        <v>6.579711042921201E-12</v>
      </c>
      <c r="BG203" s="20">
        <f t="shared" si="168"/>
        <v>1.2386324814023317E-11</v>
      </c>
      <c r="BH203" s="59">
        <f t="shared" si="194"/>
        <v>293.33333333334571</v>
      </c>
      <c r="BI203" s="59">
        <f ca="1">AVERAGE(OFFSET($BH$3,0,0,'Données projet'!$E$11+1,1))-AVERAGE(OFFSET($H$3,0,0,'Données projet'!$E$11+1,1))</f>
        <v>181.79645720099597</v>
      </c>
      <c r="BJ203" s="59">
        <f t="shared" si="206"/>
        <v>120.20040029102233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37.174471349671066</v>
      </c>
      <c r="BQ203" s="21">
        <f>EXP(-LN(2)/25)*BQ202+(1-EXP(-LN(2)/25))/(LN(2)/25)*Calculateur!BL203*Calculateur!BN203*VLOOKUP('Données projet'!$B$11,Paramètres!$A$1:$I$89,3,0)*0.475*44/12</f>
        <v>5.139370820555297</v>
      </c>
      <c r="BR203" s="21">
        <f>EXP(-LN(2)/2)*BR202+(1-EXP(-LN(2)/2))/(LN(2)/2)*BL203*BO203*VLOOKUP('Données projet'!$B$11,Paramètres!$A$1:$I$89,3,0)*0.475*44/12</f>
        <v>7.6614091854681434E-10</v>
      </c>
      <c r="BS203" s="22">
        <f t="shared" si="169"/>
        <v>42.313842170992508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-3.979039320256561E-13</v>
      </c>
      <c r="BZ203" s="13">
        <f>BY203*VLOOKUP('Données projet'!$B$12,Paramètres!$A$1:$I$89,3,0)*VLOOKUP('Données projet'!$B$12,Paramètres!$A$1:$I$89,5,0)</f>
        <v>-2.379465513513424E-13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213.18424462765137</v>
      </c>
      <c r="CE203" s="59">
        <f t="shared" si="207"/>
        <v>158.77848520346532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13.21119436823156</v>
      </c>
      <c r="CL203" s="21">
        <f>EXP(-LN(2)/25)*CL202+(1-EXP(-LN(2)/25))/(LN(2)/25)*Calculateur!CG203*Calculateur!CI203*VLOOKUP('Données projet'!$B$12,Paramètres!$A$1:$I$89,3,0)*0.475*44/12</f>
        <v>1.2281865899822642</v>
      </c>
      <c r="CM203" s="21">
        <f>EXP(-LN(2)/2)*CM202+(1-EXP(-LN(2)/2))/(LN(2)/2)*CG203*CJ203*VLOOKUP('Données projet'!$B$12,Paramètres!$A$1:$I$89,3,0)*0.475*44/12</f>
        <v>3.1365034750745653E-17</v>
      </c>
      <c r="CN203" s="22">
        <f t="shared" si="172"/>
        <v>14.439380958213825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319</v>
      </c>
      <c r="CU203" s="17">
        <f>CT203*VLOOKUP('Données projet'!$B$13,Paramètres!$A$1:$I$89,3,0)*VLOOKUP('Données projet'!$B$13,Paramètres!$A$1:$I$89,5,0)</f>
        <v>253.79640000000001</v>
      </c>
      <c r="CV203" s="13">
        <f t="shared" si="173"/>
        <v>61.39816832228076</v>
      </c>
      <c r="CW203" s="20">
        <f t="shared" si="174"/>
        <v>548.96387316130563</v>
      </c>
      <c r="CX203" s="59">
        <f t="shared" si="196"/>
        <v>842.29720649463889</v>
      </c>
      <c r="CY203" s="59">
        <f ca="1">AVERAGE(OFFSET($CX$3,0,0,'Données projet'!$E$13+1,1))-AVERAGE(OFFSET($H$3,0,0,'Données projet'!$E$13+1,1))</f>
        <v>279.49721661620544</v>
      </c>
      <c r="CZ203" s="59">
        <f t="shared" si="208"/>
        <v>275.18739333988754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4.1588171506794094</v>
      </c>
      <c r="DG203" s="21">
        <f>EXP(-LN(2)/25)*DG202+(1-EXP(-LN(2)/25))/(LN(2)/25)*Calculateur!DB203*Calculateur!DD203*VLOOKUP('Données projet'!$B$13,Paramètres!$A$1:$I$89,3,0)*0.475*44/12</f>
        <v>0.27085607366003728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4.4296732243394468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103</v>
      </c>
      <c r="BA204" s="81" t="s">
        <v>103</v>
      </c>
      <c r="BV204" s="81" t="s">
        <v>103</v>
      </c>
      <c r="CQ204" s="81" t="s">
        <v>103</v>
      </c>
      <c r="DL204" s="81" t="s">
        <v>103</v>
      </c>
      <c r="EG204" s="81" t="s">
        <v>103</v>
      </c>
      <c r="FB204" s="81" t="s">
        <v>103</v>
      </c>
      <c r="FW204" s="81" t="s">
        <v>103</v>
      </c>
      <c r="GR204" s="81" t="s">
        <v>103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1.3356034260773062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1.1797328328058723</v>
      </c>
      <c r="BA205" s="82">
        <f>EXP(LN('Données projet'!B88)/'Données projet'!A88)</f>
        <v>1.1810516433311786</v>
      </c>
      <c r="BV205" s="82">
        <f>EXP(LN('Données projet'!B114)/'Données projet'!A114)</f>
        <v>1.2476305424001204</v>
      </c>
      <c r="CQ205" s="82">
        <f>EXP(LN('Données projet'!B140)/'Données projet'!A140)</f>
        <v>1.2709816152101407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104</v>
      </c>
      <c r="B1" s="112" t="s">
        <v>105</v>
      </c>
      <c r="C1" s="113" t="s">
        <v>106</v>
      </c>
      <c r="D1" s="112" t="s">
        <v>107</v>
      </c>
      <c r="E1" s="113" t="s">
        <v>108</v>
      </c>
      <c r="F1" s="113" t="s">
        <v>107</v>
      </c>
      <c r="G1" s="113" t="s">
        <v>109</v>
      </c>
      <c r="H1" s="113" t="s">
        <v>107</v>
      </c>
      <c r="I1" s="114" t="s">
        <v>110</v>
      </c>
      <c r="J1" s="78"/>
      <c r="K1" s="78"/>
      <c r="L1" s="78"/>
      <c r="M1" s="78"/>
      <c r="N1" s="78"/>
    </row>
    <row r="2" spans="1:16" x14ac:dyDescent="0.35">
      <c r="A2" s="115" t="s">
        <v>111</v>
      </c>
      <c r="B2" s="116" t="s">
        <v>112</v>
      </c>
      <c r="C2" s="117">
        <v>0.62</v>
      </c>
      <c r="D2" s="117" t="s">
        <v>113</v>
      </c>
      <c r="E2" s="117">
        <v>1.56</v>
      </c>
      <c r="F2" s="117" t="s">
        <v>114</v>
      </c>
      <c r="G2" s="118">
        <v>0.43</v>
      </c>
      <c r="H2" s="119" t="s">
        <v>115</v>
      </c>
      <c r="I2" s="120">
        <v>0.25</v>
      </c>
      <c r="J2" s="78"/>
      <c r="K2" s="78"/>
      <c r="L2" s="78"/>
      <c r="M2" s="78"/>
      <c r="N2" s="78"/>
      <c r="O2" s="289" t="s">
        <v>116</v>
      </c>
      <c r="P2" s="121">
        <v>0</v>
      </c>
    </row>
    <row r="3" spans="1:16" ht="15" thickBot="1" x14ac:dyDescent="0.4">
      <c r="A3" s="122" t="s">
        <v>117</v>
      </c>
      <c r="B3" s="123" t="s">
        <v>118</v>
      </c>
      <c r="C3" s="124">
        <v>0.64</v>
      </c>
      <c r="D3" s="124" t="s">
        <v>113</v>
      </c>
      <c r="E3" s="124">
        <v>1.56</v>
      </c>
      <c r="F3" s="125" t="s">
        <v>114</v>
      </c>
      <c r="G3" s="126">
        <v>0.43</v>
      </c>
      <c r="H3" s="124" t="s">
        <v>115</v>
      </c>
      <c r="I3" s="127">
        <v>0.25</v>
      </c>
      <c r="J3" s="78"/>
      <c r="K3" s="78"/>
      <c r="L3" s="78"/>
      <c r="M3" s="78"/>
      <c r="N3" s="78"/>
      <c r="O3" s="290"/>
      <c r="P3" s="128">
        <v>0.2</v>
      </c>
    </row>
    <row r="4" spans="1:16" ht="15" thickBot="1" x14ac:dyDescent="0.4">
      <c r="A4" s="122" t="s">
        <v>119</v>
      </c>
      <c r="B4" s="123" t="s">
        <v>120</v>
      </c>
      <c r="C4" s="124">
        <v>0.42</v>
      </c>
      <c r="D4" s="124" t="s">
        <v>113</v>
      </c>
      <c r="E4" s="124">
        <v>1.56</v>
      </c>
      <c r="F4" s="125" t="s">
        <v>114</v>
      </c>
      <c r="G4" s="126">
        <v>0.43</v>
      </c>
      <c r="H4" s="124" t="s">
        <v>115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121</v>
      </c>
      <c r="B5" s="123" t="s">
        <v>122</v>
      </c>
      <c r="C5" s="124">
        <v>0.42</v>
      </c>
      <c r="D5" s="124" t="s">
        <v>113</v>
      </c>
      <c r="E5" s="124">
        <v>1.56</v>
      </c>
      <c r="F5" s="125" t="s">
        <v>114</v>
      </c>
      <c r="G5" s="126">
        <v>0.43</v>
      </c>
      <c r="H5" s="124" t="s">
        <v>115</v>
      </c>
      <c r="I5" s="127">
        <v>0.25</v>
      </c>
      <c r="J5" s="78"/>
      <c r="K5" s="78"/>
      <c r="L5" s="78"/>
      <c r="M5" s="78"/>
      <c r="N5" s="78"/>
      <c r="O5" s="289" t="s">
        <v>123</v>
      </c>
      <c r="P5" s="121">
        <v>0</v>
      </c>
    </row>
    <row r="6" spans="1:16" x14ac:dyDescent="0.35">
      <c r="A6" s="122" t="s">
        <v>124</v>
      </c>
      <c r="B6" s="123" t="s">
        <v>125</v>
      </c>
      <c r="C6" s="124">
        <v>0.42</v>
      </c>
      <c r="D6" s="124" t="s">
        <v>113</v>
      </c>
      <c r="E6" s="124">
        <v>1.56</v>
      </c>
      <c r="F6" s="125" t="s">
        <v>114</v>
      </c>
      <c r="G6" s="126">
        <v>0.43</v>
      </c>
      <c r="H6" s="124" t="s">
        <v>115</v>
      </c>
      <c r="I6" s="127">
        <v>0.25</v>
      </c>
      <c r="J6" s="78"/>
      <c r="K6" s="78"/>
      <c r="L6" s="78"/>
      <c r="M6" s="78"/>
      <c r="N6" s="78"/>
      <c r="O6" s="291"/>
      <c r="P6" s="129">
        <v>0.05</v>
      </c>
    </row>
    <row r="7" spans="1:16" x14ac:dyDescent="0.35">
      <c r="A7" s="122" t="s">
        <v>126</v>
      </c>
      <c r="B7" s="123" t="s">
        <v>127</v>
      </c>
      <c r="C7" s="124">
        <v>0.52</v>
      </c>
      <c r="D7" s="124" t="s">
        <v>113</v>
      </c>
      <c r="E7" s="124">
        <v>1.56</v>
      </c>
      <c r="F7" s="125" t="s">
        <v>114</v>
      </c>
      <c r="G7" s="126">
        <v>0.43</v>
      </c>
      <c r="H7" s="124" t="s">
        <v>115</v>
      </c>
      <c r="I7" s="127">
        <v>0.25</v>
      </c>
      <c r="J7" s="78"/>
      <c r="K7" s="78"/>
      <c r="L7" s="78"/>
      <c r="M7" s="78"/>
      <c r="N7" s="78"/>
      <c r="O7" s="291"/>
      <c r="P7" s="129">
        <v>0.1</v>
      </c>
    </row>
    <row r="8" spans="1:16" ht="15" thickBot="1" x14ac:dyDescent="0.4">
      <c r="A8" s="122" t="s">
        <v>21</v>
      </c>
      <c r="B8" s="123" t="s">
        <v>128</v>
      </c>
      <c r="C8" s="124">
        <v>0.36</v>
      </c>
      <c r="D8" s="124" t="s">
        <v>113</v>
      </c>
      <c r="E8" s="124">
        <v>1.3</v>
      </c>
      <c r="F8" s="125" t="s">
        <v>114</v>
      </c>
      <c r="G8" s="126">
        <v>0.55000000000000004</v>
      </c>
      <c r="H8" s="124" t="s">
        <v>129</v>
      </c>
      <c r="I8" s="127">
        <v>0.43</v>
      </c>
      <c r="J8" s="78"/>
      <c r="K8" s="78"/>
      <c r="L8" s="78"/>
      <c r="M8" s="78"/>
      <c r="N8" s="78"/>
      <c r="O8" s="290"/>
      <c r="P8" s="128">
        <v>0.15</v>
      </c>
    </row>
    <row r="9" spans="1:16" ht="15" thickBot="1" x14ac:dyDescent="0.4">
      <c r="A9" s="122" t="s">
        <v>130</v>
      </c>
      <c r="B9" s="123" t="s">
        <v>131</v>
      </c>
      <c r="C9" s="124">
        <v>0.61</v>
      </c>
      <c r="D9" s="124" t="s">
        <v>113</v>
      </c>
      <c r="E9" s="124">
        <v>1.56</v>
      </c>
      <c r="F9" s="125" t="s">
        <v>114</v>
      </c>
      <c r="G9" s="126">
        <v>0.43</v>
      </c>
      <c r="H9" s="124" t="s">
        <v>115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132</v>
      </c>
      <c r="B10" s="123" t="s">
        <v>133</v>
      </c>
      <c r="C10" s="124">
        <v>0.66</v>
      </c>
      <c r="D10" s="124" t="s">
        <v>113</v>
      </c>
      <c r="E10" s="124">
        <v>1.56</v>
      </c>
      <c r="F10" s="125" t="s">
        <v>114</v>
      </c>
      <c r="G10" s="126">
        <v>0.43</v>
      </c>
      <c r="H10" s="124" t="s">
        <v>115</v>
      </c>
      <c r="I10" s="127">
        <v>0.25</v>
      </c>
      <c r="J10" s="78"/>
      <c r="K10" s="78"/>
      <c r="L10" s="78"/>
      <c r="M10" s="78"/>
      <c r="N10" s="78"/>
      <c r="O10" s="289" t="s">
        <v>134</v>
      </c>
      <c r="P10" s="121">
        <v>0</v>
      </c>
    </row>
    <row r="11" spans="1:16" ht="15" thickBot="1" x14ac:dyDescent="0.4">
      <c r="A11" s="122" t="s">
        <v>135</v>
      </c>
      <c r="B11" s="123" t="s">
        <v>136</v>
      </c>
      <c r="C11" s="124">
        <v>0.47</v>
      </c>
      <c r="D11" s="124" t="s">
        <v>113</v>
      </c>
      <c r="E11" s="124">
        <v>1.56</v>
      </c>
      <c r="F11" s="125" t="s">
        <v>114</v>
      </c>
      <c r="G11" s="126">
        <v>0.43</v>
      </c>
      <c r="H11" s="124" t="s">
        <v>115</v>
      </c>
      <c r="I11" s="127">
        <v>0.25</v>
      </c>
      <c r="J11" s="78"/>
      <c r="K11" s="78"/>
      <c r="L11" s="78"/>
      <c r="M11" s="78"/>
      <c r="N11" s="78"/>
      <c r="O11" s="290"/>
      <c r="P11" s="128">
        <v>0.1</v>
      </c>
    </row>
    <row r="12" spans="1:16" x14ac:dyDescent="0.35">
      <c r="A12" s="122" t="s">
        <v>137</v>
      </c>
      <c r="B12" s="123" t="s">
        <v>138</v>
      </c>
      <c r="C12" s="124">
        <v>0.67</v>
      </c>
      <c r="D12" s="124" t="s">
        <v>113</v>
      </c>
      <c r="E12" s="124">
        <v>1.56</v>
      </c>
      <c r="F12" s="125" t="s">
        <v>114</v>
      </c>
      <c r="G12" s="126">
        <v>0.43</v>
      </c>
      <c r="H12" s="124" t="s">
        <v>139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140</v>
      </c>
      <c r="B13" s="123" t="s">
        <v>141</v>
      </c>
      <c r="C13" s="124">
        <v>0.7</v>
      </c>
      <c r="D13" s="124" t="s">
        <v>113</v>
      </c>
      <c r="E13" s="124">
        <v>1.56</v>
      </c>
      <c r="F13" s="125" t="s">
        <v>114</v>
      </c>
      <c r="G13" s="126">
        <v>0.43</v>
      </c>
      <c r="H13" s="124" t="s">
        <v>139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142</v>
      </c>
      <c r="B14" s="123" t="s">
        <v>143</v>
      </c>
      <c r="C14" s="124">
        <v>0.54</v>
      </c>
      <c r="D14" s="124" t="s">
        <v>113</v>
      </c>
      <c r="E14" s="124">
        <v>1.56</v>
      </c>
      <c r="F14" s="125" t="s">
        <v>114</v>
      </c>
      <c r="G14" s="126">
        <v>0.43</v>
      </c>
      <c r="H14" s="124" t="s">
        <v>139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144</v>
      </c>
      <c r="B15" s="123" t="s">
        <v>145</v>
      </c>
      <c r="C15" s="124">
        <v>0.65</v>
      </c>
      <c r="D15" s="124" t="s">
        <v>113</v>
      </c>
      <c r="E15" s="124">
        <v>1.56</v>
      </c>
      <c r="F15" s="125" t="s">
        <v>114</v>
      </c>
      <c r="G15" s="126">
        <v>0.43</v>
      </c>
      <c r="H15" s="124" t="s">
        <v>139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146</v>
      </c>
      <c r="B16" s="123" t="s">
        <v>147</v>
      </c>
      <c r="C16" s="124">
        <v>0.56000000000000005</v>
      </c>
      <c r="D16" s="124" t="s">
        <v>113</v>
      </c>
      <c r="E16" s="124">
        <v>1.56</v>
      </c>
      <c r="F16" s="125" t="s">
        <v>114</v>
      </c>
      <c r="G16" s="126">
        <v>0.43</v>
      </c>
      <c r="H16" s="124" t="s">
        <v>139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148</v>
      </c>
      <c r="B17" s="123" t="s">
        <v>149</v>
      </c>
      <c r="C17" s="124">
        <v>0.57999999999999996</v>
      </c>
      <c r="D17" s="124" t="s">
        <v>113</v>
      </c>
      <c r="E17" s="124">
        <v>1.56</v>
      </c>
      <c r="F17" s="125" t="s">
        <v>114</v>
      </c>
      <c r="G17" s="126">
        <v>0.43</v>
      </c>
      <c r="H17" s="124" t="s">
        <v>139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150</v>
      </c>
      <c r="B18" s="123" t="s">
        <v>151</v>
      </c>
      <c r="C18" s="124">
        <v>0.64</v>
      </c>
      <c r="D18" s="124" t="s">
        <v>113</v>
      </c>
      <c r="E18" s="124">
        <v>1.56</v>
      </c>
      <c r="F18" s="125" t="s">
        <v>114</v>
      </c>
      <c r="G18" s="126">
        <v>0.43</v>
      </c>
      <c r="H18" s="124" t="s">
        <v>139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152</v>
      </c>
      <c r="B19" s="123" t="s">
        <v>153</v>
      </c>
      <c r="C19" s="124">
        <v>0.73</v>
      </c>
      <c r="D19" s="124" t="s">
        <v>113</v>
      </c>
      <c r="E19" s="124">
        <v>1.56</v>
      </c>
      <c r="F19" s="125" t="s">
        <v>114</v>
      </c>
      <c r="G19" s="126">
        <v>0.43</v>
      </c>
      <c r="H19" s="124" t="s">
        <v>139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154</v>
      </c>
      <c r="B20" s="123" t="s">
        <v>155</v>
      </c>
      <c r="C20" s="124">
        <v>0.69</v>
      </c>
      <c r="D20" s="124" t="s">
        <v>156</v>
      </c>
      <c r="E20" s="124">
        <v>1.56</v>
      </c>
      <c r="F20" s="125" t="s">
        <v>114</v>
      </c>
      <c r="G20" s="126">
        <v>0.43</v>
      </c>
      <c r="H20" s="124" t="s">
        <v>157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158</v>
      </c>
      <c r="B21" s="123" t="s">
        <v>159</v>
      </c>
      <c r="C21" s="124">
        <v>0.36</v>
      </c>
      <c r="D21" s="124" t="s">
        <v>113</v>
      </c>
      <c r="E21" s="124">
        <v>1.3</v>
      </c>
      <c r="F21" s="125" t="s">
        <v>114</v>
      </c>
      <c r="G21" s="126">
        <v>0.55000000000000004</v>
      </c>
      <c r="H21" s="124" t="s">
        <v>129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160</v>
      </c>
      <c r="B22" s="123" t="s">
        <v>161</v>
      </c>
      <c r="C22" s="124">
        <v>0.4</v>
      </c>
      <c r="D22" s="124" t="s">
        <v>113</v>
      </c>
      <c r="E22" s="124">
        <v>1.3</v>
      </c>
      <c r="F22" s="125" t="s">
        <v>114</v>
      </c>
      <c r="G22" s="126">
        <v>0.55000000000000004</v>
      </c>
      <c r="H22" s="124" t="s">
        <v>129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162</v>
      </c>
      <c r="C23" s="124">
        <v>0.43</v>
      </c>
      <c r="D23" s="124" t="s">
        <v>113</v>
      </c>
      <c r="E23" s="124">
        <v>1.3</v>
      </c>
      <c r="F23" s="125" t="s">
        <v>114</v>
      </c>
      <c r="G23" s="126">
        <v>0.55000000000000004</v>
      </c>
      <c r="H23" s="124" t="s">
        <v>129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73</v>
      </c>
      <c r="B24" s="123" t="s">
        <v>163</v>
      </c>
      <c r="C24" s="124">
        <v>0.37</v>
      </c>
      <c r="D24" s="124" t="s">
        <v>113</v>
      </c>
      <c r="E24" s="124">
        <v>1.3</v>
      </c>
      <c r="F24" s="125" t="s">
        <v>114</v>
      </c>
      <c r="G24" s="126">
        <v>0.55000000000000004</v>
      </c>
      <c r="H24" s="124" t="s">
        <v>139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164</v>
      </c>
      <c r="B25" s="123" t="s">
        <v>165</v>
      </c>
      <c r="C25" s="124">
        <v>0.36</v>
      </c>
      <c r="D25" s="124" t="s">
        <v>113</v>
      </c>
      <c r="E25" s="124">
        <v>1.3</v>
      </c>
      <c r="F25" s="125" t="s">
        <v>114</v>
      </c>
      <c r="G25" s="126">
        <v>0.55000000000000004</v>
      </c>
      <c r="H25" s="124" t="s">
        <v>139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166</v>
      </c>
      <c r="B26" s="123" t="s">
        <v>167</v>
      </c>
      <c r="C26" s="124">
        <v>0.56000000000000005</v>
      </c>
      <c r="D26" s="124" t="s">
        <v>113</v>
      </c>
      <c r="E26" s="124">
        <v>1.56</v>
      </c>
      <c r="F26" s="125" t="s">
        <v>114</v>
      </c>
      <c r="G26" s="126">
        <v>0.53</v>
      </c>
      <c r="H26" s="124" t="s">
        <v>168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169</v>
      </c>
      <c r="B27" s="123" t="s">
        <v>170</v>
      </c>
      <c r="C27" s="124">
        <v>0.51</v>
      </c>
      <c r="D27" s="124" t="s">
        <v>113</v>
      </c>
      <c r="E27" s="124">
        <v>1.56</v>
      </c>
      <c r="F27" s="125" t="s">
        <v>114</v>
      </c>
      <c r="G27" s="126">
        <v>0.53</v>
      </c>
      <c r="H27" s="124" t="s">
        <v>168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25</v>
      </c>
      <c r="B28" s="123" t="s">
        <v>171</v>
      </c>
      <c r="C28" s="124">
        <v>0.51</v>
      </c>
      <c r="D28" s="124" t="s">
        <v>113</v>
      </c>
      <c r="E28" s="124">
        <v>1.56</v>
      </c>
      <c r="F28" s="125" t="s">
        <v>114</v>
      </c>
      <c r="G28" s="126">
        <v>0.53</v>
      </c>
      <c r="H28" s="124" t="s">
        <v>168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172</v>
      </c>
      <c r="B29" s="123" t="s">
        <v>172</v>
      </c>
      <c r="C29" s="124">
        <v>0.56000000000000005</v>
      </c>
      <c r="D29" s="124" t="s">
        <v>113</v>
      </c>
      <c r="E29" s="124">
        <v>1.56</v>
      </c>
      <c r="F29" s="125" t="s">
        <v>114</v>
      </c>
      <c r="G29" s="126">
        <v>0.53</v>
      </c>
      <c r="H29" s="124" t="s">
        <v>168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173</v>
      </c>
      <c r="B30" s="123" t="s">
        <v>174</v>
      </c>
      <c r="C30" s="124">
        <v>0.55000000000000004</v>
      </c>
      <c r="D30" s="124" t="s">
        <v>113</v>
      </c>
      <c r="E30" s="124">
        <v>1.56</v>
      </c>
      <c r="F30" s="125" t="s">
        <v>114</v>
      </c>
      <c r="G30" s="126">
        <v>0.53</v>
      </c>
      <c r="H30" s="124" t="s">
        <v>139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175</v>
      </c>
      <c r="B31" s="123" t="s">
        <v>176</v>
      </c>
      <c r="C31" s="124">
        <v>0.56000000000000005</v>
      </c>
      <c r="D31" s="124" t="s">
        <v>113</v>
      </c>
      <c r="E31" s="124">
        <v>1.56</v>
      </c>
      <c r="F31" s="125" t="s">
        <v>114</v>
      </c>
      <c r="G31" s="126">
        <v>0.43</v>
      </c>
      <c r="H31" s="124" t="s">
        <v>115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177</v>
      </c>
      <c r="B32" s="123" t="s">
        <v>178</v>
      </c>
      <c r="C32" s="124">
        <v>0.48</v>
      </c>
      <c r="D32" s="124" t="s">
        <v>113</v>
      </c>
      <c r="E32" s="124">
        <v>1.3</v>
      </c>
      <c r="F32" s="125" t="s">
        <v>114</v>
      </c>
      <c r="G32" s="126">
        <v>0.6</v>
      </c>
      <c r="H32" s="124" t="s">
        <v>179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180</v>
      </c>
      <c r="B33" s="123" t="s">
        <v>181</v>
      </c>
      <c r="C33" s="124">
        <v>0.42</v>
      </c>
      <c r="D33" s="124" t="s">
        <v>113</v>
      </c>
      <c r="E33" s="124">
        <v>1.3</v>
      </c>
      <c r="F33" s="125" t="s">
        <v>114</v>
      </c>
      <c r="G33" s="126">
        <v>0.6</v>
      </c>
      <c r="H33" s="124" t="s">
        <v>179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182</v>
      </c>
      <c r="B34" s="123" t="s">
        <v>183</v>
      </c>
      <c r="C34" s="124">
        <v>0.42</v>
      </c>
      <c r="D34" s="124" t="s">
        <v>184</v>
      </c>
      <c r="E34" s="124">
        <v>1.3</v>
      </c>
      <c r="F34" s="125" t="s">
        <v>114</v>
      </c>
      <c r="G34" s="126">
        <v>0.6</v>
      </c>
      <c r="H34" s="123" t="s">
        <v>185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186</v>
      </c>
      <c r="B35" s="123" t="s">
        <v>187</v>
      </c>
      <c r="C35" s="124">
        <v>0.5</v>
      </c>
      <c r="D35" s="124" t="s">
        <v>113</v>
      </c>
      <c r="E35" s="124">
        <v>1.56</v>
      </c>
      <c r="F35" s="125" t="s">
        <v>114</v>
      </c>
      <c r="G35" s="126">
        <v>0.43</v>
      </c>
      <c r="H35" s="124" t="s">
        <v>115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188</v>
      </c>
      <c r="B36" s="123" t="s">
        <v>189</v>
      </c>
      <c r="C36" s="124">
        <v>0.55000000000000004</v>
      </c>
      <c r="D36" s="124" t="s">
        <v>113</v>
      </c>
      <c r="E36" s="124">
        <v>1.56</v>
      </c>
      <c r="F36" s="125" t="s">
        <v>114</v>
      </c>
      <c r="G36" s="126">
        <v>0.53</v>
      </c>
      <c r="H36" s="124" t="s">
        <v>168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190</v>
      </c>
      <c r="B37" s="123" t="s">
        <v>191</v>
      </c>
      <c r="C37" s="124">
        <v>0.52</v>
      </c>
      <c r="D37" s="124" t="s">
        <v>113</v>
      </c>
      <c r="E37" s="124">
        <v>1.56</v>
      </c>
      <c r="F37" s="125" t="s">
        <v>114</v>
      </c>
      <c r="G37" s="126">
        <v>0.53</v>
      </c>
      <c r="H37" s="124" t="s">
        <v>168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192</v>
      </c>
      <c r="B38" s="123" t="s">
        <v>193</v>
      </c>
      <c r="C38" s="124">
        <v>0.52</v>
      </c>
      <c r="D38" s="124" t="s">
        <v>113</v>
      </c>
      <c r="E38" s="124">
        <v>1.56</v>
      </c>
      <c r="F38" s="125" t="s">
        <v>114</v>
      </c>
      <c r="G38" s="126">
        <v>0.43</v>
      </c>
      <c r="H38" s="124" t="s">
        <v>115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194</v>
      </c>
      <c r="B39" s="123" t="s">
        <v>195</v>
      </c>
      <c r="C39" s="124">
        <v>0.313</v>
      </c>
      <c r="D39" s="124" t="s">
        <v>196</v>
      </c>
      <c r="E39" s="124">
        <v>1.56</v>
      </c>
      <c r="F39" s="125" t="s">
        <v>114</v>
      </c>
      <c r="G39" s="126">
        <v>0.6</v>
      </c>
      <c r="H39" s="124" t="s">
        <v>197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198</v>
      </c>
      <c r="B40" s="123" t="s">
        <v>195</v>
      </c>
      <c r="C40" s="124">
        <v>0.35199999999999998</v>
      </c>
      <c r="D40" s="124" t="s">
        <v>196</v>
      </c>
      <c r="E40" s="124">
        <v>1.56</v>
      </c>
      <c r="F40" s="125" t="s">
        <v>114</v>
      </c>
      <c r="G40" s="126">
        <v>0.6</v>
      </c>
      <c r="H40" s="124" t="s">
        <v>197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199</v>
      </c>
      <c r="B41" s="123" t="s">
        <v>195</v>
      </c>
      <c r="C41" s="124">
        <v>0.32200000000000001</v>
      </c>
      <c r="D41" s="124" t="s">
        <v>196</v>
      </c>
      <c r="E41" s="124">
        <v>1.56</v>
      </c>
      <c r="F41" s="125" t="s">
        <v>114</v>
      </c>
      <c r="G41" s="126">
        <v>0.6</v>
      </c>
      <c r="H41" s="124" t="s">
        <v>197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200</v>
      </c>
      <c r="B42" s="123" t="s">
        <v>195</v>
      </c>
      <c r="C42" s="124">
        <v>0.311</v>
      </c>
      <c r="D42" s="124" t="s">
        <v>196</v>
      </c>
      <c r="E42" s="124">
        <v>1.56</v>
      </c>
      <c r="F42" s="125" t="s">
        <v>114</v>
      </c>
      <c r="G42" s="126">
        <v>0.6</v>
      </c>
      <c r="H42" s="124" t="s">
        <v>197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201</v>
      </c>
      <c r="B43" s="123" t="s">
        <v>195</v>
      </c>
      <c r="C43" s="124">
        <v>0.33900000000000002</v>
      </c>
      <c r="D43" s="124" t="s">
        <v>196</v>
      </c>
      <c r="E43" s="124">
        <v>1.56</v>
      </c>
      <c r="F43" s="125" t="s">
        <v>114</v>
      </c>
      <c r="G43" s="126">
        <v>0.6</v>
      </c>
      <c r="H43" s="124" t="s">
        <v>197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202</v>
      </c>
      <c r="B44" s="123" t="s">
        <v>195</v>
      </c>
      <c r="C44" s="124">
        <v>0.33600000000000002</v>
      </c>
      <c r="D44" s="124" t="s">
        <v>196</v>
      </c>
      <c r="E44" s="124">
        <v>1.56</v>
      </c>
      <c r="F44" s="125" t="s">
        <v>114</v>
      </c>
      <c r="G44" s="126">
        <v>0.6</v>
      </c>
      <c r="H44" s="124" t="s">
        <v>197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203</v>
      </c>
      <c r="B45" s="123" t="s">
        <v>195</v>
      </c>
      <c r="C45" s="124">
        <v>0.32900000000000001</v>
      </c>
      <c r="D45" s="124" t="s">
        <v>196</v>
      </c>
      <c r="E45" s="124">
        <v>1.56</v>
      </c>
      <c r="F45" s="125" t="s">
        <v>114</v>
      </c>
      <c r="G45" s="126">
        <v>0.6</v>
      </c>
      <c r="H45" s="124" t="s">
        <v>197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204</v>
      </c>
      <c r="B46" s="123" t="s">
        <v>195</v>
      </c>
      <c r="C46" s="124">
        <v>0.34300000000000003</v>
      </c>
      <c r="D46" s="124" t="s">
        <v>196</v>
      </c>
      <c r="E46" s="124">
        <v>1.56</v>
      </c>
      <c r="F46" s="125" t="s">
        <v>114</v>
      </c>
      <c r="G46" s="126">
        <v>0.6</v>
      </c>
      <c r="H46" s="124" t="s">
        <v>197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205</v>
      </c>
      <c r="B47" s="123" t="s">
        <v>195</v>
      </c>
      <c r="C47" s="124">
        <v>0.32500000000000001</v>
      </c>
      <c r="D47" s="124" t="s">
        <v>196</v>
      </c>
      <c r="E47" s="124">
        <v>1.56</v>
      </c>
      <c r="F47" s="125" t="s">
        <v>114</v>
      </c>
      <c r="G47" s="126">
        <v>0.6</v>
      </c>
      <c r="H47" s="124" t="s">
        <v>197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206</v>
      </c>
      <c r="B48" s="123" t="s">
        <v>195</v>
      </c>
      <c r="C48" s="124">
        <v>0.32</v>
      </c>
      <c r="D48" s="124" t="s">
        <v>196</v>
      </c>
      <c r="E48" s="124">
        <v>1.56</v>
      </c>
      <c r="F48" s="125" t="s">
        <v>114</v>
      </c>
      <c r="G48" s="126">
        <v>0.6</v>
      </c>
      <c r="H48" s="124" t="s">
        <v>197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207</v>
      </c>
      <c r="B49" s="123" t="s">
        <v>195</v>
      </c>
      <c r="C49" s="124">
        <v>0.28199999999999997</v>
      </c>
      <c r="D49" s="124" t="s">
        <v>196</v>
      </c>
      <c r="E49" s="124">
        <v>1.56</v>
      </c>
      <c r="F49" s="125" t="s">
        <v>114</v>
      </c>
      <c r="G49" s="126">
        <v>0.6</v>
      </c>
      <c r="H49" s="124" t="s">
        <v>197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208</v>
      </c>
      <c r="B50" s="123" t="s">
        <v>195</v>
      </c>
      <c r="C50" s="124">
        <v>0.32800000000000001</v>
      </c>
      <c r="D50" s="124" t="s">
        <v>196</v>
      </c>
      <c r="E50" s="124">
        <v>1.56</v>
      </c>
      <c r="F50" s="125" t="s">
        <v>114</v>
      </c>
      <c r="G50" s="126">
        <v>0.6</v>
      </c>
      <c r="H50" s="124" t="s">
        <v>197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209</v>
      </c>
      <c r="B51" s="123" t="s">
        <v>195</v>
      </c>
      <c r="C51" s="124">
        <v>0.32600000000000001</v>
      </c>
      <c r="D51" s="124" t="s">
        <v>196</v>
      </c>
      <c r="E51" s="124">
        <v>1.56</v>
      </c>
      <c r="F51" s="125" t="s">
        <v>114</v>
      </c>
      <c r="G51" s="126">
        <v>0.6</v>
      </c>
      <c r="H51" s="124" t="s">
        <v>197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210</v>
      </c>
      <c r="B52" s="123" t="s">
        <v>195</v>
      </c>
      <c r="C52" s="124">
        <v>0.35899999999999999</v>
      </c>
      <c r="D52" s="124" t="s">
        <v>196</v>
      </c>
      <c r="E52" s="124">
        <v>1.56</v>
      </c>
      <c r="F52" s="125" t="s">
        <v>114</v>
      </c>
      <c r="G52" s="126">
        <v>0.6</v>
      </c>
      <c r="H52" s="124" t="s">
        <v>197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211</v>
      </c>
      <c r="B53" s="123" t="s">
        <v>195</v>
      </c>
      <c r="C53" s="124">
        <v>0.34599999999999997</v>
      </c>
      <c r="D53" s="124" t="s">
        <v>196</v>
      </c>
      <c r="E53" s="124">
        <v>1.56</v>
      </c>
      <c r="F53" s="125" t="s">
        <v>114</v>
      </c>
      <c r="G53" s="126">
        <v>0.6</v>
      </c>
      <c r="H53" s="124" t="s">
        <v>197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212</v>
      </c>
      <c r="B54" s="123" t="s">
        <v>195</v>
      </c>
      <c r="C54" s="124">
        <v>0.32600000000000001</v>
      </c>
      <c r="D54" s="124" t="s">
        <v>196</v>
      </c>
      <c r="E54" s="124">
        <v>1.56</v>
      </c>
      <c r="F54" s="125" t="s">
        <v>114</v>
      </c>
      <c r="G54" s="126">
        <v>0.6</v>
      </c>
      <c r="H54" s="124" t="s">
        <v>197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213</v>
      </c>
      <c r="B55" s="123" t="s">
        <v>195</v>
      </c>
      <c r="C55" s="124">
        <v>0.30499999999999999</v>
      </c>
      <c r="D55" s="124" t="s">
        <v>196</v>
      </c>
      <c r="E55" s="124">
        <v>1.56</v>
      </c>
      <c r="F55" s="125" t="s">
        <v>114</v>
      </c>
      <c r="G55" s="126">
        <v>0.6</v>
      </c>
      <c r="H55" s="124" t="s">
        <v>197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214</v>
      </c>
      <c r="B56" s="123" t="s">
        <v>195</v>
      </c>
      <c r="C56" s="124">
        <v>0.32300000000000001</v>
      </c>
      <c r="D56" s="124" t="s">
        <v>196</v>
      </c>
      <c r="E56" s="124">
        <v>1.56</v>
      </c>
      <c r="F56" s="125" t="s">
        <v>114</v>
      </c>
      <c r="G56" s="126">
        <v>0.6</v>
      </c>
      <c r="H56" s="124" t="s">
        <v>197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215</v>
      </c>
      <c r="B57" s="123" t="s">
        <v>195</v>
      </c>
      <c r="C57" s="124">
        <v>0.36699999999999999</v>
      </c>
      <c r="D57" s="124" t="s">
        <v>196</v>
      </c>
      <c r="E57" s="124">
        <v>1.56</v>
      </c>
      <c r="F57" s="125" t="s">
        <v>114</v>
      </c>
      <c r="G57" s="126">
        <v>0.6</v>
      </c>
      <c r="H57" s="124" t="s">
        <v>197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216</v>
      </c>
      <c r="B58" s="123" t="s">
        <v>195</v>
      </c>
      <c r="C58" s="124">
        <v>0.36</v>
      </c>
      <c r="D58" s="124" t="s">
        <v>196</v>
      </c>
      <c r="E58" s="124">
        <v>1.56</v>
      </c>
      <c r="F58" s="125" t="s">
        <v>114</v>
      </c>
      <c r="G58" s="126">
        <v>0.6</v>
      </c>
      <c r="H58" s="124" t="s">
        <v>197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217</v>
      </c>
      <c r="B59" s="123" t="s">
        <v>195</v>
      </c>
      <c r="C59" s="124">
        <v>0.36799999999999999</v>
      </c>
      <c r="D59" s="124" t="s">
        <v>196</v>
      </c>
      <c r="E59" s="124">
        <v>1.56</v>
      </c>
      <c r="F59" s="125" t="s">
        <v>114</v>
      </c>
      <c r="G59" s="126">
        <v>0.6</v>
      </c>
      <c r="H59" s="124" t="s">
        <v>197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218</v>
      </c>
      <c r="B60" s="123" t="s">
        <v>195</v>
      </c>
      <c r="C60" s="124">
        <v>0.30599999999999999</v>
      </c>
      <c r="D60" s="124" t="s">
        <v>196</v>
      </c>
      <c r="E60" s="124">
        <v>1.56</v>
      </c>
      <c r="F60" s="125" t="s">
        <v>114</v>
      </c>
      <c r="G60" s="126">
        <v>0.6</v>
      </c>
      <c r="H60" s="124" t="s">
        <v>197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219</v>
      </c>
      <c r="B61" s="123" t="s">
        <v>195</v>
      </c>
      <c r="C61" s="124">
        <v>0.313</v>
      </c>
      <c r="D61" s="124" t="s">
        <v>196</v>
      </c>
      <c r="E61" s="124">
        <v>1.56</v>
      </c>
      <c r="F61" s="125" t="s">
        <v>114</v>
      </c>
      <c r="G61" s="126">
        <v>0.6</v>
      </c>
      <c r="H61" s="124" t="s">
        <v>197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220</v>
      </c>
      <c r="B62" s="123" t="s">
        <v>221</v>
      </c>
      <c r="C62" s="124">
        <v>0.37</v>
      </c>
      <c r="D62" s="124" t="s">
        <v>113</v>
      </c>
      <c r="E62" s="124">
        <v>1.56</v>
      </c>
      <c r="F62" s="125" t="s">
        <v>114</v>
      </c>
      <c r="G62" s="126">
        <v>0.6</v>
      </c>
      <c r="H62" s="124" t="s">
        <v>197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222</v>
      </c>
      <c r="B63" s="123" t="s">
        <v>223</v>
      </c>
      <c r="C63" s="124">
        <v>0.45</v>
      </c>
      <c r="D63" s="124" t="s">
        <v>113</v>
      </c>
      <c r="E63" s="124">
        <v>1.3</v>
      </c>
      <c r="F63" s="125" t="s">
        <v>114</v>
      </c>
      <c r="G63" s="126">
        <v>0.45</v>
      </c>
      <c r="H63" s="124" t="s">
        <v>224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225</v>
      </c>
      <c r="B64" s="123" t="s">
        <v>226</v>
      </c>
      <c r="C64" s="124">
        <v>0.39</v>
      </c>
      <c r="D64" s="124" t="s">
        <v>113</v>
      </c>
      <c r="E64" s="124">
        <v>1.3</v>
      </c>
      <c r="F64" s="125" t="s">
        <v>114</v>
      </c>
      <c r="G64" s="126">
        <v>0.45</v>
      </c>
      <c r="H64" s="124" t="s">
        <v>224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227</v>
      </c>
      <c r="B65" s="123" t="s">
        <v>228</v>
      </c>
      <c r="C65" s="124">
        <v>0.44</v>
      </c>
      <c r="D65" s="124" t="s">
        <v>113</v>
      </c>
      <c r="E65" s="124">
        <v>1.3</v>
      </c>
      <c r="F65" s="125" t="s">
        <v>114</v>
      </c>
      <c r="G65" s="126">
        <v>0.45</v>
      </c>
      <c r="H65" s="124" t="s">
        <v>224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23</v>
      </c>
      <c r="B66" s="123" t="s">
        <v>229</v>
      </c>
      <c r="C66" s="124">
        <v>0.46</v>
      </c>
      <c r="D66" s="124" t="s">
        <v>113</v>
      </c>
      <c r="E66" s="124">
        <v>1.3</v>
      </c>
      <c r="F66" s="125" t="s">
        <v>114</v>
      </c>
      <c r="G66" s="126">
        <v>0.45</v>
      </c>
      <c r="H66" s="124" t="s">
        <v>224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230</v>
      </c>
      <c r="B67" s="123" t="s">
        <v>231</v>
      </c>
      <c r="C67" s="124">
        <v>0.46</v>
      </c>
      <c r="D67" s="124" t="s">
        <v>113</v>
      </c>
      <c r="E67" s="124">
        <v>1.3</v>
      </c>
      <c r="F67" s="125" t="s">
        <v>114</v>
      </c>
      <c r="G67" s="126">
        <v>0.45</v>
      </c>
      <c r="H67" s="124" t="s">
        <v>139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232</v>
      </c>
      <c r="B68" s="123" t="s">
        <v>233</v>
      </c>
      <c r="C68" s="124">
        <v>0.44</v>
      </c>
      <c r="D68" s="124" t="s">
        <v>113</v>
      </c>
      <c r="E68" s="124">
        <v>1.3</v>
      </c>
      <c r="F68" s="125" t="s">
        <v>114</v>
      </c>
      <c r="G68" s="126">
        <v>0.45</v>
      </c>
      <c r="H68" s="124" t="s">
        <v>224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234</v>
      </c>
      <c r="B69" s="123" t="s">
        <v>235</v>
      </c>
      <c r="C69" s="124">
        <v>0.46</v>
      </c>
      <c r="D69" s="124" t="s">
        <v>113</v>
      </c>
      <c r="E69" s="124">
        <v>1.3</v>
      </c>
      <c r="F69" s="125" t="s">
        <v>114</v>
      </c>
      <c r="G69" s="126">
        <v>0.45</v>
      </c>
      <c r="H69" s="124" t="s">
        <v>224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236</v>
      </c>
      <c r="B70" s="123" t="s">
        <v>237</v>
      </c>
      <c r="C70" s="124">
        <v>0.48</v>
      </c>
      <c r="D70" s="124" t="s">
        <v>113</v>
      </c>
      <c r="E70" s="124">
        <v>2.4</v>
      </c>
      <c r="F70" s="124" t="s">
        <v>238</v>
      </c>
      <c r="G70" s="126">
        <v>0.45</v>
      </c>
      <c r="H70" s="124" t="s">
        <v>224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239</v>
      </c>
      <c r="B71" s="123" t="s">
        <v>240</v>
      </c>
      <c r="C71" s="124">
        <v>0.46</v>
      </c>
      <c r="D71" s="124" t="s">
        <v>241</v>
      </c>
      <c r="E71" s="124">
        <v>1.3</v>
      </c>
      <c r="F71" s="125" t="s">
        <v>114</v>
      </c>
      <c r="G71" s="126">
        <v>0.45</v>
      </c>
      <c r="H71" s="124" t="s">
        <v>224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242</v>
      </c>
      <c r="B72" s="123" t="s">
        <v>243</v>
      </c>
      <c r="C72" s="124">
        <v>0.44</v>
      </c>
      <c r="D72" s="124" t="s">
        <v>113</v>
      </c>
      <c r="E72" s="124">
        <v>1.3</v>
      </c>
      <c r="F72" s="125" t="s">
        <v>114</v>
      </c>
      <c r="G72" s="126">
        <v>0.45</v>
      </c>
      <c r="H72" s="124" t="s">
        <v>224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244</v>
      </c>
      <c r="B73" s="123" t="s">
        <v>245</v>
      </c>
      <c r="C73" s="124">
        <v>0.46</v>
      </c>
      <c r="D73" s="124" t="s">
        <v>246</v>
      </c>
      <c r="E73" s="124">
        <v>1.3</v>
      </c>
      <c r="F73" s="125" t="s">
        <v>114</v>
      </c>
      <c r="G73" s="126">
        <v>0.45</v>
      </c>
      <c r="H73" s="124" t="s">
        <v>224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247</v>
      </c>
      <c r="B74" s="123" t="s">
        <v>248</v>
      </c>
      <c r="C74" s="124">
        <v>0.34</v>
      </c>
      <c r="D74" s="124" t="s">
        <v>113</v>
      </c>
      <c r="E74" s="124">
        <v>1.3</v>
      </c>
      <c r="F74" s="125" t="s">
        <v>114</v>
      </c>
      <c r="G74" s="126">
        <v>0.45</v>
      </c>
      <c r="H74" s="124" t="s">
        <v>224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249</v>
      </c>
      <c r="B75" s="123" t="s">
        <v>250</v>
      </c>
      <c r="C75" s="124">
        <v>0.5</v>
      </c>
      <c r="D75" s="124" t="s">
        <v>113</v>
      </c>
      <c r="E75" s="124">
        <v>1.56</v>
      </c>
      <c r="F75" s="125" t="s">
        <v>114</v>
      </c>
      <c r="G75" s="126">
        <v>0.53</v>
      </c>
      <c r="H75" s="124" t="s">
        <v>168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251</v>
      </c>
      <c r="B76" s="123" t="s">
        <v>252</v>
      </c>
      <c r="C76" s="124">
        <v>0.57999999999999996</v>
      </c>
      <c r="D76" s="124" t="s">
        <v>113</v>
      </c>
      <c r="E76" s="124">
        <v>1.56</v>
      </c>
      <c r="F76" s="125" t="s">
        <v>114</v>
      </c>
      <c r="G76" s="126">
        <v>0.3</v>
      </c>
      <c r="H76" s="124" t="s">
        <v>253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254</v>
      </c>
      <c r="B77" s="123" t="s">
        <v>255</v>
      </c>
      <c r="C77" s="124">
        <v>0.37</v>
      </c>
      <c r="D77" s="124" t="s">
        <v>113</v>
      </c>
      <c r="E77" s="124">
        <v>1.3</v>
      </c>
      <c r="F77" s="125" t="s">
        <v>114</v>
      </c>
      <c r="G77" s="126">
        <v>0.55000000000000004</v>
      </c>
      <c r="H77" s="124" t="s">
        <v>139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19</v>
      </c>
      <c r="B78" s="123" t="s">
        <v>256</v>
      </c>
      <c r="C78" s="124">
        <v>0.37</v>
      </c>
      <c r="D78" s="124" t="s">
        <v>113</v>
      </c>
      <c r="E78" s="124">
        <v>1.3</v>
      </c>
      <c r="F78" s="125" t="s">
        <v>114</v>
      </c>
      <c r="G78" s="126">
        <v>0.55000000000000004</v>
      </c>
      <c r="H78" s="124" t="s">
        <v>139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257</v>
      </c>
      <c r="B79" s="123" t="s">
        <v>258</v>
      </c>
      <c r="C79" s="124">
        <v>0.38</v>
      </c>
      <c r="D79" s="124" t="s">
        <v>113</v>
      </c>
      <c r="E79" s="124">
        <v>1.3</v>
      </c>
      <c r="F79" s="125" t="s">
        <v>114</v>
      </c>
      <c r="G79" s="126">
        <v>0.55000000000000004</v>
      </c>
      <c r="H79" s="124" t="s">
        <v>129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259</v>
      </c>
      <c r="B80" s="123" t="s">
        <v>260</v>
      </c>
      <c r="C80" s="124">
        <v>0.36</v>
      </c>
      <c r="D80" s="124" t="s">
        <v>113</v>
      </c>
      <c r="E80" s="124">
        <v>1.3</v>
      </c>
      <c r="F80" s="125" t="s">
        <v>114</v>
      </c>
      <c r="G80" s="126">
        <v>0.55000000000000004</v>
      </c>
      <c r="H80" s="124" t="s">
        <v>129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261</v>
      </c>
      <c r="B81" s="123" t="s">
        <v>262</v>
      </c>
      <c r="C81" s="124">
        <v>0.37</v>
      </c>
      <c r="D81" s="124" t="s">
        <v>113</v>
      </c>
      <c r="E81" s="124">
        <v>1.56</v>
      </c>
      <c r="F81" s="125" t="s">
        <v>114</v>
      </c>
      <c r="G81" s="126">
        <v>0.43</v>
      </c>
      <c r="H81" s="124" t="s">
        <v>115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114</v>
      </c>
      <c r="G82" s="126">
        <v>0.55000000000000004</v>
      </c>
      <c r="H82" s="124" t="s">
        <v>129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266</v>
      </c>
      <c r="B83" s="123" t="s">
        <v>267</v>
      </c>
      <c r="C83" s="124">
        <v>0.34</v>
      </c>
      <c r="D83" s="124" t="s">
        <v>113</v>
      </c>
      <c r="E83" s="124">
        <v>1.3</v>
      </c>
      <c r="F83" s="125" t="s">
        <v>114</v>
      </c>
      <c r="G83" s="126">
        <v>0.55000000000000004</v>
      </c>
      <c r="H83" s="124" t="s">
        <v>129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268</v>
      </c>
      <c r="B84" s="123" t="s">
        <v>269</v>
      </c>
      <c r="C84" s="124">
        <v>0.31</v>
      </c>
      <c r="D84" s="124" t="s">
        <v>113</v>
      </c>
      <c r="E84" s="124">
        <v>1.3</v>
      </c>
      <c r="F84" s="125" t="s">
        <v>114</v>
      </c>
      <c r="G84" s="126">
        <v>0.55000000000000004</v>
      </c>
      <c r="H84" s="124" t="s">
        <v>129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270</v>
      </c>
      <c r="B85" s="123" t="s">
        <v>271</v>
      </c>
      <c r="C85" s="124">
        <v>0.43</v>
      </c>
      <c r="D85" s="124" t="s">
        <v>113</v>
      </c>
      <c r="E85" s="124">
        <v>1.56</v>
      </c>
      <c r="F85" s="125" t="s">
        <v>114</v>
      </c>
      <c r="G85" s="126">
        <v>0.53</v>
      </c>
      <c r="H85" s="124" t="s">
        <v>168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272</v>
      </c>
      <c r="B86" s="123" t="s">
        <v>273</v>
      </c>
      <c r="C86" s="124">
        <v>0.38</v>
      </c>
      <c r="D86" s="124" t="s">
        <v>113</v>
      </c>
      <c r="E86" s="124">
        <v>1.56</v>
      </c>
      <c r="F86" s="125" t="s">
        <v>114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114</v>
      </c>
      <c r="G87" s="255">
        <v>0.43</v>
      </c>
      <c r="H87" s="253" t="s">
        <v>115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278</v>
      </c>
      <c r="B88" s="130"/>
      <c r="C88" s="124">
        <v>0.42</v>
      </c>
      <c r="D88" s="124" t="s">
        <v>113</v>
      </c>
      <c r="E88" s="124">
        <v>1.3</v>
      </c>
      <c r="F88" s="125" t="s">
        <v>114</v>
      </c>
      <c r="G88" s="131"/>
      <c r="H88" s="130"/>
      <c r="I88" s="132"/>
    </row>
    <row r="89" spans="1:14" ht="15" thickBot="1" x14ac:dyDescent="0.4">
      <c r="A89" s="133" t="s">
        <v>279</v>
      </c>
      <c r="B89" s="134"/>
      <c r="C89" s="135">
        <v>0.56999999999999995</v>
      </c>
      <c r="D89" s="136" t="s">
        <v>113</v>
      </c>
      <c r="E89" s="135">
        <v>1.56</v>
      </c>
      <c r="F89" s="135" t="s">
        <v>114</v>
      </c>
      <c r="G89" s="134"/>
      <c r="H89" s="134"/>
      <c r="I89" s="137"/>
    </row>
    <row r="93" spans="1:14" x14ac:dyDescent="0.35">
      <c r="A93" s="122" t="s">
        <v>74</v>
      </c>
    </row>
    <row r="94" spans="1:14" x14ac:dyDescent="0.35">
      <c r="A94" s="122" t="s">
        <v>75</v>
      </c>
    </row>
    <row r="95" spans="1:14" x14ac:dyDescent="0.35">
      <c r="A95" s="122" t="s">
        <v>76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3" zoomScale="90" zoomScaleNormal="90" workbookViewId="0">
      <selection activeCell="D18" sqref="D1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0" t="s">
        <v>280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2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281</v>
      </c>
      <c r="B5" s="139" t="s">
        <v>282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283</v>
      </c>
      <c r="F5" s="140" t="s">
        <v>284</v>
      </c>
      <c r="G5" s="140" t="s">
        <v>285</v>
      </c>
      <c r="H5" s="141" t="s">
        <v>286</v>
      </c>
      <c r="I5" s="142" t="s">
        <v>287</v>
      </c>
      <c r="J5" s="143" t="s">
        <v>288</v>
      </c>
      <c r="K5" s="144" t="s">
        <v>289</v>
      </c>
      <c r="L5" s="84" t="s">
        <v>290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Douglas</v>
      </c>
      <c r="B6" s="146">
        <f>'Données projet'!D9</f>
        <v>2.08</v>
      </c>
      <c r="C6" s="147">
        <f ca="1">IF(OR('Données projet'!B9="",'Données projet'!C9="",'Données projet'!C9=0%),0,Calculateur!S3)</f>
        <v>278.5296012747549</v>
      </c>
      <c r="D6" s="147">
        <f>IF(OR('Données projet'!B9="",'Données projet'!C9="",'Données projet'!C9=0%),0,Calculateur!T3)</f>
        <v>370.55343097937077</v>
      </c>
      <c r="E6" s="147">
        <f ca="1">MIN(C6,D6)</f>
        <v>278.5296012747549</v>
      </c>
      <c r="F6" s="147">
        <f ca="1">E6*B6</f>
        <v>579.3415706514902</v>
      </c>
      <c r="G6" s="147">
        <f ca="1">F6*(100%-'Données projet'!$C$24)*(100%-'Données projet'!$C$25)*(100%-'Données projet'!$C$26)*(100%-'Données projet'!$C$27)</f>
        <v>495.33704290702417</v>
      </c>
      <c r="H6" s="148">
        <f>IF(OR('Données projet'!B9="",'Données projet'!C9="",'Données projet'!C9=0%),0,AVERAGE(Calculateur!$AC$3:$AC$33)*B6)</f>
        <v>25.401786137633351</v>
      </c>
      <c r="I6" s="149">
        <f>H6*(100%-'Données projet'!$C$24)*(100%-'Données projet'!$C$25)*(100%-'Données projet'!$C$26)*(100%-'Données projet'!$C$27)</f>
        <v>21.718527147676514</v>
      </c>
      <c r="J6" s="150">
        <f>IF(OR('Données projet'!B9="",'Données projet'!C9="",'Données projet'!C9=0%),0,SUM(Calculateur!$V$3:$V$33)*VLOOKUP('Données projet'!$B$9,Paramètres!$A$1:$I$89,9,0)*B6)</f>
        <v>158.85919999999996</v>
      </c>
      <c r="K6" s="151">
        <f>J6*(100%-'Données projet'!$C$24)*(100%-'Données projet'!$C$25)*(100%-'Données projet'!$C$26)*(100%-'Données projet'!$C$27)</f>
        <v>135.82461599999996</v>
      </c>
      <c r="L6" s="152">
        <f ca="1">G6+I6+K6</f>
        <v>652.88018605470063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Sapin de Nordmann</v>
      </c>
      <c r="B7" s="154">
        <f>'Données projet'!D10</f>
        <v>0.83200000000000007</v>
      </c>
      <c r="C7" s="147">
        <f ca="1">IF(OR('Données projet'!B10="",'Données projet'!C10="",'Données projet'!C10=0%),0,Calculateur!AN3)</f>
        <v>255.05550867459038</v>
      </c>
      <c r="D7" s="147">
        <f>IF(OR('Données projet'!B10="",'Données projet'!C10="",'Données projet'!C10=0%),0,Calculateur!AO3)</f>
        <v>119.28597757550295</v>
      </c>
      <c r="E7" s="147">
        <f t="shared" ref="E7:E15" ca="1" si="0">MIN(C7,D7)</f>
        <v>119.28597757550295</v>
      </c>
      <c r="F7" s="147">
        <f t="shared" ref="F7:F15" ca="1" si="1">E7*B7</f>
        <v>99.245933342818461</v>
      </c>
      <c r="G7" s="147">
        <f ca="1">F7*(100%-'Données projet'!$C$24)*(100%-'Données projet'!$C$25)*(100%-'Données projet'!$C$26)*(100%-'Données projet'!$C$27)</f>
        <v>84.855273008109791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84.855273008109791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Cèdre de l'Atlas</v>
      </c>
      <c r="B8" s="154">
        <f>'Données projet'!D11</f>
        <v>0.41600000000000004</v>
      </c>
      <c r="C8" s="147">
        <f ca="1">IF(OR('Données projet'!B11="",'Données projet'!C11="",'Données projet'!C11=0%),0,Calculateur!BI3)</f>
        <v>181.79645720099597</v>
      </c>
      <c r="D8" s="147">
        <f>IF(OR('Données projet'!B11="",'Données projet'!C11="",'Données projet'!C11=0%),0,Calculateur!BJ3)</f>
        <v>120.20040029102233</v>
      </c>
      <c r="E8" s="147">
        <f t="shared" ca="1" si="0"/>
        <v>120.20040029102233</v>
      </c>
      <c r="F8" s="147">
        <f t="shared" ca="1" si="1"/>
        <v>50.003366521065296</v>
      </c>
      <c r="G8" s="147">
        <f ca="1">F8*(100%-'Données projet'!$C$24)*(100%-'Données projet'!$C$25)*(100%-'Données projet'!$C$26)*(100%-'Données projet'!$C$27)</f>
        <v>42.752878375510832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42.752878375510832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Pin laricio</v>
      </c>
      <c r="B9" s="154">
        <f>'Données projet'!D12</f>
        <v>0.41600000000000004</v>
      </c>
      <c r="C9" s="147">
        <f ca="1">IF(OR('Données projet'!B12="",'Données projet'!C12="",'Données projet'!C12=0%),0,Calculateur!CD3)</f>
        <v>213.18424462765137</v>
      </c>
      <c r="D9" s="147">
        <f>IF(OR('Données projet'!B12="",'Données projet'!C12="",'Données projet'!C12=0%),0,Calculateur!CE3)</f>
        <v>158.77848520346532</v>
      </c>
      <c r="E9" s="147">
        <f t="shared" ca="1" si="0"/>
        <v>158.77848520346532</v>
      </c>
      <c r="F9" s="147">
        <f t="shared" ca="1" si="1"/>
        <v>66.05184984464158</v>
      </c>
      <c r="G9" s="147">
        <f ca="1">F9*(100%-'Données projet'!$C$24)*(100%-'Données projet'!$C$25)*(100%-'Données projet'!$C$26)*(100%-'Données projet'!$C$27)</f>
        <v>56.474331617168545</v>
      </c>
      <c r="H9" s="155">
        <f>IF(OR('Données projet'!B12="",'Données projet'!C12="",'Données projet'!C12=0%),0,AVERAGE(Calculateur!$CN$3:$CN$33)*B9)</f>
        <v>2.4906041469270073</v>
      </c>
      <c r="I9" s="149">
        <f>H9*(100%-'Données projet'!$C$24)*(100%-'Données projet'!$C$25)*(100%-'Données projet'!$C$26)*(100%-'Données projet'!$C$27)</f>
        <v>2.129466545622591</v>
      </c>
      <c r="J9" s="150">
        <f>IF(OR('Données projet'!B12="",'Données projet'!C12="",'Données projet'!C12=0%),0,SUM(Calculateur!$CG$3:$CG$33)*VLOOKUP('Données projet'!$B$12,Paramètres!$A$1:$I$89,9,0)*B9)</f>
        <v>15.632735999999998</v>
      </c>
      <c r="K9" s="151">
        <f>J9*(100%-'Données projet'!$C$24)*(100%-'Données projet'!$C$25)*(100%-'Données projet'!$C$26)*(100%-'Données projet'!$C$27)</f>
        <v>13.365989279999999</v>
      </c>
      <c r="L9" s="152">
        <f t="shared" ca="1" si="2"/>
        <v>71.96978744279113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>Erable sycomore</v>
      </c>
      <c r="B10" s="154">
        <f>'Données projet'!D13</f>
        <v>0.41600000000000004</v>
      </c>
      <c r="C10" s="147">
        <f ca="1">IF(OR('Données projet'!B13="",'Données projet'!C13="",'Données projet'!C13=0%),0,Calculateur!CY3)</f>
        <v>279.49721661620544</v>
      </c>
      <c r="D10" s="147">
        <f>IF(OR('Données projet'!B13="",'Données projet'!C13="",'Données projet'!C13=0%),0,Calculateur!CZ3)</f>
        <v>275.18739333988754</v>
      </c>
      <c r="E10" s="147">
        <f t="shared" ca="1" si="0"/>
        <v>275.18739333988754</v>
      </c>
      <c r="F10" s="147">
        <f t="shared" ca="1" si="1"/>
        <v>114.47795562939322</v>
      </c>
      <c r="G10" s="147">
        <f ca="1">F10*(100%-'Données projet'!$C$24)*(100%-'Données projet'!$C$25)*(100%-'Données projet'!$C$26)*(100%-'Données projet'!$C$27)</f>
        <v>97.878652063131199</v>
      </c>
      <c r="H10" s="155">
        <f>IF(OR('Données projet'!B13="",'Données projet'!C13="",'Données projet'!C13=0%),0,AVERAGE(Calculateur!$DI$3:$DI$33)*B10)</f>
        <v>0.51907911958498998</v>
      </c>
      <c r="I10" s="149">
        <f>H10*(100%-'Données projet'!$C$24)*(100%-'Données projet'!$C$25)*(100%-'Données projet'!$C$26)*(100%-'Données projet'!$C$27)</f>
        <v>0.44381264724516645</v>
      </c>
      <c r="J10" s="150">
        <f>IF(OR('Données projet'!B13="",'Données projet'!C13="",'Données projet'!C13=0%),0,SUM(Calculateur!$DB$3:$DB$33)*VLOOKUP('Données projet'!$B$13,Paramètres!$A$1:$I$89,9,0)*B10)</f>
        <v>14.248000000000001</v>
      </c>
      <c r="K10" s="151">
        <f>J10*(100%-'Données projet'!$C$24)*(100%-'Données projet'!$C$25)*(100%-'Données projet'!$C$26)*(100%-'Données projet'!$C$27)</f>
        <v>12.182040000000001</v>
      </c>
      <c r="L10" s="152">
        <f t="shared" ca="1" si="2"/>
        <v>110.50450471037637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909.12067598940882</v>
      </c>
      <c r="G16" s="166">
        <f t="shared" ca="1" si="3"/>
        <v>777.29817797094449</v>
      </c>
      <c r="H16" s="167">
        <f t="shared" si="3"/>
        <v>28.41146940414535</v>
      </c>
      <c r="I16" s="167">
        <f t="shared" si="3"/>
        <v>24.291806340544273</v>
      </c>
      <c r="J16" s="168">
        <f t="shared" si="3"/>
        <v>188.73993599999994</v>
      </c>
      <c r="K16" s="168">
        <f t="shared" si="3"/>
        <v>161.37264527999997</v>
      </c>
      <c r="L16" s="169">
        <f t="shared" ca="1" si="3"/>
        <v>962.96262959148874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291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9"/>
      <c r="G18" s="279"/>
      <c r="H18" s="279"/>
      <c r="I18" s="279"/>
      <c r="J18" s="279"/>
      <c r="K18" s="279"/>
      <c r="L18" s="279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Sapin de Nordmann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Pin laricio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1" zoomScale="80" zoomScaleNormal="80" workbookViewId="0">
      <selection activeCell="I21" sqref="I21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0" t="s">
        <v>292</v>
      </c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2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6" t="s">
        <v>293</v>
      </c>
      <c r="I4" s="266"/>
      <c r="K4" s="308" t="s">
        <v>294</v>
      </c>
      <c r="L4" s="309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59</v>
      </c>
      <c r="O7" s="247"/>
      <c r="P7" s="248"/>
      <c r="Q7" s="249"/>
      <c r="R7" s="300" t="s">
        <v>295</v>
      </c>
      <c r="S7" s="301"/>
      <c r="T7" s="301"/>
      <c r="U7" s="301"/>
      <c r="V7" s="302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296</v>
      </c>
      <c r="C9" s="23"/>
      <c r="D9" s="23"/>
      <c r="E9" s="23"/>
      <c r="F9" s="230"/>
      <c r="G9" s="93" t="s">
        <v>297</v>
      </c>
      <c r="J9" s="200"/>
      <c r="K9" s="208"/>
      <c r="O9" s="23"/>
      <c r="P9" s="23"/>
      <c r="Q9" s="234"/>
      <c r="R9" s="23"/>
      <c r="S9" s="4"/>
      <c r="T9" s="36" t="s">
        <v>298</v>
      </c>
      <c r="U9" s="176" t="s">
        <v>299</v>
      </c>
      <c r="V9" s="36" t="s">
        <v>300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301</v>
      </c>
      <c r="C10" s="23"/>
      <c r="D10" s="23"/>
      <c r="E10" s="23"/>
      <c r="F10" s="230"/>
      <c r="G10" s="93" t="s">
        <v>302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3624.1321677240853</v>
      </c>
      <c r="U10" s="178">
        <f>'Données projet'!D9</f>
        <v>2.08</v>
      </c>
      <c r="V10" s="177">
        <f>U10*T10</f>
        <v>7538.1949088660976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303</v>
      </c>
      <c r="B11" s="23"/>
      <c r="C11" s="23"/>
      <c r="D11" s="23"/>
      <c r="E11" s="23"/>
      <c r="F11" s="230"/>
      <c r="G11" s="93" t="s">
        <v>304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Sapin de Nordmann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780.99834875607269</v>
      </c>
      <c r="U11" s="178">
        <f>'Données projet'!D10</f>
        <v>0.83200000000000007</v>
      </c>
      <c r="V11" s="177">
        <f t="shared" ref="V11" si="0">U11*T11</f>
        <v>649.79062616505257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586.59159290978232</v>
      </c>
      <c r="U12" s="178">
        <f>'Données projet'!D11</f>
        <v>0.41600000000000004</v>
      </c>
      <c r="V12" s="177">
        <f t="shared" ref="V12:V19" si="1">U12*T12</f>
        <v>244.02210265046946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305</v>
      </c>
      <c r="M13" s="23"/>
      <c r="N13" s="23"/>
      <c r="O13" s="23"/>
      <c r="P13" s="23"/>
      <c r="Q13" s="234"/>
      <c r="R13" s="23"/>
      <c r="S13" s="36" t="str">
        <f>B107</f>
        <v>Pin laricio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917.62620019430403</v>
      </c>
      <c r="U13" s="178">
        <f>'Données projet'!D12</f>
        <v>0.41600000000000004</v>
      </c>
      <c r="V13" s="177">
        <f t="shared" si="1"/>
        <v>381.7324992808305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78</v>
      </c>
      <c r="I14" s="36" t="s">
        <v>306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1423.9033761971652</v>
      </c>
      <c r="U14" s="178">
        <f>'Données projet'!D13</f>
        <v>0.41600000000000004</v>
      </c>
      <c r="V14" s="177">
        <f t="shared" si="1"/>
        <v>592.34380449802075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11" t="s">
        <v>307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49</v>
      </c>
      <c r="B16" s="48" t="s">
        <v>308</v>
      </c>
      <c r="C16" s="48" t="s">
        <v>309</v>
      </c>
      <c r="D16" s="36" t="s">
        <v>310</v>
      </c>
      <c r="E16" s="36" t="s">
        <v>311</v>
      </c>
      <c r="F16" s="230"/>
      <c r="G16" s="311"/>
      <c r="H16" s="190"/>
      <c r="I16" s="191"/>
      <c r="J16" s="202"/>
      <c r="K16" s="208"/>
      <c r="L16" s="308" t="s">
        <v>312</v>
      </c>
      <c r="M16" s="309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195</v>
      </c>
      <c r="C17" s="198" t="s">
        <v>195</v>
      </c>
      <c r="D17" s="197" t="s">
        <v>195</v>
      </c>
      <c r="E17" s="193"/>
      <c r="G17" s="311"/>
      <c r="J17" s="202"/>
      <c r="K17" s="208"/>
      <c r="L17" s="268" t="s">
        <v>313</v>
      </c>
      <c r="M17" s="270"/>
      <c r="N17" s="175">
        <f>VLOOKUP(N16,Calculateur!$A$2:$H$153,3,0)/VLOOKUP('Scénario référence'!$G$15,Paramètres!A1:I89,3,0)/VLOOKUP('Scénario référence'!$G$15,Paramètres!A1:I89,5,0)</f>
        <v>50.00000000000005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195</v>
      </c>
      <c r="C18" s="198" t="s">
        <v>195</v>
      </c>
      <c r="D18" s="197" t="s">
        <v>195</v>
      </c>
      <c r="E18" s="193"/>
      <c r="G18" s="311"/>
      <c r="J18" s="202"/>
      <c r="K18" s="208"/>
      <c r="L18" s="268" t="s">
        <v>309</v>
      </c>
      <c r="M18" s="270"/>
      <c r="N18" s="192">
        <v>100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195</v>
      </c>
      <c r="C19" s="198" t="s">
        <v>195</v>
      </c>
      <c r="D19" s="197" t="s">
        <v>195</v>
      </c>
      <c r="E19" s="193"/>
      <c r="F19" s="230"/>
      <c r="G19" s="311"/>
      <c r="H19" s="212" t="s">
        <v>78</v>
      </c>
      <c r="I19" s="212" t="s">
        <v>314</v>
      </c>
      <c r="J19" s="93"/>
      <c r="K19" s="173"/>
      <c r="L19" s="308" t="s">
        <v>315</v>
      </c>
      <c r="M19" s="309"/>
      <c r="N19" s="179">
        <f>N17*N18</f>
        <v>5000.0000000000045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195</v>
      </c>
      <c r="C20" s="198" t="s">
        <v>195</v>
      </c>
      <c r="D20" s="197" t="s">
        <v>195</v>
      </c>
      <c r="E20" s="193"/>
      <c r="F20" s="230"/>
      <c r="G20" s="311"/>
      <c r="H20" s="190">
        <v>1</v>
      </c>
      <c r="I20" s="191">
        <v>7156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195</v>
      </c>
      <c r="C21" s="198" t="s">
        <v>195</v>
      </c>
      <c r="D21" s="197" t="s">
        <v>195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195</v>
      </c>
      <c r="C22" s="198" t="s">
        <v>195</v>
      </c>
      <c r="D22" s="197" t="s">
        <v>195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18</v>
      </c>
      <c r="B23" s="181">
        <f>'Données projet'!D36</f>
        <v>69.284615384615378</v>
      </c>
      <c r="C23" s="193">
        <v>10</v>
      </c>
      <c r="D23" s="182">
        <f>B23*C23</f>
        <v>692.84615384615381</v>
      </c>
      <c r="E23" s="193">
        <v>150</v>
      </c>
      <c r="F23" s="230"/>
      <c r="H23" s="190"/>
      <c r="I23" s="191"/>
      <c r="K23" s="208"/>
      <c r="L23" s="310" t="s">
        <v>316</v>
      </c>
      <c r="M23" s="310"/>
      <c r="N23" s="310"/>
      <c r="O23" s="23"/>
      <c r="P23" s="23"/>
      <c r="Q23" s="234"/>
      <c r="R23" s="23"/>
      <c r="S23" s="36" t="s">
        <v>317</v>
      </c>
      <c r="T23" s="30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-19080.959120740492</v>
      </c>
      <c r="U23" s="305"/>
      <c r="V23" s="305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24</v>
      </c>
      <c r="B24" s="181">
        <f>'Données projet'!D37</f>
        <v>42.661538461538463</v>
      </c>
      <c r="C24" s="193">
        <v>10</v>
      </c>
      <c r="D24" s="182">
        <f t="shared" ref="D24:D42" si="2">B24*C24</f>
        <v>426.61538461538464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318</v>
      </c>
      <c r="T24" s="306">
        <f ca="1">'Scénario référence'!$B$8*$M$30*'Données projet'!$C$5+('Scénario référence'!B9+'Scénario référence'!B10+'Scénario référence'!F8+'Scénario référence'!F9)*$N$19/(1+M4)^N16*'Données projet'!$C$5</f>
        <v>2302.7607192855671</v>
      </c>
      <c r="U24" s="306"/>
      <c r="V24" s="30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30</v>
      </c>
      <c r="B25" s="181">
        <f>'Données projet'!D38</f>
        <v>65.669230769230765</v>
      </c>
      <c r="C25" s="193">
        <v>18</v>
      </c>
      <c r="D25" s="182">
        <f t="shared" si="2"/>
        <v>1182.0461538461539</v>
      </c>
      <c r="E25" s="193">
        <v>150</v>
      </c>
      <c r="F25" s="233"/>
      <c r="H25" s="190"/>
      <c r="I25" s="191"/>
      <c r="K25" s="208"/>
      <c r="L25" s="130" t="s">
        <v>319</v>
      </c>
      <c r="M25" s="130"/>
      <c r="N25" s="130"/>
      <c r="O25" s="130"/>
      <c r="P25" s="192"/>
      <c r="Q25" s="234"/>
      <c r="R25" s="23"/>
      <c r="S25" s="186" t="s">
        <v>320</v>
      </c>
      <c r="T25" s="307">
        <f ca="1">T23-T24</f>
        <v>-21383.71984002606</v>
      </c>
      <c r="U25" s="307"/>
      <c r="V25" s="307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36</v>
      </c>
      <c r="B26" s="181">
        <f>'Données projet'!D39</f>
        <v>69.3</v>
      </c>
      <c r="C26" s="193">
        <v>25</v>
      </c>
      <c r="D26" s="182">
        <f t="shared" si="2"/>
        <v>1732.5</v>
      </c>
      <c r="E26" s="193">
        <v>150</v>
      </c>
      <c r="F26" s="233"/>
      <c r="G26" s="229"/>
      <c r="H26" s="190"/>
      <c r="I26" s="191"/>
      <c r="K26" s="208"/>
      <c r="L26" s="294" t="s">
        <v>321</v>
      </c>
      <c r="M26" s="295"/>
      <c r="N26" s="295"/>
      <c r="O26" s="295"/>
      <c r="P26" s="296"/>
      <c r="Q26" s="234"/>
      <c r="R26" s="23"/>
      <c r="S26" s="186" t="s">
        <v>322</v>
      </c>
      <c r="T26" s="304" t="str">
        <f ca="1">IF(T25&lt;0,"Votre projet est additionnel","Votre projet n'est pas additionnel")</f>
        <v>Votre projet est additionnel</v>
      </c>
      <c r="U26" s="304"/>
      <c r="V26" s="30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42</v>
      </c>
      <c r="B27" s="181">
        <f>'Données projet'!D40</f>
        <v>73.392307692307682</v>
      </c>
      <c r="C27" s="193">
        <v>25</v>
      </c>
      <c r="D27" s="182">
        <f t="shared" si="2"/>
        <v>1834.8076923076922</v>
      </c>
      <c r="E27" s="193">
        <v>150</v>
      </c>
      <c r="F27" s="233"/>
      <c r="G27" s="229"/>
      <c r="H27" s="190"/>
      <c r="I27" s="191"/>
      <c r="K27" s="208"/>
      <c r="L27" s="297"/>
      <c r="M27" s="298"/>
      <c r="N27" s="298"/>
      <c r="O27" s="298"/>
      <c r="P27" s="299"/>
      <c r="Q27" s="234"/>
      <c r="R27" s="23"/>
      <c r="S27" s="303" t="s">
        <v>323</v>
      </c>
      <c r="T27" s="303"/>
      <c r="U27" s="303"/>
      <c r="V27" s="30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48</v>
      </c>
      <c r="B28" s="181">
        <f>'Données projet'!D41</f>
        <v>81.330769230769235</v>
      </c>
      <c r="C28" s="193">
        <v>35</v>
      </c>
      <c r="D28" s="182">
        <f t="shared" si="2"/>
        <v>2846.5769230769233</v>
      </c>
      <c r="E28" s="193">
        <v>150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54</v>
      </c>
      <c r="B29" s="181">
        <f>'Données projet'!D42</f>
        <v>566.79999999999995</v>
      </c>
      <c r="C29" s="193">
        <v>40</v>
      </c>
      <c r="D29" s="182">
        <f t="shared" si="2"/>
        <v>22672</v>
      </c>
      <c r="E29" s="193">
        <v>150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324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78</v>
      </c>
      <c r="P32" s="85" t="s">
        <v>310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Sapin de Nordmann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49</v>
      </c>
      <c r="B47" s="48" t="s">
        <v>308</v>
      </c>
      <c r="C47" s="48" t="s">
        <v>309</v>
      </c>
      <c r="D47" s="36" t="s">
        <v>310</v>
      </c>
      <c r="E47" s="36" t="s">
        <v>311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195</v>
      </c>
      <c r="C48" s="198" t="s">
        <v>195</v>
      </c>
      <c r="D48" s="197" t="s">
        <v>195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195</v>
      </c>
      <c r="C49" s="198" t="s">
        <v>195</v>
      </c>
      <c r="D49" s="197" t="s">
        <v>195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195</v>
      </c>
      <c r="C50" s="198" t="s">
        <v>195</v>
      </c>
      <c r="D50" s="197" t="s">
        <v>195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195</v>
      </c>
      <c r="C51" s="198" t="s">
        <v>195</v>
      </c>
      <c r="D51" s="197" t="s">
        <v>195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195</v>
      </c>
      <c r="C52" s="198" t="s">
        <v>195</v>
      </c>
      <c r="D52" s="197" t="s">
        <v>195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195</v>
      </c>
      <c r="C53" s="198" t="s">
        <v>195</v>
      </c>
      <c r="D53" s="197" t="s">
        <v>195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45</v>
      </c>
      <c r="B55" s="181">
        <f>'Données projet'!D63</f>
        <v>146.30000000000001</v>
      </c>
      <c r="C55" s="191">
        <v>10</v>
      </c>
      <c r="D55" s="179">
        <f t="shared" ref="D55:D73" si="4">B55*C55</f>
        <v>1463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52</v>
      </c>
      <c r="B56" s="181">
        <f>'Données projet'!D64</f>
        <v>75.5</v>
      </c>
      <c r="C56" s="191">
        <v>18</v>
      </c>
      <c r="D56" s="179">
        <f t="shared" si="4"/>
        <v>1359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59</v>
      </c>
      <c r="B57" s="181">
        <f>'Données projet'!D65</f>
        <v>93.9</v>
      </c>
      <c r="C57" s="191">
        <v>25</v>
      </c>
      <c r="D57" s="179">
        <f t="shared" si="4"/>
        <v>2347.5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67</v>
      </c>
      <c r="B58" s="181">
        <f>'Données projet'!D66</f>
        <v>92.1</v>
      </c>
      <c r="C58" s="191">
        <v>25</v>
      </c>
      <c r="D58" s="179">
        <f t="shared" si="4"/>
        <v>2302.5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75</v>
      </c>
      <c r="B59" s="181">
        <f>'Données projet'!D67</f>
        <v>86.9</v>
      </c>
      <c r="C59" s="191">
        <v>35</v>
      </c>
      <c r="D59" s="179">
        <f t="shared" si="4"/>
        <v>3041.5</v>
      </c>
      <c r="E59" s="193">
        <v>150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83</v>
      </c>
      <c r="B60" s="181">
        <f>'Données projet'!D68</f>
        <v>91.2</v>
      </c>
      <c r="C60" s="191">
        <v>35</v>
      </c>
      <c r="D60" s="179">
        <f t="shared" si="4"/>
        <v>3192</v>
      </c>
      <c r="E60" s="193">
        <v>150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91</v>
      </c>
      <c r="B61" s="181">
        <f>'Données projet'!D69</f>
        <v>87.9</v>
      </c>
      <c r="C61" s="191">
        <v>35</v>
      </c>
      <c r="D61" s="179">
        <f t="shared" si="4"/>
        <v>3076.5</v>
      </c>
      <c r="E61" s="193">
        <v>150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99</v>
      </c>
      <c r="B62" s="181">
        <f>'Données projet'!D70</f>
        <v>69.7</v>
      </c>
      <c r="C62" s="191">
        <v>40</v>
      </c>
      <c r="D62" s="179">
        <f t="shared" si="4"/>
        <v>2788</v>
      </c>
      <c r="E62" s="193">
        <v>150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107</v>
      </c>
      <c r="B63" s="181">
        <f>'Données projet'!D71</f>
        <v>76.3</v>
      </c>
      <c r="C63" s="191">
        <v>40</v>
      </c>
      <c r="D63" s="179">
        <f t="shared" si="4"/>
        <v>3052</v>
      </c>
      <c r="E63" s="193">
        <v>150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116</v>
      </c>
      <c r="B64" s="181">
        <f>'Données projet'!D72</f>
        <v>78.099999999999994</v>
      </c>
      <c r="C64" s="191">
        <v>40</v>
      </c>
      <c r="D64" s="179">
        <f t="shared" si="4"/>
        <v>3124</v>
      </c>
      <c r="E64" s="193">
        <v>150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125</v>
      </c>
      <c r="B65" s="181">
        <f>'Données projet'!D73</f>
        <v>66.3</v>
      </c>
      <c r="C65" s="191">
        <v>40</v>
      </c>
      <c r="D65" s="179">
        <f t="shared" si="4"/>
        <v>2652</v>
      </c>
      <c r="E65" s="193">
        <v>150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134</v>
      </c>
      <c r="B66" s="181">
        <f>'Données projet'!D74</f>
        <v>506.6</v>
      </c>
      <c r="C66" s="191">
        <v>40</v>
      </c>
      <c r="D66" s="179">
        <f t="shared" si="4"/>
        <v>20264</v>
      </c>
      <c r="E66" s="193">
        <v>150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49</v>
      </c>
      <c r="B78" s="48" t="s">
        <v>308</v>
      </c>
      <c r="C78" s="48" t="s">
        <v>309</v>
      </c>
      <c r="D78" s="36" t="s">
        <v>310</v>
      </c>
      <c r="E78" s="36" t="s">
        <v>311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195</v>
      </c>
      <c r="C79" s="198" t="s">
        <v>195</v>
      </c>
      <c r="D79" s="197" t="s">
        <v>195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195</v>
      </c>
      <c r="C80" s="198" t="s">
        <v>195</v>
      </c>
      <c r="D80" s="197" t="s">
        <v>195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195</v>
      </c>
      <c r="C81" s="198" t="s">
        <v>195</v>
      </c>
      <c r="D81" s="197" t="s">
        <v>195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195</v>
      </c>
      <c r="C82" s="198" t="s">
        <v>195</v>
      </c>
      <c r="D82" s="197" t="s">
        <v>195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195</v>
      </c>
      <c r="C83" s="198" t="s">
        <v>195</v>
      </c>
      <c r="D83" s="197" t="s">
        <v>195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195</v>
      </c>
      <c r="C84" s="198"/>
      <c r="D84" s="197" t="s">
        <v>195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30</v>
      </c>
      <c r="B85" s="181">
        <f>'Données projet'!D88</f>
        <v>0</v>
      </c>
      <c r="C85" s="191"/>
      <c r="D85" s="179">
        <f>B85*C85</f>
        <v>0</v>
      </c>
      <c r="E85" s="193">
        <v>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51</v>
      </c>
      <c r="B86" s="181">
        <f>'Données projet'!D89</f>
        <v>170.16153846153847</v>
      </c>
      <c r="C86" s="191">
        <v>10</v>
      </c>
      <c r="D86" s="179">
        <f t="shared" ref="D86:D104" si="6">B86*C86</f>
        <v>1701.6153846153848</v>
      </c>
      <c r="E86" s="193">
        <v>150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61</v>
      </c>
      <c r="B87" s="181">
        <f>'Données projet'!D90</f>
        <v>94.76153846153845</v>
      </c>
      <c r="C87" s="191">
        <v>18</v>
      </c>
      <c r="D87" s="179">
        <f t="shared" si="6"/>
        <v>1705.707692307692</v>
      </c>
      <c r="E87" s="193">
        <v>150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73</v>
      </c>
      <c r="B88" s="181">
        <f>'Données projet'!D91</f>
        <v>93.584615384615375</v>
      </c>
      <c r="C88" s="191">
        <v>25</v>
      </c>
      <c r="D88" s="179">
        <f t="shared" si="6"/>
        <v>2339.6153846153843</v>
      </c>
      <c r="E88" s="193">
        <v>150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85</v>
      </c>
      <c r="B89" s="181">
        <f>'Données projet'!D92</f>
        <v>85.207692307692298</v>
      </c>
      <c r="C89" s="191">
        <v>35</v>
      </c>
      <c r="D89" s="179">
        <f t="shared" si="6"/>
        <v>2982.2692307692305</v>
      </c>
      <c r="E89" s="193">
        <v>150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97</v>
      </c>
      <c r="B90" s="181">
        <f>'Données projet'!D93</f>
        <v>79.669230769230765</v>
      </c>
      <c r="C90" s="191">
        <v>40</v>
      </c>
      <c r="D90" s="179">
        <f t="shared" si="6"/>
        <v>3186.7692307692305</v>
      </c>
      <c r="E90" s="193">
        <v>150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109</v>
      </c>
      <c r="B91" s="181">
        <f>'Données projet'!D94</f>
        <v>80.653846153846146</v>
      </c>
      <c r="C91" s="191">
        <v>45</v>
      </c>
      <c r="D91" s="179">
        <f t="shared" si="6"/>
        <v>3629.4230769230767</v>
      </c>
      <c r="E91" s="193">
        <v>150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121</v>
      </c>
      <c r="B92" s="181">
        <f>'Données projet'!D95</f>
        <v>207.07692307692307</v>
      </c>
      <c r="C92" s="191">
        <v>45</v>
      </c>
      <c r="D92" s="179">
        <f t="shared" si="6"/>
        <v>9318.4615384615372</v>
      </c>
      <c r="E92" s="193">
        <v>150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131</v>
      </c>
      <c r="B93" s="181">
        <f>'Données projet'!D96</f>
        <v>259.61538461538458</v>
      </c>
      <c r="C93" s="191">
        <v>56</v>
      </c>
      <c r="D93" s="179">
        <f t="shared" si="6"/>
        <v>14538.461538461537</v>
      </c>
      <c r="E93" s="193">
        <v>150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>Pin laricio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49</v>
      </c>
      <c r="B109" s="48" t="s">
        <v>308</v>
      </c>
      <c r="C109" s="48" t="s">
        <v>309</v>
      </c>
      <c r="D109" s="36" t="s">
        <v>310</v>
      </c>
      <c r="E109" s="36" t="s">
        <v>311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195</v>
      </c>
      <c r="C110" s="198" t="s">
        <v>195</v>
      </c>
      <c r="D110" s="197" t="s">
        <v>195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195</v>
      </c>
      <c r="C111" s="198" t="s">
        <v>195</v>
      </c>
      <c r="D111" s="197" t="s">
        <v>195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195</v>
      </c>
      <c r="C112" s="198" t="s">
        <v>195</v>
      </c>
      <c r="D112" s="197" t="s">
        <v>195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195</v>
      </c>
      <c r="C113" s="198" t="s">
        <v>195</v>
      </c>
      <c r="D113" s="197" t="s">
        <v>195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195</v>
      </c>
      <c r="C114" s="198" t="s">
        <v>195</v>
      </c>
      <c r="D114" s="197" t="s">
        <v>195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195</v>
      </c>
      <c r="C115" s="198" t="s">
        <v>195</v>
      </c>
      <c r="D115" s="197" t="s">
        <v>195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22</v>
      </c>
      <c r="B116" s="181">
        <f>'Données projet'!D114</f>
        <v>52.746153846153838</v>
      </c>
      <c r="C116" s="191">
        <v>10</v>
      </c>
      <c r="D116" s="179">
        <f>B116*C116</f>
        <v>527.46153846153834</v>
      </c>
      <c r="E116" s="193">
        <v>150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27</v>
      </c>
      <c r="B117" s="181">
        <f>'Données projet'!D115</f>
        <v>34.646153846153844</v>
      </c>
      <c r="C117" s="191">
        <v>10</v>
      </c>
      <c r="D117" s="179">
        <f t="shared" ref="D117:D135" si="8">B117*C117</f>
        <v>346.46153846153845</v>
      </c>
      <c r="E117" s="193">
        <v>150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30</v>
      </c>
      <c r="B118" s="181">
        <f>'Données projet'!D116</f>
        <v>0</v>
      </c>
      <c r="C118" s="191">
        <v>0</v>
      </c>
      <c r="D118" s="179">
        <f t="shared" si="8"/>
        <v>0</v>
      </c>
      <c r="E118" s="193">
        <v>150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33</v>
      </c>
      <c r="B119" s="181">
        <f>'Données projet'!D117</f>
        <v>43.007692307692302</v>
      </c>
      <c r="C119" s="191">
        <v>10</v>
      </c>
      <c r="D119" s="179">
        <f t="shared" si="8"/>
        <v>430.07692307692304</v>
      </c>
      <c r="E119" s="193">
        <v>150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41</v>
      </c>
      <c r="B120" s="181">
        <f>'Données projet'!D118</f>
        <v>58.484615384615381</v>
      </c>
      <c r="C120" s="191">
        <v>15</v>
      </c>
      <c r="D120" s="179">
        <f t="shared" si="8"/>
        <v>877.26923076923072</v>
      </c>
      <c r="E120" s="193">
        <v>150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50</v>
      </c>
      <c r="B121" s="181">
        <f>'Données projet'!D119</f>
        <v>55.292307692307688</v>
      </c>
      <c r="C121" s="191">
        <v>25</v>
      </c>
      <c r="D121" s="179">
        <f t="shared" si="8"/>
        <v>1382.3076923076922</v>
      </c>
      <c r="E121" s="193">
        <v>150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60</v>
      </c>
      <c r="B122" s="181">
        <f>'Données projet'!D120</f>
        <v>54.261538461538464</v>
      </c>
      <c r="C122" s="191">
        <v>25</v>
      </c>
      <c r="D122" s="179">
        <f t="shared" si="8"/>
        <v>1356.5384615384617</v>
      </c>
      <c r="E122" s="193">
        <v>150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70</v>
      </c>
      <c r="B123" s="181">
        <f>'Données projet'!D121</f>
        <v>52.669230769230765</v>
      </c>
      <c r="C123" s="191">
        <v>25</v>
      </c>
      <c r="D123" s="179">
        <f t="shared" si="8"/>
        <v>1316.7307692307691</v>
      </c>
      <c r="E123" s="193">
        <v>150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80</v>
      </c>
      <c r="B124" s="181">
        <f>'Données projet'!D122</f>
        <v>402.90769230769229</v>
      </c>
      <c r="C124" s="191">
        <v>25</v>
      </c>
      <c r="D124" s="179">
        <f t="shared" si="8"/>
        <v>10072.692307692307</v>
      </c>
      <c r="E124" s="193">
        <v>150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24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49</v>
      </c>
      <c r="B140" s="48" t="s">
        <v>308</v>
      </c>
      <c r="C140" s="48" t="s">
        <v>309</v>
      </c>
      <c r="D140" s="36" t="s">
        <v>310</v>
      </c>
      <c r="E140" s="36" t="s">
        <v>311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195</v>
      </c>
      <c r="C141" s="198" t="s">
        <v>195</v>
      </c>
      <c r="D141" s="197" t="s">
        <v>195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195</v>
      </c>
      <c r="C142" s="198" t="s">
        <v>195</v>
      </c>
      <c r="D142" s="197" t="s">
        <v>195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195</v>
      </c>
      <c r="C143" s="198" t="s">
        <v>195</v>
      </c>
      <c r="D143" s="197" t="s">
        <v>195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195</v>
      </c>
      <c r="C144" s="198" t="s">
        <v>195</v>
      </c>
      <c r="D144" s="197" t="s">
        <v>195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195</v>
      </c>
      <c r="C145" s="198" t="s">
        <v>195</v>
      </c>
      <c r="D145" s="197" t="s">
        <v>195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195</v>
      </c>
      <c r="C146" s="198" t="s">
        <v>195</v>
      </c>
      <c r="D146" s="197" t="s">
        <v>195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10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15</v>
      </c>
      <c r="B148" s="175">
        <f>'Données projet'!D141</f>
        <v>32</v>
      </c>
      <c r="C148" s="191">
        <v>10</v>
      </c>
      <c r="D148" s="182">
        <f t="shared" ref="D148:D166" si="10">B148*C148</f>
        <v>320</v>
      </c>
      <c r="E148" s="193">
        <v>150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20</v>
      </c>
      <c r="B149" s="175">
        <f>'Données projet'!D142</f>
        <v>35</v>
      </c>
      <c r="C149" s="191">
        <v>10</v>
      </c>
      <c r="D149" s="182">
        <f t="shared" si="10"/>
        <v>350</v>
      </c>
      <c r="E149" s="193">
        <v>150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25</v>
      </c>
      <c r="B150" s="175">
        <f>'Données projet'!D143</f>
        <v>35</v>
      </c>
      <c r="C150" s="191">
        <v>15</v>
      </c>
      <c r="D150" s="182">
        <f t="shared" si="10"/>
        <v>525</v>
      </c>
      <c r="E150" s="193">
        <v>150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30</v>
      </c>
      <c r="B151" s="175">
        <f>'Données projet'!D144</f>
        <v>35</v>
      </c>
      <c r="C151" s="191">
        <v>15</v>
      </c>
      <c r="D151" s="182">
        <f t="shared" si="10"/>
        <v>525</v>
      </c>
      <c r="E151" s="193">
        <v>150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35</v>
      </c>
      <c r="B152" s="175">
        <f>'Données projet'!D145</f>
        <v>35</v>
      </c>
      <c r="C152" s="191">
        <v>50</v>
      </c>
      <c r="D152" s="182">
        <f t="shared" si="10"/>
        <v>1750</v>
      </c>
      <c r="E152" s="193">
        <v>150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40</v>
      </c>
      <c r="B153" s="175">
        <f>'Données projet'!D146</f>
        <v>35</v>
      </c>
      <c r="C153" s="191">
        <v>50</v>
      </c>
      <c r="D153" s="182">
        <f t="shared" si="10"/>
        <v>1750</v>
      </c>
      <c r="E153" s="193">
        <v>150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45</v>
      </c>
      <c r="B154" s="175">
        <f>'Données projet'!D147</f>
        <v>24</v>
      </c>
      <c r="C154" s="191">
        <v>50</v>
      </c>
      <c r="D154" s="182">
        <f t="shared" si="10"/>
        <v>1200</v>
      </c>
      <c r="E154" s="193">
        <v>150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50</v>
      </c>
      <c r="B155" s="175">
        <f>'Données projet'!D148</f>
        <v>19</v>
      </c>
      <c r="C155" s="191">
        <v>50</v>
      </c>
      <c r="D155" s="182">
        <f t="shared" si="10"/>
        <v>950</v>
      </c>
      <c r="E155" s="193">
        <v>150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55</v>
      </c>
      <c r="B156" s="175">
        <f>'Données projet'!D149</f>
        <v>16</v>
      </c>
      <c r="C156" s="191">
        <v>50</v>
      </c>
      <c r="D156" s="182">
        <f t="shared" si="10"/>
        <v>800</v>
      </c>
      <c r="E156" s="193">
        <v>150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60</v>
      </c>
      <c r="B157" s="175">
        <f>'Données projet'!D150</f>
        <v>14</v>
      </c>
      <c r="C157" s="191">
        <v>50</v>
      </c>
      <c r="D157" s="182">
        <f t="shared" si="10"/>
        <v>700</v>
      </c>
      <c r="E157" s="193">
        <v>150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65</v>
      </c>
      <c r="B158" s="175">
        <f>'Données projet'!D151</f>
        <v>13</v>
      </c>
      <c r="C158" s="191">
        <v>50</v>
      </c>
      <c r="D158" s="182">
        <f t="shared" si="10"/>
        <v>650</v>
      </c>
      <c r="E158" s="193">
        <v>150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70</v>
      </c>
      <c r="B159" s="175">
        <f>'Données projet'!D152</f>
        <v>13</v>
      </c>
      <c r="C159" s="191">
        <v>50</v>
      </c>
      <c r="D159" s="182">
        <f t="shared" si="10"/>
        <v>650</v>
      </c>
      <c r="E159" s="193">
        <v>150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75</v>
      </c>
      <c r="B160" s="175">
        <f>'Données projet'!D153</f>
        <v>12</v>
      </c>
      <c r="C160" s="191">
        <v>50</v>
      </c>
      <c r="D160" s="182">
        <f t="shared" si="10"/>
        <v>600</v>
      </c>
      <c r="E160" s="193">
        <v>150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80</v>
      </c>
      <c r="B161" s="175">
        <f>'Données projet'!D154</f>
        <v>11</v>
      </c>
      <c r="C161" s="191">
        <v>50</v>
      </c>
      <c r="D161" s="182">
        <f t="shared" si="10"/>
        <v>550</v>
      </c>
      <c r="E161" s="193">
        <v>150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26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49</v>
      </c>
      <c r="B171" s="48" t="s">
        <v>308</v>
      </c>
      <c r="C171" s="48" t="s">
        <v>309</v>
      </c>
      <c r="D171" s="36" t="s">
        <v>310</v>
      </c>
      <c r="E171" s="36" t="s">
        <v>311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195</v>
      </c>
      <c r="C172" s="198" t="s">
        <v>195</v>
      </c>
      <c r="D172" s="197" t="s">
        <v>195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195</v>
      </c>
      <c r="C173" s="198" t="s">
        <v>195</v>
      </c>
      <c r="D173" s="197" t="s">
        <v>195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195</v>
      </c>
      <c r="C174" s="198" t="s">
        <v>195</v>
      </c>
      <c r="D174" s="197" t="s">
        <v>195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195</v>
      </c>
      <c r="C175" s="198" t="s">
        <v>195</v>
      </c>
      <c r="D175" s="197" t="s">
        <v>195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195</v>
      </c>
      <c r="C176" s="198" t="s">
        <v>195</v>
      </c>
      <c r="D176" s="197" t="s">
        <v>195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195</v>
      </c>
      <c r="C177" s="198" t="s">
        <v>195</v>
      </c>
      <c r="D177" s="197" t="s">
        <v>195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27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49</v>
      </c>
      <c r="B202" s="48" t="s">
        <v>308</v>
      </c>
      <c r="C202" s="48" t="s">
        <v>309</v>
      </c>
      <c r="D202" s="36" t="s">
        <v>310</v>
      </c>
      <c r="E202" s="36" t="s">
        <v>311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195</v>
      </c>
      <c r="C203" s="198" t="s">
        <v>195</v>
      </c>
      <c r="D203" s="197" t="s">
        <v>195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195</v>
      </c>
      <c r="C204" s="198" t="s">
        <v>195</v>
      </c>
      <c r="D204" s="197" t="s">
        <v>195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195</v>
      </c>
      <c r="C205" s="198" t="s">
        <v>195</v>
      </c>
      <c r="D205" s="197" t="s">
        <v>195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195</v>
      </c>
      <c r="C206" s="198" t="s">
        <v>195</v>
      </c>
      <c r="D206" s="197" t="s">
        <v>195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195</v>
      </c>
      <c r="C207" s="198" t="s">
        <v>195</v>
      </c>
      <c r="D207" s="197" t="s">
        <v>195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195</v>
      </c>
      <c r="C208" s="198" t="s">
        <v>195</v>
      </c>
      <c r="D208" s="197" t="s">
        <v>195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28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49</v>
      </c>
      <c r="B233" s="48" t="s">
        <v>308</v>
      </c>
      <c r="C233" s="48" t="s">
        <v>309</v>
      </c>
      <c r="D233" s="36" t="s">
        <v>310</v>
      </c>
      <c r="E233" s="36" t="s">
        <v>311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195</v>
      </c>
      <c r="C234" s="198" t="s">
        <v>195</v>
      </c>
      <c r="D234" s="197" t="s">
        <v>195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195</v>
      </c>
      <c r="C235" s="198" t="s">
        <v>195</v>
      </c>
      <c r="D235" s="197" t="s">
        <v>195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195</v>
      </c>
      <c r="C236" s="198" t="s">
        <v>195</v>
      </c>
      <c r="D236" s="197" t="s">
        <v>195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195</v>
      </c>
      <c r="C237" s="198" t="s">
        <v>195</v>
      </c>
      <c r="D237" s="197" t="s">
        <v>195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195</v>
      </c>
      <c r="C238" s="198" t="s">
        <v>195</v>
      </c>
      <c r="D238" s="197" t="s">
        <v>195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195</v>
      </c>
      <c r="C239" s="198" t="s">
        <v>195</v>
      </c>
      <c r="D239" s="197" t="s">
        <v>195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29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49</v>
      </c>
      <c r="B264" s="48" t="s">
        <v>308</v>
      </c>
      <c r="C264" s="48" t="s">
        <v>309</v>
      </c>
      <c r="D264" s="36" t="s">
        <v>310</v>
      </c>
      <c r="E264" s="36" t="s">
        <v>311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195</v>
      </c>
      <c r="C265" s="198" t="s">
        <v>195</v>
      </c>
      <c r="D265" s="197" t="s">
        <v>195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195</v>
      </c>
      <c r="C266" s="198" t="s">
        <v>195</v>
      </c>
      <c r="D266" s="197" t="s">
        <v>195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195</v>
      </c>
      <c r="C267" s="198" t="s">
        <v>195</v>
      </c>
      <c r="D267" s="197" t="s">
        <v>195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195</v>
      </c>
      <c r="C268" s="198" t="s">
        <v>195</v>
      </c>
      <c r="D268" s="197" t="s">
        <v>195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195</v>
      </c>
      <c r="C269" s="198" t="s">
        <v>195</v>
      </c>
      <c r="D269" s="197" t="s">
        <v>195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195</v>
      </c>
      <c r="C270" s="198" t="s">
        <v>195</v>
      </c>
      <c r="D270" s="197" t="s">
        <v>195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30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49</v>
      </c>
      <c r="B295" s="48" t="s">
        <v>308</v>
      </c>
      <c r="C295" s="48" t="s">
        <v>309</v>
      </c>
      <c r="D295" s="36" t="s">
        <v>310</v>
      </c>
      <c r="E295" s="36" t="s">
        <v>311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195</v>
      </c>
      <c r="C296" s="198" t="s">
        <v>195</v>
      </c>
      <c r="D296" s="197" t="s">
        <v>195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195</v>
      </c>
      <c r="C297" s="198" t="s">
        <v>195</v>
      </c>
      <c r="D297" s="197" t="s">
        <v>195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195</v>
      </c>
      <c r="C298" s="198" t="s">
        <v>195</v>
      </c>
      <c r="D298" s="197" t="s">
        <v>195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195</v>
      </c>
      <c r="C299" s="198" t="s">
        <v>195</v>
      </c>
      <c r="D299" s="197" t="s">
        <v>195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195</v>
      </c>
      <c r="C300" s="198" t="s">
        <v>195</v>
      </c>
      <c r="D300" s="197" t="s">
        <v>195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195</v>
      </c>
      <c r="C301" s="198" t="s">
        <v>195</v>
      </c>
      <c r="D301" s="197" t="s">
        <v>195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7" ma:contentTypeDescription="Create a new document." ma:contentTypeScope="" ma:versionID="b9006c8d36dc89b774cd2e169e3c0d6b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b21b1cac5a80b710dc0a199b0dfd872d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20933B-1061-4DE4-A53B-DA2D827307CB}"/>
</file>

<file path=customXml/itemProps3.xml><?xml version="1.0" encoding="utf-8"?>
<ds:datastoreItem xmlns:ds="http://schemas.openxmlformats.org/officeDocument/2006/customXml" ds:itemID="{3B9360AE-2DF9-4A91-8AD6-7D879C061761}">
  <ds:schemaRefs>
    <ds:schemaRef ds:uri="http://purl.org/dc/dcmitype/"/>
    <ds:schemaRef ds:uri="http://purl.org/dc/terms/"/>
    <ds:schemaRef ds:uri="eafaa6b1-975f-439f-868f-fccf4e9d887f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7b742faf-fdf8-4591-b699-ecf8e70a49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2025-06-27T07:22:38Z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